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3.xml" ContentType="application/vnd.openxmlformats-officedocument.drawing+xml"/>
  <Override PartName="/xl/comments1.xml" ContentType="application/vnd.openxmlformats-officedocument.spreadsheetml.comments+xml"/>
  <Override PartName="/xl/charts/chart25.xml" ContentType="application/vnd.openxmlformats-officedocument.drawingml.chart+xml"/>
  <Override PartName="/xl/theme/themeOverride7.xml" ContentType="application/vnd.openxmlformats-officedocument.themeOverride+xml"/>
  <Override PartName="/xl/charts/chart26.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xml"/>
  <Override PartName="/xl/charts/chart27.xml" ContentType="application/vnd.openxmlformats-officedocument.drawingml.chart+xml"/>
  <Override PartName="/xl/charts/style23.xml" ContentType="application/vnd.ms-office.chartstyle+xml"/>
  <Override PartName="/xl/charts/colors23.xml" ContentType="application/vnd.ms-office.chartcolorstyle+xml"/>
  <Override PartName="/xl/charts/chart28.xml" ContentType="application/vnd.openxmlformats-officedocument.drawingml.chart+xml"/>
  <Override PartName="/xl/charts/style24.xml" ContentType="application/vnd.ms-office.chartstyle+xml"/>
  <Override PartName="/xl/charts/colors24.xml" ContentType="application/vnd.ms-office.chartcolorstyle+xml"/>
  <Override PartName="/xl/charts/chart29.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9.xml" ContentType="application/vnd.openxmlformats-officedocument.themeOverride+xml"/>
  <Override PartName="/xl/drawings/drawing15.xml" ContentType="application/vnd.openxmlformats-officedocument.drawingml.chartshapes+xml"/>
  <Override PartName="/xl/charts/chart30.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0.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31.xml" ContentType="application/vnd.openxmlformats-officedocument.drawingml.chart+xml"/>
  <Override PartName="/xl/theme/themeOverride11.xml" ContentType="application/vnd.openxmlformats-officedocument.themeOverride+xml"/>
  <Override PartName="/xl/charts/chart32.xml" ContentType="application/vnd.openxmlformats-officedocument.drawingml.chart+xml"/>
  <Override PartName="/xl/theme/themeOverride12.xml" ContentType="application/vnd.openxmlformats-officedocument.themeOverride+xml"/>
  <Override PartName="/xl/drawings/drawing18.xml" ContentType="application/vnd.openxmlformats-officedocument.drawing+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charts/chart3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35.xml" ContentType="application/vnd.openxmlformats-officedocument.drawingml.chart+xml"/>
  <Override PartName="/xl/charts/style29.xml" ContentType="application/vnd.ms-office.chartstyle+xml"/>
  <Override PartName="/xl/charts/colors29.xml" ContentType="application/vnd.ms-office.chartcolorstyle+xml"/>
  <Override PartName="/xl/charts/chart36.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37.xml" ContentType="application/vnd.openxmlformats-officedocument.drawingml.chart+xml"/>
  <Override PartName="/xl/charts/style31.xml" ContentType="application/vnd.ms-office.chartstyle+xml"/>
  <Override PartName="/xl/charts/colors31.xml" ContentType="application/vnd.ms-office.chartcolorstyle+xml"/>
  <Override PartName="/xl/charts/chart3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6.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style33.xml" ContentType="application/vnd.ms-office.chartstyle+xml"/>
  <Override PartName="/xl/charts/colors33.xml" ContentType="application/vnd.ms-office.chartcolorstyle+xml"/>
  <Override PartName="/xl/charts/chart4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charts/chart43.xml" ContentType="application/vnd.openxmlformats-officedocument.drawingml.chart+xml"/>
  <Override PartName="/xl/charts/style35.xml" ContentType="application/vnd.ms-office.chartstyle+xml"/>
  <Override PartName="/xl/charts/colors35.xml" ContentType="application/vnd.ms-office.chartcolorstyle+xml"/>
  <Override PartName="/xl/charts/chart4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9.xml" ContentType="application/vnd.openxmlformats-officedocument.drawing+xml"/>
  <Override PartName="/xl/charts/chart45.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0.xml" ContentType="application/vnd.openxmlformats-officedocument.drawingml.chartshapes+xml"/>
  <Override PartName="/xl/charts/chart4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47.xml" ContentType="application/vnd.openxmlformats-officedocument.drawingml.chart+xml"/>
  <Override PartName="/xl/theme/themeOverride13.xml" ContentType="application/vnd.openxmlformats-officedocument.themeOverride+xml"/>
  <Override PartName="/xl/charts/chart48.xml" ContentType="application/vnd.openxmlformats-officedocument.drawingml.chart+xml"/>
  <Override PartName="/xl/theme/themeOverride14.xml" ContentType="application/vnd.openxmlformats-officedocument.themeOverride+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ento_zošit"/>
  <xr:revisionPtr revIDLastSave="0" documentId="13_ncr:1_{1618E1FD-C149-45A8-A37D-31E0ED7C2C6E}" xr6:coauthVersionLast="47" xr6:coauthVersionMax="47" xr10:uidLastSave="{00000000-0000-0000-0000-000000000000}"/>
  <bookViews>
    <workbookView xWindow="-120" yWindow="-120" windowWidth="29040" windowHeight="17520" tabRatio="792" xr2:uid="{00000000-000D-0000-FFFF-FFFF00000000}"/>
  </bookViews>
  <sheets>
    <sheet name="Contents" sheetId="250" r:id="rId1"/>
    <sheet name="MMF_TABULKA" sheetId="193" r:id="rId2"/>
    <sheet name="Zhrnutie" sheetId="253" r:id="rId3"/>
    <sheet name="Graf 1" sheetId="302" r:id="rId4"/>
    <sheet name="Graf 2" sheetId="303" r:id="rId5"/>
    <sheet name="Graf 3" sheetId="319" r:id="rId6"/>
    <sheet name="Graf 4" sheetId="325" r:id="rId7"/>
    <sheet name="Graf 5" sheetId="320" r:id="rId8"/>
    <sheet name="Graf 6" sheetId="321" r:id="rId9"/>
    <sheet name="Graf 7" sheetId="322" r:id="rId10"/>
    <sheet name="Graf 8" sheetId="323" r:id="rId11"/>
    <sheet name="Graf 9" sheetId="324" r:id="rId12"/>
    <sheet name="Graf 10" sheetId="293" r:id="rId13"/>
    <sheet name="Graf 11 + Tabuľka 1" sheetId="305" r:id="rId14"/>
    <sheet name="Graf 12 + 13" sheetId="225" r:id="rId15"/>
    <sheet name="Graf 14" sheetId="328" r:id="rId16"/>
    <sheet name="Graf 15" sheetId="330" r:id="rId17"/>
    <sheet name="Tabuľka 2" sheetId="332" r:id="rId18"/>
    <sheet name="Graf 16" sheetId="333" r:id="rId19"/>
    <sheet name="Tabuľka 3" sheetId="339" r:id="rId20"/>
    <sheet name="Tabuľka 4" sheetId="334" r:id="rId21"/>
    <sheet name="Tabuľka 5" sheetId="306" r:id="rId22"/>
    <sheet name="Tabuľka 6" sheetId="123" r:id="rId23"/>
    <sheet name="Graf 17" sheetId="260" r:id="rId24"/>
    <sheet name="Graf 18 + 19" sheetId="261" r:id="rId25"/>
    <sheet name="Tabuľka 7" sheetId="310" r:id="rId26"/>
    <sheet name="Graf 20" sheetId="326" r:id="rId27"/>
    <sheet name="Graf 21" sheetId="327" r:id="rId28"/>
    <sheet name="Tabuľka 8" sheetId="296" r:id="rId29"/>
    <sheet name="Tabuľka 9" sheetId="297" r:id="rId30"/>
    <sheet name="Tabuľka 10" sheetId="298" r:id="rId31"/>
    <sheet name="Tabuľka 11" sheetId="299" r:id="rId32"/>
    <sheet name="Graf 22" sheetId="300" r:id="rId33"/>
    <sheet name="Tabuľka 12" sheetId="301" r:id="rId34"/>
    <sheet name="Tabuľka 13" sheetId="196" r:id="rId35"/>
    <sheet name="Tabuľka 14" sheetId="229" r:id="rId36"/>
    <sheet name="Tabuľka 15 + 16 (DRM &amp; DEM)" sheetId="203" r:id="rId37"/>
    <sheet name="mzda" sheetId="289" state="hidden"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s>
  <definedNames>
    <definedName name="\A" localSheetId="13">#REF!</definedName>
    <definedName name="\A" localSheetId="15">#REF!</definedName>
    <definedName name="\A" localSheetId="23">#REF!</definedName>
    <definedName name="\A">#REF!</definedName>
    <definedName name="\B" localSheetId="13">#REF!</definedName>
    <definedName name="\B" localSheetId="14">#REF!</definedName>
    <definedName name="\B" localSheetId="15">#REF!</definedName>
    <definedName name="\B" localSheetId="23">#REF!</definedName>
    <definedName name="\B">#REF!</definedName>
    <definedName name="\C" localSheetId="13">#REF!</definedName>
    <definedName name="\C" localSheetId="14">#REF!</definedName>
    <definedName name="\C" localSheetId="15">#REF!</definedName>
    <definedName name="\C" localSheetId="23">#REF!</definedName>
    <definedName name="\C">#REF!</definedName>
    <definedName name="\D" localSheetId="13">#REF!</definedName>
    <definedName name="\D" localSheetId="15">#REF!</definedName>
    <definedName name="\D" localSheetId="23">#REF!</definedName>
    <definedName name="\D">#REF!</definedName>
    <definedName name="\E" localSheetId="13">#REF!</definedName>
    <definedName name="\E" localSheetId="15">#REF!</definedName>
    <definedName name="\E" localSheetId="23">#REF!</definedName>
    <definedName name="\E">#REF!</definedName>
    <definedName name="\F" localSheetId="13">#REF!</definedName>
    <definedName name="\F" localSheetId="15">#REF!</definedName>
    <definedName name="\F" localSheetId="23">#REF!</definedName>
    <definedName name="\F">#REF!</definedName>
    <definedName name="\G" localSheetId="13">#REF!</definedName>
    <definedName name="\G" localSheetId="15">#REF!</definedName>
    <definedName name="\G" localSheetId="23">#REF!</definedName>
    <definedName name="\G">#REF!</definedName>
    <definedName name="\H" localSheetId="13">#REF!</definedName>
    <definedName name="\H" localSheetId="15">#REF!</definedName>
    <definedName name="\H" localSheetId="23">#REF!</definedName>
    <definedName name="\H">#REF!</definedName>
    <definedName name="\I" localSheetId="13">#REF!</definedName>
    <definedName name="\I" localSheetId="15">#REF!</definedName>
    <definedName name="\I" localSheetId="23">#REF!</definedName>
    <definedName name="\I">#REF!</definedName>
    <definedName name="\J" localSheetId="13">#REF!</definedName>
    <definedName name="\J" localSheetId="15">#REF!</definedName>
    <definedName name="\J" localSheetId="23">#REF!</definedName>
    <definedName name="\J">#REF!</definedName>
    <definedName name="\K" localSheetId="13">#REF!</definedName>
    <definedName name="\K" localSheetId="15">#REF!</definedName>
    <definedName name="\K" localSheetId="23">#REF!</definedName>
    <definedName name="\K">#REF!</definedName>
    <definedName name="\L" localSheetId="13">#REF!</definedName>
    <definedName name="\L" localSheetId="15">#REF!</definedName>
    <definedName name="\L" localSheetId="23">#REF!</definedName>
    <definedName name="\L">#REF!</definedName>
    <definedName name="\M" localSheetId="13">#REF!</definedName>
    <definedName name="\M" localSheetId="15">#REF!</definedName>
    <definedName name="\M" localSheetId="23">#REF!</definedName>
    <definedName name="\M">#REF!</definedName>
    <definedName name="\N" localSheetId="13">#REF!</definedName>
    <definedName name="\N" localSheetId="15">#REF!</definedName>
    <definedName name="\N" localSheetId="23">#REF!</definedName>
    <definedName name="\N">#REF!</definedName>
    <definedName name="\O" localSheetId="13">#REF!</definedName>
    <definedName name="\O" localSheetId="15">#REF!</definedName>
    <definedName name="\O" localSheetId="23">#REF!</definedName>
    <definedName name="\O">#REF!</definedName>
    <definedName name="\P" localSheetId="13">#REF!</definedName>
    <definedName name="\P" localSheetId="15">#REF!</definedName>
    <definedName name="\P" localSheetId="23">#REF!</definedName>
    <definedName name="\P">#REF!</definedName>
    <definedName name="\Q" localSheetId="13">#REF!</definedName>
    <definedName name="\Q" localSheetId="15">#REF!</definedName>
    <definedName name="\Q" localSheetId="23">#REF!</definedName>
    <definedName name="\Q">#REF!</definedName>
    <definedName name="\R" localSheetId="13">#REF!</definedName>
    <definedName name="\R" localSheetId="15">#REF!</definedName>
    <definedName name="\R" localSheetId="23">#REF!</definedName>
    <definedName name="\R">#REF!</definedName>
    <definedName name="\S" localSheetId="13">#REF!</definedName>
    <definedName name="\S" localSheetId="15">#REF!</definedName>
    <definedName name="\S" localSheetId="23">#REF!</definedName>
    <definedName name="\S">#REF!</definedName>
    <definedName name="\T" localSheetId="13">#REF!</definedName>
    <definedName name="\T" localSheetId="15">#REF!</definedName>
    <definedName name="\T" localSheetId="23">#REF!</definedName>
    <definedName name="\T">#REF!</definedName>
    <definedName name="\U" localSheetId="13">#REF!</definedName>
    <definedName name="\U" localSheetId="15">#REF!</definedName>
    <definedName name="\U" localSheetId="23">#REF!</definedName>
    <definedName name="\U">#REF!</definedName>
    <definedName name="\V" localSheetId="13">#REF!</definedName>
    <definedName name="\V" localSheetId="15">#REF!</definedName>
    <definedName name="\V" localSheetId="23">#REF!</definedName>
    <definedName name="\V">#REF!</definedName>
    <definedName name="\W" localSheetId="13">#REF!</definedName>
    <definedName name="\W" localSheetId="15">#REF!</definedName>
    <definedName name="\W" localSheetId="23">#REF!</definedName>
    <definedName name="\W">#REF!</definedName>
    <definedName name="\X" localSheetId="13">#REF!</definedName>
    <definedName name="\X" localSheetId="15">#REF!</definedName>
    <definedName name="\X" localSheetId="23">#REF!</definedName>
    <definedName name="\X">#REF!</definedName>
    <definedName name="\Y" localSheetId="13">#REF!</definedName>
    <definedName name="\Y" localSheetId="15">#REF!</definedName>
    <definedName name="\Y" localSheetId="23">#REF!</definedName>
    <definedName name="\Y">#REF!</definedName>
    <definedName name="\Z" localSheetId="13">#REF!</definedName>
    <definedName name="\Z" localSheetId="15">#REF!</definedName>
    <definedName name="\Z" localSheetId="23">#REF!</definedName>
    <definedName name="\Z">#REF!</definedName>
    <definedName name="_____BOP2" localSheetId="13">[1]BoP!#REF!</definedName>
    <definedName name="_____BOP2" localSheetId="15">[1]BoP!#REF!</definedName>
    <definedName name="_____BOP2" localSheetId="23">[1]BoP!#REF!</definedName>
    <definedName name="_____BOP2">[1]BoP!#REF!</definedName>
    <definedName name="_____dat1" localSheetId="13">'[2]work Q real'!#REF!</definedName>
    <definedName name="_____dat1" localSheetId="15">'[2]work Q real'!#REF!</definedName>
    <definedName name="_____dat1" localSheetId="23">'[2]work Q real'!#REF!</definedName>
    <definedName name="_____dat1">'[2]work Q real'!#REF!</definedName>
    <definedName name="_____EXP5" localSheetId="13">#REF!</definedName>
    <definedName name="_____EXP5" localSheetId="14">#REF!</definedName>
    <definedName name="_____EXP5" localSheetId="15">#REF!</definedName>
    <definedName name="_____EXP5" localSheetId="23">#REF!</definedName>
    <definedName name="_____EXP5">#REF!</definedName>
    <definedName name="_____EXP6" localSheetId="13">#REF!</definedName>
    <definedName name="_____EXP6" localSheetId="14">#REF!</definedName>
    <definedName name="_____EXP6" localSheetId="15">#REF!</definedName>
    <definedName name="_____EXP6" localSheetId="23">#REF!</definedName>
    <definedName name="_____EXP6">#REF!</definedName>
    <definedName name="_____EXP7" localSheetId="13">#REF!</definedName>
    <definedName name="_____EXP7" localSheetId="14">#REF!</definedName>
    <definedName name="_____EXP7" localSheetId="15">#REF!</definedName>
    <definedName name="_____EXP7" localSheetId="23">#REF!</definedName>
    <definedName name="_____EXP7">#REF!</definedName>
    <definedName name="_____EXP9" localSheetId="13">#REF!</definedName>
    <definedName name="_____EXP9" localSheetId="15">#REF!</definedName>
    <definedName name="_____EXP9" localSheetId="23">#REF!</definedName>
    <definedName name="_____EXP9">#REF!</definedName>
    <definedName name="_____IMP2" localSheetId="13">#REF!</definedName>
    <definedName name="_____IMP2" localSheetId="15">#REF!</definedName>
    <definedName name="_____IMP2" localSheetId="23">#REF!</definedName>
    <definedName name="_____IMP2">#REF!</definedName>
    <definedName name="_____IMP4" localSheetId="13">#REF!</definedName>
    <definedName name="_____IMP4" localSheetId="15">#REF!</definedName>
    <definedName name="_____IMP4" localSheetId="23">#REF!</definedName>
    <definedName name="_____IMP4">#REF!</definedName>
    <definedName name="_____IMP6" localSheetId="13">#REF!</definedName>
    <definedName name="_____IMP6" localSheetId="15">#REF!</definedName>
    <definedName name="_____IMP6" localSheetId="23">#REF!</definedName>
    <definedName name="_____IMP6">#REF!</definedName>
    <definedName name="_____IMP7" localSheetId="13">#REF!</definedName>
    <definedName name="_____IMP7" localSheetId="15">#REF!</definedName>
    <definedName name="_____IMP7" localSheetId="23">#REF!</definedName>
    <definedName name="_____IMP7">#REF!</definedName>
    <definedName name="_____MTS2" localSheetId="13">'[3]Annual Tables'!#REF!</definedName>
    <definedName name="_____MTS2" localSheetId="15">'[3]Annual Tables'!#REF!</definedName>
    <definedName name="_____MTS2" localSheetId="23">'[3]Annual Tables'!#REF!</definedName>
    <definedName name="_____MTS2">'[3]Annual Tables'!#REF!</definedName>
    <definedName name="_____PAG2" localSheetId="13">[3]Index!#REF!</definedName>
    <definedName name="_____PAG2" localSheetId="15">[3]Index!#REF!</definedName>
    <definedName name="_____PAG2" localSheetId="23">[3]Index!#REF!</definedName>
    <definedName name="_____PAG2">[3]Index!#REF!</definedName>
    <definedName name="_____PAG3" localSheetId="13">[3]Index!#REF!</definedName>
    <definedName name="_____PAG3" localSheetId="15">[3]Index!#REF!</definedName>
    <definedName name="_____PAG3">[3]Index!#REF!</definedName>
    <definedName name="_____PAG4" localSheetId="13">[3]Index!#REF!</definedName>
    <definedName name="_____PAG4" localSheetId="15">[3]Index!#REF!</definedName>
    <definedName name="_____PAG4">[3]Index!#REF!</definedName>
    <definedName name="_____PAG5" localSheetId="13">[3]Index!#REF!</definedName>
    <definedName name="_____PAG5" localSheetId="15">[3]Index!#REF!</definedName>
    <definedName name="_____PAG5">[3]Index!#REF!</definedName>
    <definedName name="_____PAG6" localSheetId="13">[3]Index!#REF!</definedName>
    <definedName name="_____PAG6" localSheetId="15">[3]Index!#REF!</definedName>
    <definedName name="_____PAG6">[3]Index!#REF!</definedName>
    <definedName name="_____RES2" localSheetId="13">[1]RES!#REF!</definedName>
    <definedName name="_____RES2" localSheetId="15">[1]RES!#REF!</definedName>
    <definedName name="_____RES2">[1]RES!#REF!</definedName>
    <definedName name="_____TAB7" localSheetId="13">#REF!</definedName>
    <definedName name="_____TAB7" localSheetId="14">#REF!</definedName>
    <definedName name="_____TAB7" localSheetId="15">#REF!</definedName>
    <definedName name="_____TAB7" localSheetId="23">#REF!</definedName>
    <definedName name="_____TAB7">#REF!</definedName>
    <definedName name="____BOP1" localSheetId="13">#REF!</definedName>
    <definedName name="____BOP1" localSheetId="14">#REF!</definedName>
    <definedName name="____BOP1" localSheetId="15">#REF!</definedName>
    <definedName name="____BOP1" localSheetId="23">#REF!</definedName>
    <definedName name="____BOP1">#REF!</definedName>
    <definedName name="____BOP2" localSheetId="13">[1]BoP!#REF!</definedName>
    <definedName name="____BOP2" localSheetId="14">[1]BoP!#REF!</definedName>
    <definedName name="____BOP2" localSheetId="15">[1]BoP!#REF!</definedName>
    <definedName name="____BOP2" localSheetId="23">[1]BoP!#REF!</definedName>
    <definedName name="____BOP2">[1]BoP!#REF!</definedName>
    <definedName name="____dat1" localSheetId="13">'[2]work Q real'!#REF!</definedName>
    <definedName name="____dat1" localSheetId="14">'[2]work Q real'!#REF!</definedName>
    <definedName name="____dat1" localSheetId="15">'[2]work Q real'!#REF!</definedName>
    <definedName name="____dat1">'[2]work Q real'!#REF!</definedName>
    <definedName name="____dat2" localSheetId="13">#REF!</definedName>
    <definedName name="____dat2" localSheetId="14">#REF!</definedName>
    <definedName name="____dat2" localSheetId="15">#REF!</definedName>
    <definedName name="____dat2" localSheetId="23">#REF!</definedName>
    <definedName name="____dat2">#REF!</definedName>
    <definedName name="____EXP5" localSheetId="13">#REF!</definedName>
    <definedName name="____EXP5" localSheetId="14">#REF!</definedName>
    <definedName name="____EXP5" localSheetId="15">#REF!</definedName>
    <definedName name="____EXP5" localSheetId="23">#REF!</definedName>
    <definedName name="____EXP5">#REF!</definedName>
    <definedName name="____EXP6" localSheetId="13">#REF!</definedName>
    <definedName name="____EXP6" localSheetId="14">#REF!</definedName>
    <definedName name="____EXP6" localSheetId="15">#REF!</definedName>
    <definedName name="____EXP6" localSheetId="23">#REF!</definedName>
    <definedName name="____EXP6">#REF!</definedName>
    <definedName name="____EXP7" localSheetId="13">#REF!</definedName>
    <definedName name="____EXP7" localSheetId="15">#REF!</definedName>
    <definedName name="____EXP7" localSheetId="23">#REF!</definedName>
    <definedName name="____EXP7">#REF!</definedName>
    <definedName name="____EXP9" localSheetId="13">#REF!</definedName>
    <definedName name="____EXP9" localSheetId="15">#REF!</definedName>
    <definedName name="____EXP9" localSheetId="23">#REF!</definedName>
    <definedName name="____EXP9">#REF!</definedName>
    <definedName name="____IMP10" localSheetId="13">#REF!</definedName>
    <definedName name="____IMP10" localSheetId="15">#REF!</definedName>
    <definedName name="____IMP10" localSheetId="23">#REF!</definedName>
    <definedName name="____IMP10">#REF!</definedName>
    <definedName name="____IMP2" localSheetId="13">#REF!</definedName>
    <definedName name="____IMP2" localSheetId="15">#REF!</definedName>
    <definedName name="____IMP2" localSheetId="23">#REF!</definedName>
    <definedName name="____IMP2">#REF!</definedName>
    <definedName name="____IMP4" localSheetId="13">#REF!</definedName>
    <definedName name="____IMP4" localSheetId="15">#REF!</definedName>
    <definedName name="____IMP4" localSheetId="23">#REF!</definedName>
    <definedName name="____IMP4">#REF!</definedName>
    <definedName name="____IMP6" localSheetId="13">#REF!</definedName>
    <definedName name="____IMP6" localSheetId="15">#REF!</definedName>
    <definedName name="____IMP6" localSheetId="23">#REF!</definedName>
    <definedName name="____IMP6">#REF!</definedName>
    <definedName name="____IMP7" localSheetId="13">#REF!</definedName>
    <definedName name="____IMP7" localSheetId="15">#REF!</definedName>
    <definedName name="____IMP7" localSheetId="23">#REF!</definedName>
    <definedName name="____IMP7">#REF!</definedName>
    <definedName name="____IMP8" localSheetId="13">#REF!</definedName>
    <definedName name="____IMP8" localSheetId="15">#REF!</definedName>
    <definedName name="____IMP8" localSheetId="23">#REF!</definedName>
    <definedName name="____IMP8">#REF!</definedName>
    <definedName name="____MTS2" localSheetId="13">'[3]Annual Tables'!#REF!</definedName>
    <definedName name="____MTS2" localSheetId="15">'[3]Annual Tables'!#REF!</definedName>
    <definedName name="____MTS2" localSheetId="23">'[3]Annual Tables'!#REF!</definedName>
    <definedName name="____MTS2">'[3]Annual Tables'!#REF!</definedName>
    <definedName name="____OUT1" localSheetId="13">#REF!</definedName>
    <definedName name="____OUT1" localSheetId="14">#REF!</definedName>
    <definedName name="____OUT1" localSheetId="15">#REF!</definedName>
    <definedName name="____OUT1" localSheetId="23">#REF!</definedName>
    <definedName name="____OUT1">#REF!</definedName>
    <definedName name="____OUT2" localSheetId="13">#REF!</definedName>
    <definedName name="____OUT2" localSheetId="14">#REF!</definedName>
    <definedName name="____OUT2" localSheetId="15">#REF!</definedName>
    <definedName name="____OUT2" localSheetId="23">#REF!</definedName>
    <definedName name="____OUT2">#REF!</definedName>
    <definedName name="____PAG2" localSheetId="13">[3]Index!#REF!</definedName>
    <definedName name="____PAG2" localSheetId="14">[3]Index!#REF!</definedName>
    <definedName name="____PAG2" localSheetId="15">[3]Index!#REF!</definedName>
    <definedName name="____PAG2" localSheetId="23">[3]Index!#REF!</definedName>
    <definedName name="____PAG2">[3]Index!#REF!</definedName>
    <definedName name="____PAG3" localSheetId="13">[3]Index!#REF!</definedName>
    <definedName name="____PAG3" localSheetId="14">[3]Index!#REF!</definedName>
    <definedName name="____PAG3" localSheetId="15">[3]Index!#REF!</definedName>
    <definedName name="____PAG3">[3]Index!#REF!</definedName>
    <definedName name="____PAG4" localSheetId="13">[3]Index!#REF!</definedName>
    <definedName name="____PAG4" localSheetId="15">[3]Index!#REF!</definedName>
    <definedName name="____PAG4">[3]Index!#REF!</definedName>
    <definedName name="____PAG5" localSheetId="13">[3]Index!#REF!</definedName>
    <definedName name="____PAG5" localSheetId="15">[3]Index!#REF!</definedName>
    <definedName name="____PAG5">[3]Index!#REF!</definedName>
    <definedName name="____PAG6" localSheetId="13">[3]Index!#REF!</definedName>
    <definedName name="____PAG6" localSheetId="15">[3]Index!#REF!</definedName>
    <definedName name="____PAG6">[3]Index!#REF!</definedName>
    <definedName name="____PAG7" localSheetId="13">#REF!</definedName>
    <definedName name="____PAG7" localSheetId="14">#REF!</definedName>
    <definedName name="____PAG7" localSheetId="15">#REF!</definedName>
    <definedName name="____PAG7" localSheetId="23">#REF!</definedName>
    <definedName name="____PAG7">#REF!</definedName>
    <definedName name="____pro2001">[4]pro2001!$A$1:$B$72</definedName>
    <definedName name="____RES2" localSheetId="13">[1]RES!#REF!</definedName>
    <definedName name="____RES2" localSheetId="14">[1]RES!#REF!</definedName>
    <definedName name="____RES2" localSheetId="15">[1]RES!#REF!</definedName>
    <definedName name="____RES2">[1]RES!#REF!</definedName>
    <definedName name="____TAB1" localSheetId="13">#REF!</definedName>
    <definedName name="____TAB1" localSheetId="14">#REF!</definedName>
    <definedName name="____TAB1" localSheetId="15">#REF!</definedName>
    <definedName name="____TAB1" localSheetId="23">#REF!</definedName>
    <definedName name="____TAB1">#REF!</definedName>
    <definedName name="____TAB10" localSheetId="13">#REF!</definedName>
    <definedName name="____TAB10" localSheetId="14">#REF!</definedName>
    <definedName name="____TAB10" localSheetId="15">#REF!</definedName>
    <definedName name="____TAB10" localSheetId="23">#REF!</definedName>
    <definedName name="____TAB10">#REF!</definedName>
    <definedName name="____TAB12" localSheetId="13">#REF!</definedName>
    <definedName name="____TAB12" localSheetId="14">#REF!</definedName>
    <definedName name="____TAB12" localSheetId="15">#REF!</definedName>
    <definedName name="____TAB12" localSheetId="23">#REF!</definedName>
    <definedName name="____TAB12">#REF!</definedName>
    <definedName name="____Tab19" localSheetId="13">#REF!</definedName>
    <definedName name="____Tab19" localSheetId="15">#REF!</definedName>
    <definedName name="____Tab19" localSheetId="23">#REF!</definedName>
    <definedName name="____Tab19">#REF!</definedName>
    <definedName name="____TAB2" localSheetId="13">#REF!</definedName>
    <definedName name="____TAB2" localSheetId="15">#REF!</definedName>
    <definedName name="____TAB2" localSheetId="23">#REF!</definedName>
    <definedName name="____TAB2">#REF!</definedName>
    <definedName name="____Tab20" localSheetId="13">#REF!</definedName>
    <definedName name="____Tab20" localSheetId="15">#REF!</definedName>
    <definedName name="____Tab20" localSheetId="23">#REF!</definedName>
    <definedName name="____Tab20">#REF!</definedName>
    <definedName name="____Tab21" localSheetId="13">#REF!</definedName>
    <definedName name="____Tab21" localSheetId="15">#REF!</definedName>
    <definedName name="____Tab21" localSheetId="23">#REF!</definedName>
    <definedName name="____Tab21">#REF!</definedName>
    <definedName name="____Tab22" localSheetId="13">#REF!</definedName>
    <definedName name="____Tab22" localSheetId="15">#REF!</definedName>
    <definedName name="____Tab22" localSheetId="23">#REF!</definedName>
    <definedName name="____Tab22">#REF!</definedName>
    <definedName name="____Tab23" localSheetId="13">#REF!</definedName>
    <definedName name="____Tab23" localSheetId="15">#REF!</definedName>
    <definedName name="____Tab23" localSheetId="23">#REF!</definedName>
    <definedName name="____Tab23">#REF!</definedName>
    <definedName name="____Tab24" localSheetId="13">#REF!</definedName>
    <definedName name="____Tab24" localSheetId="15">#REF!</definedName>
    <definedName name="____Tab24" localSheetId="23">#REF!</definedName>
    <definedName name="____Tab24">#REF!</definedName>
    <definedName name="____Tab26" localSheetId="13">#REF!</definedName>
    <definedName name="____Tab26" localSheetId="15">#REF!</definedName>
    <definedName name="____Tab26" localSheetId="23">#REF!</definedName>
    <definedName name="____Tab26">#REF!</definedName>
    <definedName name="____Tab27" localSheetId="13">#REF!</definedName>
    <definedName name="____Tab27" localSheetId="15">#REF!</definedName>
    <definedName name="____Tab27" localSheetId="23">#REF!</definedName>
    <definedName name="____Tab27">#REF!</definedName>
    <definedName name="____Tab28" localSheetId="13">#REF!</definedName>
    <definedName name="____Tab28" localSheetId="15">#REF!</definedName>
    <definedName name="____Tab28" localSheetId="23">#REF!</definedName>
    <definedName name="____Tab28">#REF!</definedName>
    <definedName name="____Tab29" localSheetId="13">#REF!</definedName>
    <definedName name="____Tab29" localSheetId="15">#REF!</definedName>
    <definedName name="____Tab29" localSheetId="23">#REF!</definedName>
    <definedName name="____Tab29">#REF!</definedName>
    <definedName name="____TAB3" localSheetId="13">#REF!</definedName>
    <definedName name="____TAB3" localSheetId="15">#REF!</definedName>
    <definedName name="____TAB3" localSheetId="23">#REF!</definedName>
    <definedName name="____TAB3">#REF!</definedName>
    <definedName name="____Tab30" localSheetId="13">#REF!</definedName>
    <definedName name="____Tab30" localSheetId="15">#REF!</definedName>
    <definedName name="____Tab30" localSheetId="23">#REF!</definedName>
    <definedName name="____Tab30">#REF!</definedName>
    <definedName name="____Tab31" localSheetId="13">#REF!</definedName>
    <definedName name="____Tab31" localSheetId="15">#REF!</definedName>
    <definedName name="____Tab31" localSheetId="23">#REF!</definedName>
    <definedName name="____Tab31">#REF!</definedName>
    <definedName name="____Tab32" localSheetId="13">#REF!</definedName>
    <definedName name="____Tab32" localSheetId="15">#REF!</definedName>
    <definedName name="____Tab32" localSheetId="23">#REF!</definedName>
    <definedName name="____Tab32">#REF!</definedName>
    <definedName name="____Tab33" localSheetId="13">#REF!</definedName>
    <definedName name="____Tab33" localSheetId="15">#REF!</definedName>
    <definedName name="____Tab33" localSheetId="23">#REF!</definedName>
    <definedName name="____Tab33">#REF!</definedName>
    <definedName name="____Tab34" localSheetId="13">#REF!</definedName>
    <definedName name="____Tab34" localSheetId="15">#REF!</definedName>
    <definedName name="____Tab34" localSheetId="23">#REF!</definedName>
    <definedName name="____Tab34">#REF!</definedName>
    <definedName name="____Tab35" localSheetId="13">#REF!</definedName>
    <definedName name="____Tab35" localSheetId="15">#REF!</definedName>
    <definedName name="____Tab35" localSheetId="23">#REF!</definedName>
    <definedName name="____Tab35">#REF!</definedName>
    <definedName name="____TAB4" localSheetId="13">#REF!</definedName>
    <definedName name="____TAB4" localSheetId="15">#REF!</definedName>
    <definedName name="____TAB4" localSheetId="23">#REF!</definedName>
    <definedName name="____TAB4">#REF!</definedName>
    <definedName name="____TAB5" localSheetId="13">#REF!</definedName>
    <definedName name="____TAB5" localSheetId="15">#REF!</definedName>
    <definedName name="____TAB5" localSheetId="23">#REF!</definedName>
    <definedName name="____TAB5">#REF!</definedName>
    <definedName name="____tab6" localSheetId="13">#REF!</definedName>
    <definedName name="____tab6" localSheetId="15">#REF!</definedName>
    <definedName name="____tab6" localSheetId="23">#REF!</definedName>
    <definedName name="____tab6">#REF!</definedName>
    <definedName name="____TAB7" localSheetId="13">#REF!</definedName>
    <definedName name="____TAB7" localSheetId="15">#REF!</definedName>
    <definedName name="____TAB7" localSheetId="23">#REF!</definedName>
    <definedName name="____TAB7">#REF!</definedName>
    <definedName name="____TAB8" localSheetId="13">#REF!</definedName>
    <definedName name="____TAB8" localSheetId="15">#REF!</definedName>
    <definedName name="____TAB8" localSheetId="23">#REF!</definedName>
    <definedName name="____TAB8">#REF!</definedName>
    <definedName name="____tab9" localSheetId="13">#REF!</definedName>
    <definedName name="____tab9" localSheetId="15">#REF!</definedName>
    <definedName name="____tab9" localSheetId="23">#REF!</definedName>
    <definedName name="____tab9">#REF!</definedName>
    <definedName name="____TB41" localSheetId="13">#REF!</definedName>
    <definedName name="____TB41" localSheetId="15">#REF!</definedName>
    <definedName name="____TB41" localSheetId="23">#REF!</definedName>
    <definedName name="____TB41">#REF!</definedName>
    <definedName name="____WEO1" localSheetId="13">#REF!</definedName>
    <definedName name="____WEO1" localSheetId="15">#REF!</definedName>
    <definedName name="____WEO1" localSheetId="23">#REF!</definedName>
    <definedName name="____WEO1">#REF!</definedName>
    <definedName name="____WEO2" localSheetId="13">#REF!</definedName>
    <definedName name="____WEO2" localSheetId="15">#REF!</definedName>
    <definedName name="____WEO2" localSheetId="23">#REF!</definedName>
    <definedName name="____WEO2">#REF!</definedName>
    <definedName name="___BOP1" localSheetId="13">#REF!</definedName>
    <definedName name="___BOP1" localSheetId="15">#REF!</definedName>
    <definedName name="___BOP1" localSheetId="23">#REF!</definedName>
    <definedName name="___BOP1">#REF!</definedName>
    <definedName name="___BOP2" localSheetId="13">[1]BoP!#REF!</definedName>
    <definedName name="___BOP2" localSheetId="15">[1]BoP!#REF!</definedName>
    <definedName name="___BOP2" localSheetId="23">[1]BoP!#REF!</definedName>
    <definedName name="___BOP2">[1]BoP!#REF!</definedName>
    <definedName name="___dat1" localSheetId="13">'[2]work Q real'!#REF!</definedName>
    <definedName name="___dat1" localSheetId="15">'[2]work Q real'!#REF!</definedName>
    <definedName name="___dat1" localSheetId="23">'[2]work Q real'!#REF!</definedName>
    <definedName name="___dat1">'[2]work Q real'!#REF!</definedName>
    <definedName name="___dat2" localSheetId="13">#REF!</definedName>
    <definedName name="___dat2" localSheetId="14">#REF!</definedName>
    <definedName name="___dat2" localSheetId="15">#REF!</definedName>
    <definedName name="___dat2" localSheetId="23">#REF!</definedName>
    <definedName name="___dat2">#REF!</definedName>
    <definedName name="___EXP5" localSheetId="13">#REF!</definedName>
    <definedName name="___EXP5" localSheetId="14">#REF!</definedName>
    <definedName name="___EXP5" localSheetId="15">#REF!</definedName>
    <definedName name="___EXP5" localSheetId="23">#REF!</definedName>
    <definedName name="___EXP5">#REF!</definedName>
    <definedName name="___EXP6" localSheetId="13">#REF!</definedName>
    <definedName name="___EXP6" localSheetId="14">#REF!</definedName>
    <definedName name="___EXP6" localSheetId="15">#REF!</definedName>
    <definedName name="___EXP6" localSheetId="23">#REF!</definedName>
    <definedName name="___EXP6">#REF!</definedName>
    <definedName name="___EXP7" localSheetId="13">#REF!</definedName>
    <definedName name="___EXP7" localSheetId="15">#REF!</definedName>
    <definedName name="___EXP7" localSheetId="23">#REF!</definedName>
    <definedName name="___EXP7">#REF!</definedName>
    <definedName name="___EXP9" localSheetId="13">#REF!</definedName>
    <definedName name="___EXP9" localSheetId="15">#REF!</definedName>
    <definedName name="___EXP9" localSheetId="23">#REF!</definedName>
    <definedName name="___EXP9">#REF!</definedName>
    <definedName name="___IMP10" localSheetId="13">#REF!</definedName>
    <definedName name="___IMP10" localSheetId="15">#REF!</definedName>
    <definedName name="___IMP10" localSheetId="23">#REF!</definedName>
    <definedName name="___IMP10">#REF!</definedName>
    <definedName name="___IMP2" localSheetId="13">#REF!</definedName>
    <definedName name="___IMP2" localSheetId="15">#REF!</definedName>
    <definedName name="___IMP2" localSheetId="23">#REF!</definedName>
    <definedName name="___IMP2">#REF!</definedName>
    <definedName name="___IMP4" localSheetId="13">#REF!</definedName>
    <definedName name="___IMP4" localSheetId="15">#REF!</definedName>
    <definedName name="___IMP4" localSheetId="23">#REF!</definedName>
    <definedName name="___IMP4">#REF!</definedName>
    <definedName name="___IMP6" localSheetId="13">#REF!</definedName>
    <definedName name="___IMP6" localSheetId="15">#REF!</definedName>
    <definedName name="___IMP6" localSheetId="23">#REF!</definedName>
    <definedName name="___IMP6">#REF!</definedName>
    <definedName name="___IMP7" localSheetId="13">#REF!</definedName>
    <definedName name="___IMP7" localSheetId="15">#REF!</definedName>
    <definedName name="___IMP7" localSheetId="23">#REF!</definedName>
    <definedName name="___IMP7">#REF!</definedName>
    <definedName name="___IMP8" localSheetId="13">#REF!</definedName>
    <definedName name="___IMP8" localSheetId="15">#REF!</definedName>
    <definedName name="___IMP8" localSheetId="23">#REF!</definedName>
    <definedName name="___IMP8">#REF!</definedName>
    <definedName name="___MTS2" localSheetId="13">'[3]Annual Tables'!#REF!</definedName>
    <definedName name="___MTS2" localSheetId="15">'[3]Annual Tables'!#REF!</definedName>
    <definedName name="___MTS2" localSheetId="23">'[3]Annual Tables'!#REF!</definedName>
    <definedName name="___MTS2">'[3]Annual Tables'!#REF!</definedName>
    <definedName name="___OUT1" localSheetId="13">#REF!</definedName>
    <definedName name="___OUT1" localSheetId="14">#REF!</definedName>
    <definedName name="___OUT1" localSheetId="15">#REF!</definedName>
    <definedName name="___OUT1" localSheetId="23">#REF!</definedName>
    <definedName name="___OUT1">#REF!</definedName>
    <definedName name="___OUT2" localSheetId="13">#REF!</definedName>
    <definedName name="___OUT2" localSheetId="14">#REF!</definedName>
    <definedName name="___OUT2" localSheetId="15">#REF!</definedName>
    <definedName name="___OUT2" localSheetId="23">#REF!</definedName>
    <definedName name="___OUT2">#REF!</definedName>
    <definedName name="___PAG2" localSheetId="13">[3]Index!#REF!</definedName>
    <definedName name="___PAG2" localSheetId="14">[3]Index!#REF!</definedName>
    <definedName name="___PAG2" localSheetId="15">[3]Index!#REF!</definedName>
    <definedName name="___PAG2" localSheetId="23">[3]Index!#REF!</definedName>
    <definedName name="___PAG2">[3]Index!#REF!</definedName>
    <definedName name="___PAG3" localSheetId="13">[3]Index!#REF!</definedName>
    <definedName name="___PAG3" localSheetId="14">[3]Index!#REF!</definedName>
    <definedName name="___PAG3" localSheetId="15">[3]Index!#REF!</definedName>
    <definedName name="___PAG3">[3]Index!#REF!</definedName>
    <definedName name="___PAG4" localSheetId="13">[3]Index!#REF!</definedName>
    <definedName name="___PAG4" localSheetId="15">[3]Index!#REF!</definedName>
    <definedName name="___PAG4">[3]Index!#REF!</definedName>
    <definedName name="___PAG5" localSheetId="13">[3]Index!#REF!</definedName>
    <definedName name="___PAG5" localSheetId="15">[3]Index!#REF!</definedName>
    <definedName name="___PAG5">[3]Index!#REF!</definedName>
    <definedName name="___PAG6" localSheetId="13">[3]Index!#REF!</definedName>
    <definedName name="___PAG6" localSheetId="15">[3]Index!#REF!</definedName>
    <definedName name="___PAG6">[3]Index!#REF!</definedName>
    <definedName name="___PAG7" localSheetId="13">#REF!</definedName>
    <definedName name="___PAG7" localSheetId="14">#REF!</definedName>
    <definedName name="___PAG7" localSheetId="15">#REF!</definedName>
    <definedName name="___PAG7" localSheetId="23">#REF!</definedName>
    <definedName name="___PAG7">#REF!</definedName>
    <definedName name="___pro2001">[4]pro2001!$A$1:$B$72</definedName>
    <definedName name="___RES2" localSheetId="13">[1]RES!#REF!</definedName>
    <definedName name="___RES2" localSheetId="14">[1]RES!#REF!</definedName>
    <definedName name="___RES2" localSheetId="15">[1]RES!#REF!</definedName>
    <definedName name="___RES2">[1]RES!#REF!</definedName>
    <definedName name="___TAB1" localSheetId="13">#REF!</definedName>
    <definedName name="___TAB1" localSheetId="14">#REF!</definedName>
    <definedName name="___TAB1" localSheetId="15">#REF!</definedName>
    <definedName name="___TAB1" localSheetId="23">#REF!</definedName>
    <definedName name="___TAB1">#REF!</definedName>
    <definedName name="___TAB10" localSheetId="13">#REF!</definedName>
    <definedName name="___TAB10" localSheetId="14">#REF!</definedName>
    <definedName name="___TAB10" localSheetId="15">#REF!</definedName>
    <definedName name="___TAB10" localSheetId="23">#REF!</definedName>
    <definedName name="___TAB10">#REF!</definedName>
    <definedName name="___TAB12" localSheetId="13">#REF!</definedName>
    <definedName name="___TAB12" localSheetId="14">#REF!</definedName>
    <definedName name="___TAB12" localSheetId="15">#REF!</definedName>
    <definedName name="___TAB12" localSheetId="23">#REF!</definedName>
    <definedName name="___TAB12">#REF!</definedName>
    <definedName name="___Tab19" localSheetId="13">#REF!</definedName>
    <definedName name="___Tab19" localSheetId="15">#REF!</definedName>
    <definedName name="___Tab19" localSheetId="23">#REF!</definedName>
    <definedName name="___Tab19">#REF!</definedName>
    <definedName name="___TAB2" localSheetId="13">#REF!</definedName>
    <definedName name="___TAB2" localSheetId="15">#REF!</definedName>
    <definedName name="___TAB2" localSheetId="23">#REF!</definedName>
    <definedName name="___TAB2">#REF!</definedName>
    <definedName name="___Tab20" localSheetId="13">#REF!</definedName>
    <definedName name="___Tab20" localSheetId="15">#REF!</definedName>
    <definedName name="___Tab20" localSheetId="23">#REF!</definedName>
    <definedName name="___Tab20">#REF!</definedName>
    <definedName name="___Tab21" localSheetId="13">#REF!</definedName>
    <definedName name="___Tab21" localSheetId="15">#REF!</definedName>
    <definedName name="___Tab21" localSheetId="23">#REF!</definedName>
    <definedName name="___Tab21">#REF!</definedName>
    <definedName name="___Tab22" localSheetId="13">#REF!</definedName>
    <definedName name="___Tab22" localSheetId="15">#REF!</definedName>
    <definedName name="___Tab22" localSheetId="23">#REF!</definedName>
    <definedName name="___Tab22">#REF!</definedName>
    <definedName name="___Tab23" localSheetId="13">#REF!</definedName>
    <definedName name="___Tab23" localSheetId="15">#REF!</definedName>
    <definedName name="___Tab23" localSheetId="23">#REF!</definedName>
    <definedName name="___Tab23">#REF!</definedName>
    <definedName name="___Tab24" localSheetId="13">#REF!</definedName>
    <definedName name="___Tab24" localSheetId="15">#REF!</definedName>
    <definedName name="___Tab24" localSheetId="23">#REF!</definedName>
    <definedName name="___Tab24">#REF!</definedName>
    <definedName name="___Tab26" localSheetId="13">#REF!</definedName>
    <definedName name="___Tab26" localSheetId="15">#REF!</definedName>
    <definedName name="___Tab26" localSheetId="23">#REF!</definedName>
    <definedName name="___Tab26">#REF!</definedName>
    <definedName name="___Tab27" localSheetId="13">#REF!</definedName>
    <definedName name="___Tab27" localSheetId="15">#REF!</definedName>
    <definedName name="___Tab27" localSheetId="23">#REF!</definedName>
    <definedName name="___Tab27">#REF!</definedName>
    <definedName name="___Tab28" localSheetId="13">#REF!</definedName>
    <definedName name="___Tab28" localSheetId="15">#REF!</definedName>
    <definedName name="___Tab28" localSheetId="23">#REF!</definedName>
    <definedName name="___Tab28">#REF!</definedName>
    <definedName name="___Tab29" localSheetId="13">#REF!</definedName>
    <definedName name="___Tab29" localSheetId="15">#REF!</definedName>
    <definedName name="___Tab29" localSheetId="23">#REF!</definedName>
    <definedName name="___Tab29">#REF!</definedName>
    <definedName name="___TAB3" localSheetId="13">#REF!</definedName>
    <definedName name="___TAB3" localSheetId="15">#REF!</definedName>
    <definedName name="___TAB3" localSheetId="23">#REF!</definedName>
    <definedName name="___TAB3">#REF!</definedName>
    <definedName name="___Tab30" localSheetId="13">#REF!</definedName>
    <definedName name="___Tab30" localSheetId="15">#REF!</definedName>
    <definedName name="___Tab30" localSheetId="23">#REF!</definedName>
    <definedName name="___Tab30">#REF!</definedName>
    <definedName name="___Tab31" localSheetId="13">#REF!</definedName>
    <definedName name="___Tab31" localSheetId="15">#REF!</definedName>
    <definedName name="___Tab31" localSheetId="23">#REF!</definedName>
    <definedName name="___Tab31">#REF!</definedName>
    <definedName name="___Tab32" localSheetId="13">#REF!</definedName>
    <definedName name="___Tab32" localSheetId="15">#REF!</definedName>
    <definedName name="___Tab32" localSheetId="23">#REF!</definedName>
    <definedName name="___Tab32">#REF!</definedName>
    <definedName name="___Tab33" localSheetId="13">#REF!</definedName>
    <definedName name="___Tab33" localSheetId="15">#REF!</definedName>
    <definedName name="___Tab33" localSheetId="23">#REF!</definedName>
    <definedName name="___Tab33">#REF!</definedName>
    <definedName name="___Tab34" localSheetId="13">#REF!</definedName>
    <definedName name="___Tab34" localSheetId="15">#REF!</definedName>
    <definedName name="___Tab34" localSheetId="23">#REF!</definedName>
    <definedName name="___Tab34">#REF!</definedName>
    <definedName name="___Tab35" localSheetId="13">#REF!</definedName>
    <definedName name="___Tab35" localSheetId="15">#REF!</definedName>
    <definedName name="___Tab35" localSheetId="23">#REF!</definedName>
    <definedName name="___Tab35">#REF!</definedName>
    <definedName name="___TAB4" localSheetId="13">#REF!</definedName>
    <definedName name="___TAB4" localSheetId="15">#REF!</definedName>
    <definedName name="___TAB4" localSheetId="23">#REF!</definedName>
    <definedName name="___TAB4">#REF!</definedName>
    <definedName name="___TAB5" localSheetId="13">#REF!</definedName>
    <definedName name="___TAB5" localSheetId="15">#REF!</definedName>
    <definedName name="___TAB5" localSheetId="23">#REF!</definedName>
    <definedName name="___TAB5">#REF!</definedName>
    <definedName name="___tab6" localSheetId="13">#REF!</definedName>
    <definedName name="___tab6" localSheetId="15">#REF!</definedName>
    <definedName name="___tab6" localSheetId="23">#REF!</definedName>
    <definedName name="___tab6">#REF!</definedName>
    <definedName name="___TAB7" localSheetId="13">#REF!</definedName>
    <definedName name="___TAB7" localSheetId="15">#REF!</definedName>
    <definedName name="___TAB7" localSheetId="23">#REF!</definedName>
    <definedName name="___TAB7">#REF!</definedName>
    <definedName name="___TAB8" localSheetId="13">#REF!</definedName>
    <definedName name="___TAB8" localSheetId="15">#REF!</definedName>
    <definedName name="___TAB8" localSheetId="23">#REF!</definedName>
    <definedName name="___TAB8">#REF!</definedName>
    <definedName name="___tab9" localSheetId="13">#REF!</definedName>
    <definedName name="___tab9" localSheetId="15">#REF!</definedName>
    <definedName name="___tab9" localSheetId="23">#REF!</definedName>
    <definedName name="___tab9">#REF!</definedName>
    <definedName name="___TB41" localSheetId="13">#REF!</definedName>
    <definedName name="___TB41" localSheetId="15">#REF!</definedName>
    <definedName name="___TB41" localSheetId="23">#REF!</definedName>
    <definedName name="___TB41">#REF!</definedName>
    <definedName name="___WEO1" localSheetId="13">#REF!</definedName>
    <definedName name="___WEO1" localSheetId="15">#REF!</definedName>
    <definedName name="___WEO1" localSheetId="23">#REF!</definedName>
    <definedName name="___WEO1">#REF!</definedName>
    <definedName name="___WEO2" localSheetId="13">#REF!</definedName>
    <definedName name="___WEO2" localSheetId="15">#REF!</definedName>
    <definedName name="___WEO2" localSheetId="23">#REF!</definedName>
    <definedName name="___WEO2">#REF!</definedName>
    <definedName name="__123Graph_A" localSheetId="3" hidden="1">#REF!</definedName>
    <definedName name="__123Graph_A" localSheetId="13" hidden="1">#REF!</definedName>
    <definedName name="__123Graph_A" localSheetId="15" hidden="1">#REF!</definedName>
    <definedName name="__123Graph_A" localSheetId="23" hidden="1">#REF!</definedName>
    <definedName name="__123Graph_A" localSheetId="4" hidden="1">#REF!</definedName>
    <definedName name="__123Graph_A" hidden="1">#REF!</definedName>
    <definedName name="__123Graph_ABERLGRAP" localSheetId="3" hidden="1">'[5]Time series'!#REF!</definedName>
    <definedName name="__123Graph_ABERLGRAP" localSheetId="13" hidden="1">'[5]Time series'!#REF!</definedName>
    <definedName name="__123Graph_ABERLGRAP" localSheetId="15" hidden="1">'[5]Time series'!#REF!</definedName>
    <definedName name="__123Graph_ABERLGRAP" localSheetId="4" hidden="1">'[5]Time series'!#REF!</definedName>
    <definedName name="__123Graph_ABERLGRAP" hidden="1">'[5]Time series'!#REF!</definedName>
    <definedName name="__123Graph_ACATCH1" localSheetId="3" hidden="1">'[5]Time series'!#REF!</definedName>
    <definedName name="__123Graph_ACATCH1" localSheetId="13" hidden="1">'[5]Time series'!#REF!</definedName>
    <definedName name="__123Graph_ACATCH1" localSheetId="15" hidden="1">'[5]Time series'!#REF!</definedName>
    <definedName name="__123Graph_ACATCH1" localSheetId="4" hidden="1">'[5]Time series'!#REF!</definedName>
    <definedName name="__123Graph_ACATCH1" hidden="1">'[5]Time series'!#REF!</definedName>
    <definedName name="__123Graph_ACONVERG1" localSheetId="3" hidden="1">'[5]Time series'!#REF!</definedName>
    <definedName name="__123Graph_ACONVERG1" localSheetId="13" hidden="1">'[5]Time series'!#REF!</definedName>
    <definedName name="__123Graph_ACONVERG1" localSheetId="15" hidden="1">'[5]Time series'!#REF!</definedName>
    <definedName name="__123Graph_ACONVERG1" localSheetId="4" hidden="1">'[5]Time series'!#REF!</definedName>
    <definedName name="__123Graph_ACONVERG1" hidden="1">'[5]Time series'!#REF!</definedName>
    <definedName name="__123Graph_AECTOT" localSheetId="3" hidden="1">#REF!</definedName>
    <definedName name="__123Graph_AECTOT" localSheetId="13" hidden="1">#REF!</definedName>
    <definedName name="__123Graph_AECTOT" localSheetId="15" hidden="1">#REF!</definedName>
    <definedName name="__123Graph_AECTOT" localSheetId="4" hidden="1">#REF!</definedName>
    <definedName name="__123Graph_AECTOT" hidden="1">#REF!</definedName>
    <definedName name="__123Graph_AEXP" localSheetId="3" hidden="1">#REF!</definedName>
    <definedName name="__123Graph_AEXP" localSheetId="13" hidden="1">#REF!</definedName>
    <definedName name="__123Graph_AEXP" localSheetId="15" hidden="1">#REF!</definedName>
    <definedName name="__123Graph_AEXP" localSheetId="23" hidden="1">#REF!</definedName>
    <definedName name="__123Graph_AEXP" localSheetId="4" hidden="1">#REF!</definedName>
    <definedName name="__123Graph_AEXP" hidden="1">#REF!</definedName>
    <definedName name="__123Graph_AGRAPH2" localSheetId="3" hidden="1">'[5]Time series'!#REF!</definedName>
    <definedName name="__123Graph_AGRAPH2" localSheetId="13" hidden="1">'[5]Time series'!#REF!</definedName>
    <definedName name="__123Graph_AGRAPH2" localSheetId="15" hidden="1">'[5]Time series'!#REF!</definedName>
    <definedName name="__123Graph_AGRAPH2" localSheetId="4" hidden="1">'[5]Time series'!#REF!</definedName>
    <definedName name="__123Graph_AGRAPH2" hidden="1">'[5]Time series'!#REF!</definedName>
    <definedName name="__123Graph_AGRAPH41" localSheetId="3" hidden="1">'[5]Time series'!#REF!</definedName>
    <definedName name="__123Graph_AGRAPH41" localSheetId="13" hidden="1">'[5]Time series'!#REF!</definedName>
    <definedName name="__123Graph_AGRAPH41" localSheetId="15" hidden="1">'[5]Time series'!#REF!</definedName>
    <definedName name="__123Graph_AGRAPH41" localSheetId="4" hidden="1">'[5]Time series'!#REF!</definedName>
    <definedName name="__123Graph_AGRAPH41" hidden="1">'[5]Time series'!#REF!</definedName>
    <definedName name="__123Graph_AGRAPH42" localSheetId="3" hidden="1">'[5]Time series'!#REF!</definedName>
    <definedName name="__123Graph_AGRAPH42" localSheetId="13" hidden="1">'[5]Time series'!#REF!</definedName>
    <definedName name="__123Graph_AGRAPH42" localSheetId="15" hidden="1">'[5]Time series'!#REF!</definedName>
    <definedName name="__123Graph_AGRAPH42" localSheetId="4" hidden="1">'[5]Time series'!#REF!</definedName>
    <definedName name="__123Graph_AGRAPH42" hidden="1">'[5]Time series'!#REF!</definedName>
    <definedName name="__123Graph_AGRAPH44" localSheetId="3" hidden="1">'[5]Time series'!#REF!</definedName>
    <definedName name="__123Graph_AGRAPH44" localSheetId="13" hidden="1">'[5]Time series'!#REF!</definedName>
    <definedName name="__123Graph_AGRAPH44" localSheetId="15" hidden="1">'[5]Time series'!#REF!</definedName>
    <definedName name="__123Graph_AGRAPH44" localSheetId="4" hidden="1">'[5]Time series'!#REF!</definedName>
    <definedName name="__123Graph_AGRAPH44" hidden="1">'[5]Time series'!#REF!</definedName>
    <definedName name="__123Graph_APERIB" localSheetId="3" hidden="1">'[5]Time series'!#REF!</definedName>
    <definedName name="__123Graph_APERIB" localSheetId="13" hidden="1">'[5]Time series'!#REF!</definedName>
    <definedName name="__123Graph_APERIB" localSheetId="15" hidden="1">'[5]Time series'!#REF!</definedName>
    <definedName name="__123Graph_APERIB" localSheetId="4" hidden="1">'[5]Time series'!#REF!</definedName>
    <definedName name="__123Graph_APERIB" hidden="1">'[5]Time series'!#REF!</definedName>
    <definedName name="__123Graph_APRODABSC" localSheetId="3" hidden="1">'[5]Time series'!#REF!</definedName>
    <definedName name="__123Graph_APRODABSC" localSheetId="13" hidden="1">'[5]Time series'!#REF!</definedName>
    <definedName name="__123Graph_APRODABSC" localSheetId="15" hidden="1">'[5]Time series'!#REF!</definedName>
    <definedName name="__123Graph_APRODABSC" localSheetId="4" hidden="1">'[5]Time series'!#REF!</definedName>
    <definedName name="__123Graph_APRODABSC" hidden="1">'[5]Time series'!#REF!</definedName>
    <definedName name="__123Graph_APRODABSD" localSheetId="3" hidden="1">'[5]Time series'!#REF!</definedName>
    <definedName name="__123Graph_APRODABSD" localSheetId="13" hidden="1">'[5]Time series'!#REF!</definedName>
    <definedName name="__123Graph_APRODABSD" localSheetId="15" hidden="1">'[5]Time series'!#REF!</definedName>
    <definedName name="__123Graph_APRODABSD" localSheetId="4" hidden="1">'[5]Time series'!#REF!</definedName>
    <definedName name="__123Graph_APRODABSD" hidden="1">'[5]Time series'!#REF!</definedName>
    <definedName name="__123Graph_APRODTRE2" localSheetId="3" hidden="1">'[5]Time series'!#REF!</definedName>
    <definedName name="__123Graph_APRODTRE2" localSheetId="13" hidden="1">'[5]Time series'!#REF!</definedName>
    <definedName name="__123Graph_APRODTRE2" localSheetId="15" hidden="1">'[5]Time series'!#REF!</definedName>
    <definedName name="__123Graph_APRODTRE2" localSheetId="4" hidden="1">'[5]Time series'!#REF!</definedName>
    <definedName name="__123Graph_APRODTRE2" hidden="1">'[5]Time series'!#REF!</definedName>
    <definedName name="__123Graph_APRODTRE3" localSheetId="3" hidden="1">'[5]Time series'!#REF!</definedName>
    <definedName name="__123Graph_APRODTRE3" localSheetId="13" hidden="1">'[5]Time series'!#REF!</definedName>
    <definedName name="__123Graph_APRODTRE3" localSheetId="15" hidden="1">'[5]Time series'!#REF!</definedName>
    <definedName name="__123Graph_APRODTRE3" localSheetId="4" hidden="1">'[5]Time series'!#REF!</definedName>
    <definedName name="__123Graph_APRODTRE3" hidden="1">'[5]Time series'!#REF!</definedName>
    <definedName name="__123Graph_APRODTRE4" localSheetId="3" hidden="1">'[5]Time series'!#REF!</definedName>
    <definedName name="__123Graph_APRODTRE4" localSheetId="13" hidden="1">'[5]Time series'!#REF!</definedName>
    <definedName name="__123Graph_APRODTRE4" localSheetId="15" hidden="1">'[5]Time series'!#REF!</definedName>
    <definedName name="__123Graph_APRODTRE4" localSheetId="4" hidden="1">'[5]Time series'!#REF!</definedName>
    <definedName name="__123Graph_APRODTRE4" hidden="1">'[5]Time series'!#REF!</definedName>
    <definedName name="__123Graph_APRODTREND" localSheetId="3" hidden="1">'[5]Time series'!#REF!</definedName>
    <definedName name="__123Graph_APRODTREND" localSheetId="13" hidden="1">'[5]Time series'!#REF!</definedName>
    <definedName name="__123Graph_APRODTREND" localSheetId="15" hidden="1">'[5]Time series'!#REF!</definedName>
    <definedName name="__123Graph_APRODTREND" localSheetId="4" hidden="1">'[5]Time series'!#REF!</definedName>
    <definedName name="__123Graph_APRODTREND" hidden="1">'[5]Time series'!#REF!</definedName>
    <definedName name="__123Graph_ATEST1" localSheetId="16" hidden="1">[6]REER!$AZ$144:$AZ$210</definedName>
    <definedName name="__123Graph_ATEST1" localSheetId="18" hidden="1">[6]REER!$AZ$144:$AZ$210</definedName>
    <definedName name="__123Graph_ATEST1" hidden="1">[7]REER!$AZ$144:$AZ$210</definedName>
    <definedName name="__123Graph_AUTRECHT" localSheetId="3" hidden="1">'[5]Time series'!#REF!</definedName>
    <definedName name="__123Graph_AUTRECHT" localSheetId="13" hidden="1">'[5]Time series'!#REF!</definedName>
    <definedName name="__123Graph_AUTRECHT" localSheetId="15" hidden="1">'[5]Time series'!#REF!</definedName>
    <definedName name="__123Graph_AUTRECHT" localSheetId="23" hidden="1">'[5]Time series'!#REF!</definedName>
    <definedName name="__123Graph_AUTRECHT" localSheetId="4" hidden="1">'[5]Time series'!#REF!</definedName>
    <definedName name="__123Graph_AUTRECHT" hidden="1">'[5]Time series'!#REF!</definedName>
    <definedName name="__123Graph_B" localSheetId="3" hidden="1">#REF!</definedName>
    <definedName name="__123Graph_B" localSheetId="13" hidden="1">#REF!</definedName>
    <definedName name="__123Graph_B" localSheetId="15" hidden="1">#REF!</definedName>
    <definedName name="__123Graph_B" localSheetId="23" hidden="1">#REF!</definedName>
    <definedName name="__123Graph_B" localSheetId="4" hidden="1">#REF!</definedName>
    <definedName name="__123Graph_B" hidden="1">#REF!</definedName>
    <definedName name="__123Graph_BBERLGRAP" localSheetId="3" hidden="1">'[5]Time series'!#REF!</definedName>
    <definedName name="__123Graph_BBERLGRAP" localSheetId="13" hidden="1">'[5]Time series'!#REF!</definedName>
    <definedName name="__123Graph_BBERLGRAP" localSheetId="15" hidden="1">'[5]Time series'!#REF!</definedName>
    <definedName name="__123Graph_BBERLGRAP" localSheetId="4" hidden="1">'[5]Time series'!#REF!</definedName>
    <definedName name="__123Graph_BBERLGRAP" hidden="1">'[5]Time series'!#REF!</definedName>
    <definedName name="__123Graph_BCATCH1" localSheetId="3" hidden="1">'[5]Time series'!#REF!</definedName>
    <definedName name="__123Graph_BCATCH1" localSheetId="13" hidden="1">'[5]Time series'!#REF!</definedName>
    <definedName name="__123Graph_BCATCH1" localSheetId="15" hidden="1">'[5]Time series'!#REF!</definedName>
    <definedName name="__123Graph_BCATCH1" localSheetId="4" hidden="1">'[5]Time series'!#REF!</definedName>
    <definedName name="__123Graph_BCATCH1" hidden="1">'[5]Time series'!#REF!</definedName>
    <definedName name="__123Graph_BCONVERG1" localSheetId="3" hidden="1">'[5]Time series'!#REF!</definedName>
    <definedName name="__123Graph_BCONVERG1" localSheetId="13" hidden="1">'[5]Time series'!#REF!</definedName>
    <definedName name="__123Graph_BCONVERG1" localSheetId="15" hidden="1">'[5]Time series'!#REF!</definedName>
    <definedName name="__123Graph_BCONVERG1" localSheetId="4" hidden="1">'[5]Time series'!#REF!</definedName>
    <definedName name="__123Graph_BCONVERG1" hidden="1">'[5]Time series'!#REF!</definedName>
    <definedName name="__123Graph_BCurrent" localSheetId="3" hidden="1">[8]G!#REF!</definedName>
    <definedName name="__123Graph_BCurrent" localSheetId="13" hidden="1">[8]G!#REF!</definedName>
    <definedName name="__123Graph_BCurrent" localSheetId="15" hidden="1">[8]G!#REF!</definedName>
    <definedName name="__123Graph_BCurrent" localSheetId="23" hidden="1">[8]G!#REF!</definedName>
    <definedName name="__123Graph_BCurrent" localSheetId="4" hidden="1">[8]G!#REF!</definedName>
    <definedName name="__123Graph_BCurrent" hidden="1">[8]G!#REF!</definedName>
    <definedName name="__123Graph_BECTOT" localSheetId="3" hidden="1">#REF!</definedName>
    <definedName name="__123Graph_BECTOT" localSheetId="13" hidden="1">#REF!</definedName>
    <definedName name="__123Graph_BECTOT" localSheetId="15" hidden="1">#REF!</definedName>
    <definedName name="__123Graph_BECTOT" localSheetId="4" hidden="1">#REF!</definedName>
    <definedName name="__123Graph_BECTOT" hidden="1">#REF!</definedName>
    <definedName name="__123Graph_BGDP" localSheetId="3" hidden="1">'[9]Quarterly Program'!#REF!</definedName>
    <definedName name="__123Graph_BGDP" localSheetId="13" hidden="1">'[9]Quarterly Program'!#REF!</definedName>
    <definedName name="__123Graph_BGDP" localSheetId="15" hidden="1">'[9]Quarterly Program'!#REF!</definedName>
    <definedName name="__123Graph_BGDP" localSheetId="23" hidden="1">'[9]Quarterly Program'!#REF!</definedName>
    <definedName name="__123Graph_BGDP" localSheetId="4" hidden="1">'[9]Quarterly Program'!#REF!</definedName>
    <definedName name="__123Graph_BGDP" hidden="1">'[9]Quarterly Program'!#REF!</definedName>
    <definedName name="__123Graph_BGRAPH2" localSheetId="3" hidden="1">'[5]Time series'!#REF!</definedName>
    <definedName name="__123Graph_BGRAPH2" localSheetId="13" hidden="1">'[5]Time series'!#REF!</definedName>
    <definedName name="__123Graph_BGRAPH2" localSheetId="15" hidden="1">'[5]Time series'!#REF!</definedName>
    <definedName name="__123Graph_BGRAPH2" localSheetId="4" hidden="1">'[5]Time series'!#REF!</definedName>
    <definedName name="__123Graph_BGRAPH2" hidden="1">'[5]Time series'!#REF!</definedName>
    <definedName name="__123Graph_BGRAPH41" localSheetId="3" hidden="1">'[5]Time series'!#REF!</definedName>
    <definedName name="__123Graph_BGRAPH41" localSheetId="13" hidden="1">'[5]Time series'!#REF!</definedName>
    <definedName name="__123Graph_BGRAPH41" localSheetId="15" hidden="1">'[5]Time series'!#REF!</definedName>
    <definedName name="__123Graph_BGRAPH41" localSheetId="4" hidden="1">'[5]Time series'!#REF!</definedName>
    <definedName name="__123Graph_BGRAPH41" hidden="1">'[5]Time series'!#REF!</definedName>
    <definedName name="__123Graph_BMONEY" localSheetId="3" hidden="1">'[9]Quarterly Program'!#REF!</definedName>
    <definedName name="__123Graph_BMONEY" localSheetId="13" hidden="1">'[9]Quarterly Program'!#REF!</definedName>
    <definedName name="__123Graph_BMONEY" localSheetId="15" hidden="1">'[9]Quarterly Program'!#REF!</definedName>
    <definedName name="__123Graph_BMONEY" localSheetId="4" hidden="1">'[9]Quarterly Program'!#REF!</definedName>
    <definedName name="__123Graph_BMONEY" hidden="1">'[9]Quarterly Program'!#REF!</definedName>
    <definedName name="__123Graph_BPERIB" localSheetId="3" hidden="1">'[5]Time series'!#REF!</definedName>
    <definedName name="__123Graph_BPERIB" localSheetId="13" hidden="1">'[5]Time series'!#REF!</definedName>
    <definedName name="__123Graph_BPERIB" localSheetId="15" hidden="1">'[5]Time series'!#REF!</definedName>
    <definedName name="__123Graph_BPERIB" localSheetId="4" hidden="1">'[5]Time series'!#REF!</definedName>
    <definedName name="__123Graph_BPERIB" hidden="1">'[5]Time series'!#REF!</definedName>
    <definedName name="__123Graph_BPRODABSC" localSheetId="3" hidden="1">'[5]Time series'!#REF!</definedName>
    <definedName name="__123Graph_BPRODABSC" localSheetId="13" hidden="1">'[5]Time series'!#REF!</definedName>
    <definedName name="__123Graph_BPRODABSC" localSheetId="15" hidden="1">'[5]Time series'!#REF!</definedName>
    <definedName name="__123Graph_BPRODABSC" localSheetId="4" hidden="1">'[5]Time series'!#REF!</definedName>
    <definedName name="__123Graph_BPRODABSC" hidden="1">'[5]Time series'!#REF!</definedName>
    <definedName name="__123Graph_BPRODABSD" localSheetId="3" hidden="1">'[5]Time series'!#REF!</definedName>
    <definedName name="__123Graph_BPRODABSD" localSheetId="13" hidden="1">'[5]Time series'!#REF!</definedName>
    <definedName name="__123Graph_BPRODABSD" localSheetId="15" hidden="1">'[5]Time series'!#REF!</definedName>
    <definedName name="__123Graph_BPRODABSD" localSheetId="4" hidden="1">'[5]Time series'!#REF!</definedName>
    <definedName name="__123Graph_BPRODABSD" hidden="1">'[5]Time series'!#REF!</definedName>
    <definedName name="__123Graph_BREER3" localSheetId="16" hidden="1">[6]REER!$BB$144:$BB$212</definedName>
    <definedName name="__123Graph_BREER3" localSheetId="18" hidden="1">[6]REER!$BB$144:$BB$212</definedName>
    <definedName name="__123Graph_BREER3" hidden="1">[7]REER!$BB$144:$BB$212</definedName>
    <definedName name="__123Graph_BTEST1" localSheetId="16" hidden="1">[6]REER!$AY$144:$AY$210</definedName>
    <definedName name="__123Graph_BTEST1" localSheetId="18" hidden="1">[6]REER!$AY$144:$AY$210</definedName>
    <definedName name="__123Graph_BTEST1" hidden="1">[7]REER!$AY$144:$AY$210</definedName>
    <definedName name="__123Graph_C" localSheetId="3" hidden="1">#REF!</definedName>
    <definedName name="__123Graph_C" localSheetId="13" hidden="1">#REF!</definedName>
    <definedName name="__123Graph_C" localSheetId="15" hidden="1">#REF!</definedName>
    <definedName name="__123Graph_C" localSheetId="4" hidden="1">#REF!</definedName>
    <definedName name="__123Graph_C" hidden="1">#REF!</definedName>
    <definedName name="__123Graph_CBERLGRAP" localSheetId="3" hidden="1">'[5]Time series'!#REF!</definedName>
    <definedName name="__123Graph_CBERLGRAP" localSheetId="13" hidden="1">'[5]Time series'!#REF!</definedName>
    <definedName name="__123Graph_CBERLGRAP" localSheetId="15" hidden="1">'[5]Time series'!#REF!</definedName>
    <definedName name="__123Graph_CBERLGRAP" localSheetId="4" hidden="1">'[5]Time series'!#REF!</definedName>
    <definedName name="__123Graph_CBERLGRAP" hidden="1">'[5]Time series'!#REF!</definedName>
    <definedName name="__123Graph_CCATCH1" localSheetId="3" hidden="1">'[5]Time series'!#REF!</definedName>
    <definedName name="__123Graph_CCATCH1" localSheetId="13" hidden="1">'[5]Time series'!#REF!</definedName>
    <definedName name="__123Graph_CCATCH1" localSheetId="15" hidden="1">'[5]Time series'!#REF!</definedName>
    <definedName name="__123Graph_CCATCH1" localSheetId="4" hidden="1">'[5]Time series'!#REF!</definedName>
    <definedName name="__123Graph_CCATCH1" hidden="1">'[5]Time series'!#REF!</definedName>
    <definedName name="__123Graph_CECTOT" localSheetId="3" hidden="1">#REF!</definedName>
    <definedName name="__123Graph_CECTOT" localSheetId="13" hidden="1">#REF!</definedName>
    <definedName name="__123Graph_CECTOT" localSheetId="15" hidden="1">#REF!</definedName>
    <definedName name="__123Graph_CECTOT" localSheetId="4" hidden="1">#REF!</definedName>
    <definedName name="__123Graph_CECTOT" hidden="1">#REF!</definedName>
    <definedName name="__123Graph_CGRAPH41" localSheetId="3" hidden="1">'[5]Time series'!#REF!</definedName>
    <definedName name="__123Graph_CGRAPH41" localSheetId="13" hidden="1">'[5]Time series'!#REF!</definedName>
    <definedName name="__123Graph_CGRAPH41" localSheetId="15" hidden="1">'[5]Time series'!#REF!</definedName>
    <definedName name="__123Graph_CGRAPH41" localSheetId="4" hidden="1">'[5]Time series'!#REF!</definedName>
    <definedName name="__123Graph_CGRAPH41" hidden="1">'[5]Time series'!#REF!</definedName>
    <definedName name="__123Graph_CGRAPH44" localSheetId="3" hidden="1">'[5]Time series'!#REF!</definedName>
    <definedName name="__123Graph_CGRAPH44" localSheetId="13" hidden="1">'[5]Time series'!#REF!</definedName>
    <definedName name="__123Graph_CGRAPH44" localSheetId="15" hidden="1">'[5]Time series'!#REF!</definedName>
    <definedName name="__123Graph_CGRAPH44" localSheetId="4" hidden="1">'[5]Time series'!#REF!</definedName>
    <definedName name="__123Graph_CGRAPH44" hidden="1">'[5]Time series'!#REF!</definedName>
    <definedName name="__123Graph_CPERIA" localSheetId="3" hidden="1">'[5]Time series'!#REF!</definedName>
    <definedName name="__123Graph_CPERIA" localSheetId="13" hidden="1">'[5]Time series'!#REF!</definedName>
    <definedName name="__123Graph_CPERIA" localSheetId="15" hidden="1">'[5]Time series'!#REF!</definedName>
    <definedName name="__123Graph_CPERIA" localSheetId="4" hidden="1">'[5]Time series'!#REF!</definedName>
    <definedName name="__123Graph_CPERIA" hidden="1">'[5]Time series'!#REF!</definedName>
    <definedName name="__123Graph_CPERIB" localSheetId="3" hidden="1">'[5]Time series'!#REF!</definedName>
    <definedName name="__123Graph_CPERIB" localSheetId="13" hidden="1">'[5]Time series'!#REF!</definedName>
    <definedName name="__123Graph_CPERIB" localSheetId="15" hidden="1">'[5]Time series'!#REF!</definedName>
    <definedName name="__123Graph_CPERIB" localSheetId="4" hidden="1">'[5]Time series'!#REF!</definedName>
    <definedName name="__123Graph_CPERIB" hidden="1">'[5]Time series'!#REF!</definedName>
    <definedName name="__123Graph_CPRODABSC" localSheetId="3" hidden="1">'[5]Time series'!#REF!</definedName>
    <definedName name="__123Graph_CPRODABSC" localSheetId="13" hidden="1">'[5]Time series'!#REF!</definedName>
    <definedName name="__123Graph_CPRODABSC" localSheetId="15" hidden="1">'[5]Time series'!#REF!</definedName>
    <definedName name="__123Graph_CPRODABSC" localSheetId="4" hidden="1">'[5]Time series'!#REF!</definedName>
    <definedName name="__123Graph_CPRODABSC" hidden="1">'[5]Time series'!#REF!</definedName>
    <definedName name="__123Graph_CPRODTRE2" localSheetId="3" hidden="1">'[5]Time series'!#REF!</definedName>
    <definedName name="__123Graph_CPRODTRE2" localSheetId="13" hidden="1">'[5]Time series'!#REF!</definedName>
    <definedName name="__123Graph_CPRODTRE2" localSheetId="15" hidden="1">'[5]Time series'!#REF!</definedName>
    <definedName name="__123Graph_CPRODTRE2" localSheetId="4" hidden="1">'[5]Time series'!#REF!</definedName>
    <definedName name="__123Graph_CPRODTRE2" hidden="1">'[5]Time series'!#REF!</definedName>
    <definedName name="__123Graph_CPRODTREND" localSheetId="3" hidden="1">'[5]Time series'!#REF!</definedName>
    <definedName name="__123Graph_CPRODTREND" localSheetId="13" hidden="1">'[5]Time series'!#REF!</definedName>
    <definedName name="__123Graph_CPRODTREND" localSheetId="15" hidden="1">'[5]Time series'!#REF!</definedName>
    <definedName name="__123Graph_CPRODTREND" localSheetId="4" hidden="1">'[5]Time series'!#REF!</definedName>
    <definedName name="__123Graph_CPRODTREND" hidden="1">'[5]Time series'!#REF!</definedName>
    <definedName name="__123Graph_CREER3" localSheetId="16" hidden="1">[6]REER!$BB$144:$BB$212</definedName>
    <definedName name="__123Graph_CREER3" localSheetId="18" hidden="1">[6]REER!$BB$144:$BB$212</definedName>
    <definedName name="__123Graph_CREER3" hidden="1">[7]REER!$BB$144:$BB$212</definedName>
    <definedName name="__123Graph_CTEST1" localSheetId="16" hidden="1">[6]REER!$BK$140:$BK$140</definedName>
    <definedName name="__123Graph_CTEST1" localSheetId="18" hidden="1">[6]REER!$BK$140:$BK$140</definedName>
    <definedName name="__123Graph_CTEST1" hidden="1">[7]REER!$BK$140:$BK$140</definedName>
    <definedName name="__123Graph_CUTRECHT" localSheetId="3" hidden="1">'[5]Time series'!#REF!</definedName>
    <definedName name="__123Graph_CUTRECHT" localSheetId="13" hidden="1">'[5]Time series'!#REF!</definedName>
    <definedName name="__123Graph_CUTRECHT" localSheetId="15" hidden="1">'[5]Time series'!#REF!</definedName>
    <definedName name="__123Graph_CUTRECHT" localSheetId="23" hidden="1">'[5]Time series'!#REF!</definedName>
    <definedName name="__123Graph_CUTRECHT" localSheetId="4" hidden="1">'[5]Time series'!#REF!</definedName>
    <definedName name="__123Graph_CUTRECHT" hidden="1">'[5]Time series'!#REF!</definedName>
    <definedName name="__123Graph_D" localSheetId="3" hidden="1">#REF!</definedName>
    <definedName name="__123Graph_D" localSheetId="13" hidden="1">#REF!</definedName>
    <definedName name="__123Graph_D" localSheetId="15" hidden="1">#REF!</definedName>
    <definedName name="__123Graph_D" localSheetId="4" hidden="1">#REF!</definedName>
    <definedName name="__123Graph_D" hidden="1">#REF!</definedName>
    <definedName name="__123Graph_DBERLGRAP" localSheetId="3" hidden="1">'[5]Time series'!#REF!</definedName>
    <definedName name="__123Graph_DBERLGRAP" localSheetId="13" hidden="1">'[5]Time series'!#REF!</definedName>
    <definedName name="__123Graph_DBERLGRAP" localSheetId="15" hidden="1">'[5]Time series'!#REF!</definedName>
    <definedName name="__123Graph_DBERLGRAP" localSheetId="4" hidden="1">'[5]Time series'!#REF!</definedName>
    <definedName name="__123Graph_DBERLGRAP" hidden="1">'[5]Time series'!#REF!</definedName>
    <definedName name="__123Graph_DCATCH1" localSheetId="3" hidden="1">'[5]Time series'!#REF!</definedName>
    <definedName name="__123Graph_DCATCH1" localSheetId="13" hidden="1">'[5]Time series'!#REF!</definedName>
    <definedName name="__123Graph_DCATCH1" localSheetId="15" hidden="1">'[5]Time series'!#REF!</definedName>
    <definedName name="__123Graph_DCATCH1" localSheetId="4" hidden="1">'[5]Time series'!#REF!</definedName>
    <definedName name="__123Graph_DCATCH1" hidden="1">'[5]Time series'!#REF!</definedName>
    <definedName name="__123Graph_DCONVERG1" localSheetId="3" hidden="1">'[5]Time series'!#REF!</definedName>
    <definedName name="__123Graph_DCONVERG1" localSheetId="13" hidden="1">'[5]Time series'!#REF!</definedName>
    <definedName name="__123Graph_DCONVERG1" localSheetId="15" hidden="1">'[5]Time series'!#REF!</definedName>
    <definedName name="__123Graph_DCONVERG1" localSheetId="4" hidden="1">'[5]Time series'!#REF!</definedName>
    <definedName name="__123Graph_DCONVERG1" hidden="1">'[5]Time series'!#REF!</definedName>
    <definedName name="__123Graph_DECTOT" localSheetId="3" hidden="1">#REF!</definedName>
    <definedName name="__123Graph_DECTOT" localSheetId="13" hidden="1">#REF!</definedName>
    <definedName name="__123Graph_DECTOT" localSheetId="15" hidden="1">#REF!</definedName>
    <definedName name="__123Graph_DECTOT" localSheetId="4" hidden="1">#REF!</definedName>
    <definedName name="__123Graph_DECTOT" hidden="1">#REF!</definedName>
    <definedName name="__123Graph_DGRAPH41" localSheetId="3" hidden="1">'[5]Time series'!#REF!</definedName>
    <definedName name="__123Graph_DGRAPH41" localSheetId="13" hidden="1">'[5]Time series'!#REF!</definedName>
    <definedName name="__123Graph_DGRAPH41" localSheetId="15" hidden="1">'[5]Time series'!#REF!</definedName>
    <definedName name="__123Graph_DGRAPH41" localSheetId="4" hidden="1">'[5]Time series'!#REF!</definedName>
    <definedName name="__123Graph_DGRAPH41" hidden="1">'[5]Time series'!#REF!</definedName>
    <definedName name="__123Graph_DPERIA" localSheetId="3" hidden="1">'[5]Time series'!#REF!</definedName>
    <definedName name="__123Graph_DPERIA" localSheetId="13" hidden="1">'[5]Time series'!#REF!</definedName>
    <definedName name="__123Graph_DPERIA" localSheetId="15" hidden="1">'[5]Time series'!#REF!</definedName>
    <definedName name="__123Graph_DPERIA" localSheetId="4" hidden="1">'[5]Time series'!#REF!</definedName>
    <definedName name="__123Graph_DPERIA" hidden="1">'[5]Time series'!#REF!</definedName>
    <definedName name="__123Graph_DPERIB" localSheetId="3" hidden="1">'[5]Time series'!#REF!</definedName>
    <definedName name="__123Graph_DPERIB" localSheetId="13" hidden="1">'[5]Time series'!#REF!</definedName>
    <definedName name="__123Graph_DPERIB" localSheetId="15" hidden="1">'[5]Time series'!#REF!</definedName>
    <definedName name="__123Graph_DPERIB" localSheetId="4" hidden="1">'[5]Time series'!#REF!</definedName>
    <definedName name="__123Graph_DPERIB" hidden="1">'[5]Time series'!#REF!</definedName>
    <definedName name="__123Graph_DPRODABSC" localSheetId="3" hidden="1">'[5]Time series'!#REF!</definedName>
    <definedName name="__123Graph_DPRODABSC" localSheetId="13" hidden="1">'[5]Time series'!#REF!</definedName>
    <definedName name="__123Graph_DPRODABSC" localSheetId="15" hidden="1">'[5]Time series'!#REF!</definedName>
    <definedName name="__123Graph_DPRODABSC" localSheetId="4" hidden="1">'[5]Time series'!#REF!</definedName>
    <definedName name="__123Graph_DPRODABSC" hidden="1">'[5]Time series'!#REF!</definedName>
    <definedName name="__123Graph_DREER3" localSheetId="16" hidden="1">[6]REER!$BB$144:$BB$210</definedName>
    <definedName name="__123Graph_DREER3" localSheetId="18" hidden="1">[6]REER!$BB$144:$BB$210</definedName>
    <definedName name="__123Graph_DREER3" hidden="1">[7]REER!$BB$144:$BB$210</definedName>
    <definedName name="__123Graph_DTEST1" localSheetId="16" hidden="1">[6]REER!$BB$144:$BB$210</definedName>
    <definedName name="__123Graph_DTEST1" localSheetId="18" hidden="1">[6]REER!$BB$144:$BB$210</definedName>
    <definedName name="__123Graph_DTEST1" hidden="1">[7]REER!$BB$144:$BB$210</definedName>
    <definedName name="__123Graph_DUTRECHT" localSheetId="3" hidden="1">'[5]Time series'!#REF!</definedName>
    <definedName name="__123Graph_DUTRECHT" localSheetId="13" hidden="1">'[5]Time series'!#REF!</definedName>
    <definedName name="__123Graph_DUTRECHT" localSheetId="15" hidden="1">'[5]Time series'!#REF!</definedName>
    <definedName name="__123Graph_DUTRECHT" localSheetId="23" hidden="1">'[5]Time series'!#REF!</definedName>
    <definedName name="__123Graph_DUTRECHT" localSheetId="4" hidden="1">'[5]Time series'!#REF!</definedName>
    <definedName name="__123Graph_DUTRECHT" hidden="1">'[5]Time series'!#REF!</definedName>
    <definedName name="__123Graph_E" localSheetId="3" hidden="1">#REF!</definedName>
    <definedName name="__123Graph_E" localSheetId="13" hidden="1">#REF!</definedName>
    <definedName name="__123Graph_E" localSheetId="15" hidden="1">#REF!</definedName>
    <definedName name="__123Graph_E" localSheetId="4" hidden="1">#REF!</definedName>
    <definedName name="__123Graph_E" hidden="1">#REF!</definedName>
    <definedName name="__123Graph_EBERLGRAP" localSheetId="3" hidden="1">'[5]Time series'!#REF!</definedName>
    <definedName name="__123Graph_EBERLGRAP" localSheetId="13" hidden="1">'[5]Time series'!#REF!</definedName>
    <definedName name="__123Graph_EBERLGRAP" localSheetId="15" hidden="1">'[5]Time series'!#REF!</definedName>
    <definedName name="__123Graph_EBERLGRAP" localSheetId="4" hidden="1">'[5]Time series'!#REF!</definedName>
    <definedName name="__123Graph_EBERLGRAP" hidden="1">'[5]Time series'!#REF!</definedName>
    <definedName name="__123Graph_ECONVERG1" localSheetId="3" hidden="1">'[5]Time series'!#REF!</definedName>
    <definedName name="__123Graph_ECONVERG1" localSheetId="13" hidden="1">'[5]Time series'!#REF!</definedName>
    <definedName name="__123Graph_ECONVERG1" localSheetId="15" hidden="1">'[5]Time series'!#REF!</definedName>
    <definedName name="__123Graph_ECONVERG1" localSheetId="4" hidden="1">'[5]Time series'!#REF!</definedName>
    <definedName name="__123Graph_ECONVERG1" hidden="1">'[5]Time series'!#REF!</definedName>
    <definedName name="__123Graph_EECTOT" localSheetId="3" hidden="1">#REF!</definedName>
    <definedName name="__123Graph_EECTOT" localSheetId="13" hidden="1">#REF!</definedName>
    <definedName name="__123Graph_EECTOT" localSheetId="15" hidden="1">#REF!</definedName>
    <definedName name="__123Graph_EECTOT" localSheetId="4" hidden="1">#REF!</definedName>
    <definedName name="__123Graph_EECTOT" hidden="1">#REF!</definedName>
    <definedName name="__123Graph_EGRAPH41" localSheetId="3" hidden="1">'[5]Time series'!#REF!</definedName>
    <definedName name="__123Graph_EGRAPH41" localSheetId="13" hidden="1">'[5]Time series'!#REF!</definedName>
    <definedName name="__123Graph_EGRAPH41" localSheetId="15" hidden="1">'[5]Time series'!#REF!</definedName>
    <definedName name="__123Graph_EGRAPH41" localSheetId="4" hidden="1">'[5]Time series'!#REF!</definedName>
    <definedName name="__123Graph_EGRAPH41" hidden="1">'[5]Time series'!#REF!</definedName>
    <definedName name="__123Graph_EPERIA" localSheetId="3" hidden="1">'[5]Time series'!#REF!</definedName>
    <definedName name="__123Graph_EPERIA" localSheetId="13" hidden="1">'[5]Time series'!#REF!</definedName>
    <definedName name="__123Graph_EPERIA" localSheetId="15" hidden="1">'[5]Time series'!#REF!</definedName>
    <definedName name="__123Graph_EPERIA" localSheetId="4" hidden="1">'[5]Time series'!#REF!</definedName>
    <definedName name="__123Graph_EPERIA" hidden="1">'[5]Time series'!#REF!</definedName>
    <definedName name="__123Graph_EPRODABSC" localSheetId="3" hidden="1">'[5]Time series'!#REF!</definedName>
    <definedName name="__123Graph_EPRODABSC" localSheetId="13" hidden="1">'[5]Time series'!#REF!</definedName>
    <definedName name="__123Graph_EPRODABSC" localSheetId="15" hidden="1">'[5]Time series'!#REF!</definedName>
    <definedName name="__123Graph_EPRODABSC" localSheetId="4" hidden="1">'[5]Time series'!#REF!</definedName>
    <definedName name="__123Graph_EPRODABSC" hidden="1">'[5]Time series'!#REF!</definedName>
    <definedName name="__123Graph_EREER3" localSheetId="16" hidden="1">[6]REER!$BR$144:$BR$211</definedName>
    <definedName name="__123Graph_EREER3" localSheetId="18" hidden="1">[6]REER!$BR$144:$BR$211</definedName>
    <definedName name="__123Graph_EREER3" hidden="1">[7]REER!$BR$144:$BR$211</definedName>
    <definedName name="__123Graph_ETEST1" localSheetId="16" hidden="1">[6]REER!$BR$144:$BR$211</definedName>
    <definedName name="__123Graph_ETEST1" localSheetId="18" hidden="1">[6]REER!$BR$144:$BR$211</definedName>
    <definedName name="__123Graph_ETEST1" hidden="1">[7]REER!$BR$144:$BR$211</definedName>
    <definedName name="__123Graph_FBERLGRAP" localSheetId="3" hidden="1">'[5]Time series'!#REF!</definedName>
    <definedName name="__123Graph_FBERLGRAP" localSheetId="13" hidden="1">'[5]Time series'!#REF!</definedName>
    <definedName name="__123Graph_FBERLGRAP" localSheetId="15" hidden="1">'[5]Time series'!#REF!</definedName>
    <definedName name="__123Graph_FBERLGRAP" localSheetId="23" hidden="1">'[5]Time series'!#REF!</definedName>
    <definedName name="__123Graph_FBERLGRAP" localSheetId="4" hidden="1">'[5]Time series'!#REF!</definedName>
    <definedName name="__123Graph_FBERLGRAP" hidden="1">'[5]Time series'!#REF!</definedName>
    <definedName name="__123Graph_FGRAPH41" localSheetId="3" hidden="1">'[5]Time series'!#REF!</definedName>
    <definedName name="__123Graph_FGRAPH41" localSheetId="13" hidden="1">'[5]Time series'!#REF!</definedName>
    <definedName name="__123Graph_FGRAPH41" localSheetId="15" hidden="1">'[5]Time series'!#REF!</definedName>
    <definedName name="__123Graph_FGRAPH41" localSheetId="4" hidden="1">'[5]Time series'!#REF!</definedName>
    <definedName name="__123Graph_FGRAPH41" hidden="1">'[5]Time series'!#REF!</definedName>
    <definedName name="__123Graph_FPRODABSC" localSheetId="3" hidden="1">'[5]Time series'!#REF!</definedName>
    <definedName name="__123Graph_FPRODABSC" localSheetId="13" hidden="1">'[5]Time series'!#REF!</definedName>
    <definedName name="__123Graph_FPRODABSC" localSheetId="15" hidden="1">'[5]Time series'!#REF!</definedName>
    <definedName name="__123Graph_FPRODABSC" localSheetId="4" hidden="1">'[5]Time series'!#REF!</definedName>
    <definedName name="__123Graph_FPRODABSC" hidden="1">'[5]Time series'!#REF!</definedName>
    <definedName name="__123Graph_FREER3" localSheetId="16" hidden="1">[6]REER!$BN$140:$BN$140</definedName>
    <definedName name="__123Graph_FREER3" localSheetId="18" hidden="1">[6]REER!$BN$140:$BN$140</definedName>
    <definedName name="__123Graph_FREER3" hidden="1">[7]REER!$BN$140:$BN$140</definedName>
    <definedName name="__123Graph_FTEST1" localSheetId="16" hidden="1">[6]REER!$BN$140:$BN$140</definedName>
    <definedName name="__123Graph_FTEST1" localSheetId="18" hidden="1">[6]REER!$BN$140:$BN$140</definedName>
    <definedName name="__123Graph_FTEST1" hidden="1">[7]REER!$BN$140:$BN$140</definedName>
    <definedName name="__123Graph_X" localSheetId="3" hidden="1">'[10]i2-KA'!#REF!</definedName>
    <definedName name="__123Graph_X" localSheetId="13" hidden="1">'[10]i2-KA'!#REF!</definedName>
    <definedName name="__123Graph_X" localSheetId="15" hidden="1">'[10]i2-KA'!#REF!</definedName>
    <definedName name="__123Graph_X" localSheetId="4" hidden="1">'[10]i2-KA'!#REF!</definedName>
    <definedName name="__123Graph_X" hidden="1">'[10]i2-KA'!#REF!</definedName>
    <definedName name="__123Graph_XCurrent" localSheetId="3" hidden="1">'[10]i2-KA'!#REF!</definedName>
    <definedName name="__123Graph_XCurrent" localSheetId="13" hidden="1">'[10]i2-KA'!#REF!</definedName>
    <definedName name="__123Graph_XCurrent" localSheetId="15" hidden="1">'[10]i2-KA'!#REF!</definedName>
    <definedName name="__123Graph_XCurrent" localSheetId="4" hidden="1">'[10]i2-KA'!#REF!</definedName>
    <definedName name="__123Graph_XCurrent" hidden="1">'[10]i2-KA'!#REF!</definedName>
    <definedName name="__123Graph_XECTOT" localSheetId="3" hidden="1">#REF!</definedName>
    <definedName name="__123Graph_XECTOT" localSheetId="13" hidden="1">#REF!</definedName>
    <definedName name="__123Graph_XECTOT" localSheetId="15" hidden="1">#REF!</definedName>
    <definedName name="__123Graph_XECTOT" localSheetId="4" hidden="1">#REF!</definedName>
    <definedName name="__123Graph_XECTOT" hidden="1">#REF!</definedName>
    <definedName name="__123Graph_XEXP" localSheetId="3" hidden="1">[11]EdssGeeGAS!#REF!</definedName>
    <definedName name="__123Graph_XEXP" localSheetId="13" hidden="1">[11]EdssGeeGAS!#REF!</definedName>
    <definedName name="__123Graph_XEXP" localSheetId="15" hidden="1">[11]EdssGeeGAS!#REF!</definedName>
    <definedName name="__123Graph_XEXP" localSheetId="4" hidden="1">[11]EdssGeeGAS!#REF!</definedName>
    <definedName name="__123Graph_XEXP" hidden="1">[11]EdssGeeGAS!#REF!</definedName>
    <definedName name="__123Graph_XChart1" localSheetId="3" hidden="1">'[10]i2-KA'!#REF!</definedName>
    <definedName name="__123Graph_XChart1" localSheetId="13" hidden="1">'[10]i2-KA'!#REF!</definedName>
    <definedName name="__123Graph_XChart1" localSheetId="15" hidden="1">'[10]i2-KA'!#REF!</definedName>
    <definedName name="__123Graph_XChart1" localSheetId="4" hidden="1">'[10]i2-KA'!#REF!</definedName>
    <definedName name="__123Graph_XChart1" hidden="1">'[10]i2-KA'!#REF!</definedName>
    <definedName name="__123Graph_XChart2" localSheetId="3" hidden="1">'[10]i2-KA'!#REF!</definedName>
    <definedName name="__123Graph_XChart2" localSheetId="13" hidden="1">'[10]i2-KA'!#REF!</definedName>
    <definedName name="__123Graph_XChart2" localSheetId="15" hidden="1">'[10]i2-KA'!#REF!</definedName>
    <definedName name="__123Graph_XChart2" localSheetId="4" hidden="1">'[10]i2-KA'!#REF!</definedName>
    <definedName name="__123Graph_XChart2" hidden="1">'[10]i2-KA'!#REF!</definedName>
    <definedName name="__123Graph_XTEST1" localSheetId="16" hidden="1">[6]REER!$C$9:$C$75</definedName>
    <definedName name="__123Graph_XTEST1" localSheetId="18" hidden="1">[6]REER!$C$9:$C$75</definedName>
    <definedName name="__123Graph_XTEST1" hidden="1">[7]REER!$C$9:$C$75</definedName>
    <definedName name="__BOP1" localSheetId="13">#REF!</definedName>
    <definedName name="__BOP1" localSheetId="15">#REF!</definedName>
    <definedName name="__BOP1" localSheetId="23">#REF!</definedName>
    <definedName name="__BOP1">#REF!</definedName>
    <definedName name="__BOP2" localSheetId="13">[1]BoP!#REF!</definedName>
    <definedName name="__BOP2" localSheetId="14">[1]BoP!#REF!</definedName>
    <definedName name="__BOP2" localSheetId="15">[1]BoP!#REF!</definedName>
    <definedName name="__BOP2" localSheetId="23">[1]BoP!#REF!</definedName>
    <definedName name="__BOP2">[1]BoP!#REF!</definedName>
    <definedName name="__dat1" localSheetId="13">'[2]work Q real'!#REF!</definedName>
    <definedName name="__dat1" localSheetId="15">'[2]work Q real'!#REF!</definedName>
    <definedName name="__dat1">'[2]work Q real'!#REF!</definedName>
    <definedName name="__dat2" localSheetId="13">#REF!</definedName>
    <definedName name="__dat2" localSheetId="15">#REF!</definedName>
    <definedName name="__dat2" localSheetId="23">#REF!</definedName>
    <definedName name="__dat2">#REF!</definedName>
    <definedName name="__EXP5" localSheetId="13">#REF!</definedName>
    <definedName name="__EXP5" localSheetId="15">#REF!</definedName>
    <definedName name="__EXP5" localSheetId="23">#REF!</definedName>
    <definedName name="__EXP5">#REF!</definedName>
    <definedName name="__EXP6" localSheetId="13">#REF!</definedName>
    <definedName name="__EXP6" localSheetId="15">#REF!</definedName>
    <definedName name="__EXP6" localSheetId="23">#REF!</definedName>
    <definedName name="__EXP6">#REF!</definedName>
    <definedName name="__EXP7" localSheetId="13">#REF!</definedName>
    <definedName name="__EXP7" localSheetId="15">#REF!</definedName>
    <definedName name="__EXP7" localSheetId="23">#REF!</definedName>
    <definedName name="__EXP7">#REF!</definedName>
    <definedName name="__EXP9" localSheetId="13">#REF!</definedName>
    <definedName name="__EXP9" localSheetId="15">#REF!</definedName>
    <definedName name="__EXP9" localSheetId="23">#REF!</definedName>
    <definedName name="__EXP9">#REF!</definedName>
    <definedName name="__IMP10" localSheetId="13">#REF!</definedName>
    <definedName name="__IMP10" localSheetId="15">#REF!</definedName>
    <definedName name="__IMP10" localSheetId="23">#REF!</definedName>
    <definedName name="__IMP10">#REF!</definedName>
    <definedName name="__IMP2" localSheetId="13">#REF!</definedName>
    <definedName name="__IMP2" localSheetId="15">#REF!</definedName>
    <definedName name="__IMP2" localSheetId="23">#REF!</definedName>
    <definedName name="__IMP2">#REF!</definedName>
    <definedName name="__IMP4" localSheetId="13">#REF!</definedName>
    <definedName name="__IMP4" localSheetId="15">#REF!</definedName>
    <definedName name="__IMP4" localSheetId="23">#REF!</definedName>
    <definedName name="__IMP4">#REF!</definedName>
    <definedName name="__IMP6" localSheetId="13">#REF!</definedName>
    <definedName name="__IMP6" localSheetId="15">#REF!</definedName>
    <definedName name="__IMP6" localSheetId="23">#REF!</definedName>
    <definedName name="__IMP6">#REF!</definedName>
    <definedName name="__IMP7" localSheetId="13">#REF!</definedName>
    <definedName name="__IMP7" localSheetId="15">#REF!</definedName>
    <definedName name="__IMP7" localSheetId="23">#REF!</definedName>
    <definedName name="__IMP7">#REF!</definedName>
    <definedName name="__IMP8" localSheetId="13">#REF!</definedName>
    <definedName name="__IMP8" localSheetId="15">#REF!</definedName>
    <definedName name="__IMP8" localSheetId="23">#REF!</definedName>
    <definedName name="__IMP8">#REF!</definedName>
    <definedName name="__MTS2" localSheetId="13">'[3]Annual Tables'!#REF!</definedName>
    <definedName name="__MTS2" localSheetId="15">'[3]Annual Tables'!#REF!</definedName>
    <definedName name="__MTS2" localSheetId="23">'[3]Annual Tables'!#REF!</definedName>
    <definedName name="__MTS2">'[3]Annual Tables'!#REF!</definedName>
    <definedName name="__OUT1" localSheetId="13">#REF!</definedName>
    <definedName name="__OUT1" localSheetId="15">#REF!</definedName>
    <definedName name="__OUT1" localSheetId="23">#REF!</definedName>
    <definedName name="__OUT1">#REF!</definedName>
    <definedName name="__OUT2" localSheetId="13">#REF!</definedName>
    <definedName name="__OUT2" localSheetId="15">#REF!</definedName>
    <definedName name="__OUT2" localSheetId="23">#REF!</definedName>
    <definedName name="__OUT2">#REF!</definedName>
    <definedName name="__PAG2" localSheetId="13">[3]Index!#REF!</definedName>
    <definedName name="__PAG2" localSheetId="15">[3]Index!#REF!</definedName>
    <definedName name="__PAG2" localSheetId="23">[3]Index!#REF!</definedName>
    <definedName name="__PAG2">[3]Index!#REF!</definedName>
    <definedName name="__PAG3" localSheetId="13">[3]Index!#REF!</definedName>
    <definedName name="__PAG3" localSheetId="15">[3]Index!#REF!</definedName>
    <definedName name="__PAG3">[3]Index!#REF!</definedName>
    <definedName name="__PAG4" localSheetId="13">[3]Index!#REF!</definedName>
    <definedName name="__PAG4" localSheetId="15">[3]Index!#REF!</definedName>
    <definedName name="__PAG4">[3]Index!#REF!</definedName>
    <definedName name="__PAG5" localSheetId="13">[3]Index!#REF!</definedName>
    <definedName name="__PAG5" localSheetId="15">[3]Index!#REF!</definedName>
    <definedName name="__PAG5">[3]Index!#REF!</definedName>
    <definedName name="__PAG6" localSheetId="13">[3]Index!#REF!</definedName>
    <definedName name="__PAG6" localSheetId="15">[3]Index!#REF!</definedName>
    <definedName name="__PAG6">[3]Index!#REF!</definedName>
    <definedName name="__PAG7" localSheetId="13">#REF!</definedName>
    <definedName name="__PAG7" localSheetId="15">#REF!</definedName>
    <definedName name="__PAG7" localSheetId="23">#REF!</definedName>
    <definedName name="__PAG7">#REF!</definedName>
    <definedName name="__pro2001">[12]pro2001!$A$1:$B$72</definedName>
    <definedName name="__RES2" localSheetId="13">[1]RES!#REF!</definedName>
    <definedName name="__RES2" localSheetId="15">[1]RES!#REF!</definedName>
    <definedName name="__RES2" localSheetId="32">[1]RES!#REF!</definedName>
    <definedName name="__RES2">[1]RES!#REF!</definedName>
    <definedName name="__TAB1" localSheetId="13">#REF!</definedName>
    <definedName name="__TAB1" localSheetId="15">#REF!</definedName>
    <definedName name="__TAB1" localSheetId="23">#REF!</definedName>
    <definedName name="__TAB1">#REF!</definedName>
    <definedName name="__TAB10" localSheetId="13">#REF!</definedName>
    <definedName name="__TAB10" localSheetId="15">#REF!</definedName>
    <definedName name="__TAB10" localSheetId="23">#REF!</definedName>
    <definedName name="__TAB10">#REF!</definedName>
    <definedName name="__TAB12" localSheetId="13">#REF!</definedName>
    <definedName name="__TAB12" localSheetId="15">#REF!</definedName>
    <definedName name="__TAB12" localSheetId="23">#REF!</definedName>
    <definedName name="__TAB12">#REF!</definedName>
    <definedName name="__Tab19" localSheetId="13">#REF!</definedName>
    <definedName name="__Tab19" localSheetId="15">#REF!</definedName>
    <definedName name="__Tab19" localSheetId="23">#REF!</definedName>
    <definedName name="__Tab19">#REF!</definedName>
    <definedName name="__TAB2" localSheetId="13">#REF!</definedName>
    <definedName name="__TAB2" localSheetId="15">#REF!</definedName>
    <definedName name="__TAB2" localSheetId="23">#REF!</definedName>
    <definedName name="__TAB2">#REF!</definedName>
    <definedName name="__Tab20" localSheetId="13">#REF!</definedName>
    <definedName name="__Tab20" localSheetId="15">#REF!</definedName>
    <definedName name="__Tab20" localSheetId="23">#REF!</definedName>
    <definedName name="__Tab20">#REF!</definedName>
    <definedName name="__Tab21" localSheetId="13">#REF!</definedName>
    <definedName name="__Tab21" localSheetId="15">#REF!</definedName>
    <definedName name="__Tab21" localSheetId="23">#REF!</definedName>
    <definedName name="__Tab21">#REF!</definedName>
    <definedName name="__Tab22" localSheetId="13">#REF!</definedName>
    <definedName name="__Tab22" localSheetId="15">#REF!</definedName>
    <definedName name="__Tab22" localSheetId="23">#REF!</definedName>
    <definedName name="__Tab22">#REF!</definedName>
    <definedName name="__Tab23" localSheetId="13">#REF!</definedName>
    <definedName name="__Tab23" localSheetId="15">#REF!</definedName>
    <definedName name="__Tab23" localSheetId="23">#REF!</definedName>
    <definedName name="__Tab23">#REF!</definedName>
    <definedName name="__Tab24" localSheetId="13">#REF!</definedName>
    <definedName name="__Tab24" localSheetId="15">#REF!</definedName>
    <definedName name="__Tab24" localSheetId="23">#REF!</definedName>
    <definedName name="__Tab24">#REF!</definedName>
    <definedName name="__Tab26" localSheetId="13">#REF!</definedName>
    <definedName name="__Tab26" localSheetId="15">#REF!</definedName>
    <definedName name="__Tab26" localSheetId="23">#REF!</definedName>
    <definedName name="__Tab26">#REF!</definedName>
    <definedName name="__Tab27" localSheetId="13">#REF!</definedName>
    <definedName name="__Tab27" localSheetId="15">#REF!</definedName>
    <definedName name="__Tab27" localSheetId="23">#REF!</definedName>
    <definedName name="__Tab27">#REF!</definedName>
    <definedName name="__Tab28" localSheetId="13">#REF!</definedName>
    <definedName name="__Tab28" localSheetId="15">#REF!</definedName>
    <definedName name="__Tab28" localSheetId="23">#REF!</definedName>
    <definedName name="__Tab28">#REF!</definedName>
    <definedName name="__Tab29" localSheetId="13">#REF!</definedName>
    <definedName name="__Tab29" localSheetId="15">#REF!</definedName>
    <definedName name="__Tab29" localSheetId="23">#REF!</definedName>
    <definedName name="__Tab29">#REF!</definedName>
    <definedName name="__TAB3" localSheetId="13">#REF!</definedName>
    <definedName name="__TAB3" localSheetId="15">#REF!</definedName>
    <definedName name="__TAB3" localSheetId="23">#REF!</definedName>
    <definedName name="__TAB3">#REF!</definedName>
    <definedName name="__Tab30" localSheetId="13">#REF!</definedName>
    <definedName name="__Tab30" localSheetId="15">#REF!</definedName>
    <definedName name="__Tab30" localSheetId="23">#REF!</definedName>
    <definedName name="__Tab30">#REF!</definedName>
    <definedName name="__Tab31" localSheetId="13">#REF!</definedName>
    <definedName name="__Tab31" localSheetId="15">#REF!</definedName>
    <definedName name="__Tab31" localSheetId="23">#REF!</definedName>
    <definedName name="__Tab31">#REF!</definedName>
    <definedName name="__Tab32" localSheetId="13">#REF!</definedName>
    <definedName name="__Tab32" localSheetId="15">#REF!</definedName>
    <definedName name="__Tab32" localSheetId="23">#REF!</definedName>
    <definedName name="__Tab32">#REF!</definedName>
    <definedName name="__Tab33" localSheetId="13">#REF!</definedName>
    <definedName name="__Tab33" localSheetId="15">#REF!</definedName>
    <definedName name="__Tab33" localSheetId="23">#REF!</definedName>
    <definedName name="__Tab33">#REF!</definedName>
    <definedName name="__Tab34" localSheetId="13">#REF!</definedName>
    <definedName name="__Tab34" localSheetId="15">#REF!</definedName>
    <definedName name="__Tab34" localSheetId="23">#REF!</definedName>
    <definedName name="__Tab34">#REF!</definedName>
    <definedName name="__Tab35" localSheetId="13">#REF!</definedName>
    <definedName name="__Tab35" localSheetId="15">#REF!</definedName>
    <definedName name="__Tab35" localSheetId="23">#REF!</definedName>
    <definedName name="__Tab35">#REF!</definedName>
    <definedName name="__TAB4" localSheetId="13">#REF!</definedName>
    <definedName name="__TAB4" localSheetId="15">#REF!</definedName>
    <definedName name="__TAB4" localSheetId="23">#REF!</definedName>
    <definedName name="__TAB4">#REF!</definedName>
    <definedName name="__TAB5" localSheetId="13">#REF!</definedName>
    <definedName name="__TAB5" localSheetId="15">#REF!</definedName>
    <definedName name="__TAB5" localSheetId="23">#REF!</definedName>
    <definedName name="__TAB5">#REF!</definedName>
    <definedName name="__tab6" localSheetId="13">#REF!</definedName>
    <definedName name="__tab6" localSheetId="15">#REF!</definedName>
    <definedName name="__tab6" localSheetId="23">#REF!</definedName>
    <definedName name="__tab6">#REF!</definedName>
    <definedName name="__TAB7" localSheetId="13">#REF!</definedName>
    <definedName name="__TAB7" localSheetId="15">#REF!</definedName>
    <definedName name="__TAB7" localSheetId="23">#REF!</definedName>
    <definedName name="__TAB7">#REF!</definedName>
    <definedName name="__TAB8" localSheetId="13">#REF!</definedName>
    <definedName name="__TAB8" localSheetId="15">#REF!</definedName>
    <definedName name="__TAB8" localSheetId="23">#REF!</definedName>
    <definedName name="__TAB8">#REF!</definedName>
    <definedName name="__tab9" localSheetId="13">#REF!</definedName>
    <definedName name="__tab9" localSheetId="15">#REF!</definedName>
    <definedName name="__tab9" localSheetId="23">#REF!</definedName>
    <definedName name="__tab9">#REF!</definedName>
    <definedName name="__TB41" localSheetId="13">#REF!</definedName>
    <definedName name="__TB41" localSheetId="15">#REF!</definedName>
    <definedName name="__TB41" localSheetId="23">#REF!</definedName>
    <definedName name="__TB41">#REF!</definedName>
    <definedName name="__WEO1" localSheetId="13">#REF!</definedName>
    <definedName name="__WEO1" localSheetId="15">#REF!</definedName>
    <definedName name="__WEO1" localSheetId="23">#REF!</definedName>
    <definedName name="__WEO1">#REF!</definedName>
    <definedName name="__WEO2" localSheetId="13">#REF!</definedName>
    <definedName name="__WEO2" localSheetId="15">#REF!</definedName>
    <definedName name="__WEO2" localSheetId="23">#REF!</definedName>
    <definedName name="__WEO2">#REF!</definedName>
    <definedName name="_1__123Graph_AChart_1" localSheetId="3" hidden="1">'[13]Table 1'!#REF!</definedName>
    <definedName name="_1__123Graph_AChart_1" localSheetId="13" hidden="1">'[13]Table 1'!#REF!</definedName>
    <definedName name="_1__123Graph_AChart_1" localSheetId="15" hidden="1">'[13]Table 1'!#REF!</definedName>
    <definedName name="_1__123Graph_AChart_1" localSheetId="4" hidden="1">'[13]Table 1'!#REF!</definedName>
    <definedName name="_1__123Graph_AChart_1" hidden="1">'[13]Table 1'!#REF!</definedName>
    <definedName name="_1_123Graph_A" localSheetId="3" hidden="1">#REF!</definedName>
    <definedName name="_1_123Graph_A" localSheetId="13" hidden="1">#REF!</definedName>
    <definedName name="_1_123Graph_A" localSheetId="15" hidden="1">#REF!</definedName>
    <definedName name="_1_123Graph_A" localSheetId="23" hidden="1">#REF!</definedName>
    <definedName name="_1_123Graph_A" localSheetId="4" hidden="1">#REF!</definedName>
    <definedName name="_1_123Graph_A" hidden="1">#REF!</definedName>
    <definedName name="_10__123Graph_ACHART_2" localSheetId="3" hidden="1">'[14]Employment Data Sectors (wages)'!$A$8173:$A$8184</definedName>
    <definedName name="_10__123Graph_ACHART_2" localSheetId="13" hidden="1">'[14]Employment Data Sectors (wages)'!$A$8173:$A$8184</definedName>
    <definedName name="_10__123Graph_ACHART_2" localSheetId="15" hidden="1">'[15]Employment Data Sectors (wages)'!$A$8173:$A$8184</definedName>
    <definedName name="_10__123Graph_ACHART_2" localSheetId="23" hidden="1">'[15]Employment Data Sectors (wages)'!$A$8173:$A$8184</definedName>
    <definedName name="_10__123Graph_ACHART_2" localSheetId="4" hidden="1">'[14]Employment Data Sectors (wages)'!$A$8173:$A$8184</definedName>
    <definedName name="_10__123Graph_ACHART_2" hidden="1">'[15]Employment Data Sectors (wages)'!$A$8173:$A$8184</definedName>
    <definedName name="_10__123Graph_ACHART_8" hidden="1">'[16]Employment Data Sectors (wages)'!$W$8175:$W$8186</definedName>
    <definedName name="_10__123Graph_BCHART_1" hidden="1">'[17]Employment Data Sectors (wages)'!$B$8173:$B$8184</definedName>
    <definedName name="_100__123Graph_BCHART_8" hidden="1">'[14]Employment Data Sectors (wages)'!$W$13:$W$8187</definedName>
    <definedName name="_105__123Graph_CCHART_1" hidden="1">'[14]Employment Data Sectors (wages)'!$C$8173:$C$8184</definedName>
    <definedName name="_11__123Graph_BCHART_1" hidden="1">'[16]Employment Data Sectors (wages)'!$B$8173:$B$8184</definedName>
    <definedName name="_11__123Graph_BCHART_2" hidden="1">'[17]Employment Data Sectors (wages)'!$B$8173:$B$8184</definedName>
    <definedName name="_110__123Graph_CCHART_2" hidden="1">'[14]Employment Data Sectors (wages)'!$C$8173:$C$8184</definedName>
    <definedName name="_115__123Graph_CCHART_3" hidden="1">'[14]Employment Data Sectors (wages)'!$C$11:$C$8185</definedName>
    <definedName name="_12__123Graph_ACHART_3" localSheetId="3" hidden="1">'[14]Employment Data Sectors (wages)'!$A$11:$A$8185</definedName>
    <definedName name="_12__123Graph_ACHART_3" localSheetId="13" hidden="1">'[14]Employment Data Sectors (wages)'!$A$11:$A$8185</definedName>
    <definedName name="_12__123Graph_ACHART_3" localSheetId="15" hidden="1">'[15]Employment Data Sectors (wages)'!$A$11:$A$8185</definedName>
    <definedName name="_12__123Graph_ACHART_3" localSheetId="23" hidden="1">'[15]Employment Data Sectors (wages)'!$A$11:$A$8185</definedName>
    <definedName name="_12__123Graph_ACHART_3" localSheetId="4" hidden="1">'[14]Employment Data Sectors (wages)'!$A$11:$A$8185</definedName>
    <definedName name="_12__123Graph_ACHART_3" hidden="1">'[15]Employment Data Sectors (wages)'!$A$11:$A$8185</definedName>
    <definedName name="_12__123Graph_BCHART_2" hidden="1">'[16]Employment Data Sectors (wages)'!$B$8173:$B$8184</definedName>
    <definedName name="_12__123Graph_BCHART_3" hidden="1">'[17]Employment Data Sectors (wages)'!$B$11:$B$8185</definedName>
    <definedName name="_120__123Graph_CCHART_4" hidden="1">'[14]Employment Data Sectors (wages)'!$C$12:$C$23</definedName>
    <definedName name="_123Graph_AB" localSheetId="3" hidden="1">#REF!</definedName>
    <definedName name="_123Graph_AB" localSheetId="13" hidden="1">#REF!</definedName>
    <definedName name="_123Graph_AB" localSheetId="15" hidden="1">#REF!</definedName>
    <definedName name="_123Graph_AB" localSheetId="23" hidden="1">#REF!</definedName>
    <definedName name="_123Graph_AB" localSheetId="4" hidden="1">#REF!</definedName>
    <definedName name="_123Graph_AB" hidden="1">#REF!</definedName>
    <definedName name="_123Graph_B" localSheetId="3" hidden="1">#REF!</definedName>
    <definedName name="_123Graph_B" localSheetId="13" hidden="1">#REF!</definedName>
    <definedName name="_123Graph_B" localSheetId="15" hidden="1">#REF!</definedName>
    <definedName name="_123Graph_B" localSheetId="23" hidden="1">#REF!</definedName>
    <definedName name="_123Graph_B" localSheetId="4" hidden="1">#REF!</definedName>
    <definedName name="_123Graph_B" hidden="1">#REF!</definedName>
    <definedName name="_123Graph_DB" localSheetId="3" hidden="1">#REF!</definedName>
    <definedName name="_123Graph_DB" localSheetId="13" hidden="1">#REF!</definedName>
    <definedName name="_123Graph_DB" localSheetId="15" hidden="1">#REF!</definedName>
    <definedName name="_123Graph_DB" localSheetId="23" hidden="1">#REF!</definedName>
    <definedName name="_123Graph_DB" localSheetId="4" hidden="1">#REF!</definedName>
    <definedName name="_123Graph_DB" hidden="1">#REF!</definedName>
    <definedName name="_123Graph_EB" localSheetId="3" hidden="1">#REF!</definedName>
    <definedName name="_123Graph_EB" localSheetId="13" hidden="1">#REF!</definedName>
    <definedName name="_123Graph_EB" localSheetId="15" hidden="1">#REF!</definedName>
    <definedName name="_123Graph_EB" localSheetId="23" hidden="1">#REF!</definedName>
    <definedName name="_123Graph_EB" localSheetId="4" hidden="1">#REF!</definedName>
    <definedName name="_123Graph_EB" hidden="1">#REF!</definedName>
    <definedName name="_123Graph_FB" localSheetId="3" hidden="1">#REF!</definedName>
    <definedName name="_123Graph_FB" localSheetId="13" hidden="1">#REF!</definedName>
    <definedName name="_123Graph_FB" localSheetId="15" hidden="1">#REF!</definedName>
    <definedName name="_123Graph_FB" localSheetId="23" hidden="1">#REF!</definedName>
    <definedName name="_123Graph_FB" localSheetId="4" hidden="1">#REF!</definedName>
    <definedName name="_123Graph_FB" hidden="1">#REF!</definedName>
    <definedName name="_125__123Graph_CCHART_5" hidden="1">'[14]Employment Data Sectors (wages)'!$C$24:$C$35</definedName>
    <definedName name="_13__123Graph_BCHART_3" hidden="1">'[16]Employment Data Sectors (wages)'!$B$11:$B$8185</definedName>
    <definedName name="_13__123Graph_BCHART_4" hidden="1">'[17]Employment Data Sectors (wages)'!$B$12:$B$23</definedName>
    <definedName name="_130__123Graph_CCHART_6" hidden="1">'[14]Employment Data Sectors (wages)'!$U$49:$U$8103</definedName>
    <definedName name="_132Graph_CB" localSheetId="3" hidden="1">#REF!</definedName>
    <definedName name="_132Graph_CB" localSheetId="13" hidden="1">#REF!</definedName>
    <definedName name="_132Graph_CB" localSheetId="15" hidden="1">#REF!</definedName>
    <definedName name="_132Graph_CB" localSheetId="23" hidden="1">#REF!</definedName>
    <definedName name="_132Graph_CB" localSheetId="4" hidden="1">#REF!</definedName>
    <definedName name="_132Graph_CB" hidden="1">#REF!</definedName>
    <definedName name="_135__123Graph_CCHART_7" hidden="1">'[14]Employment Data Sectors (wages)'!$Y$14:$Y$25</definedName>
    <definedName name="_14__123Graph_ACHART_4" localSheetId="3" hidden="1">'[14]Employment Data Sectors (wages)'!$A$12:$A$23</definedName>
    <definedName name="_14__123Graph_ACHART_4" localSheetId="13" hidden="1">'[14]Employment Data Sectors (wages)'!$A$12:$A$23</definedName>
    <definedName name="_14__123Graph_ACHART_4" localSheetId="15" hidden="1">'[15]Employment Data Sectors (wages)'!$A$12:$A$23</definedName>
    <definedName name="_14__123Graph_ACHART_4" localSheetId="23" hidden="1">'[15]Employment Data Sectors (wages)'!$A$12:$A$23</definedName>
    <definedName name="_14__123Graph_ACHART_4" localSheetId="4" hidden="1">'[14]Employment Data Sectors (wages)'!$A$12:$A$23</definedName>
    <definedName name="_14__123Graph_ACHART_4" hidden="1">'[15]Employment Data Sectors (wages)'!$A$12:$A$23</definedName>
    <definedName name="_14__123Graph_BCHART_4" hidden="1">'[16]Employment Data Sectors (wages)'!$B$12:$B$23</definedName>
    <definedName name="_14__123Graph_BCHART_5" hidden="1">'[17]Employment Data Sectors (wages)'!$B$24:$B$35</definedName>
    <definedName name="_140__123Graph_CCHART_8" hidden="1">'[14]Employment Data Sectors (wages)'!$W$14:$W$25</definedName>
    <definedName name="_145__123Graph_DCHART_7" hidden="1">'[14]Employment Data Sectors (wages)'!$Y$26:$Y$37</definedName>
    <definedName name="_15__123Graph_BCHART_5" hidden="1">'[16]Employment Data Sectors (wages)'!$B$24:$B$35</definedName>
    <definedName name="_15__123Graph_BCHART_6" hidden="1">'[17]Employment Data Sectors (wages)'!$AS$49:$AS$8103</definedName>
    <definedName name="_150__123Graph_DCHART_8" hidden="1">'[14]Employment Data Sectors (wages)'!$W$26:$W$37</definedName>
    <definedName name="_155__123Graph_ECHART_7" hidden="1">'[14]Employment Data Sectors (wages)'!$Y$38:$Y$49</definedName>
    <definedName name="_16__123Graph_ACHART_5" localSheetId="3" hidden="1">'[14]Employment Data Sectors (wages)'!$A$24:$A$35</definedName>
    <definedName name="_16__123Graph_ACHART_5" localSheetId="13" hidden="1">'[14]Employment Data Sectors (wages)'!$A$24:$A$35</definedName>
    <definedName name="_16__123Graph_ACHART_5" localSheetId="15" hidden="1">'[15]Employment Data Sectors (wages)'!$A$24:$A$35</definedName>
    <definedName name="_16__123Graph_ACHART_5" localSheetId="23" hidden="1">'[15]Employment Data Sectors (wages)'!$A$24:$A$35</definedName>
    <definedName name="_16__123Graph_ACHART_5" localSheetId="4" hidden="1">'[14]Employment Data Sectors (wages)'!$A$24:$A$35</definedName>
    <definedName name="_16__123Graph_ACHART_5" hidden="1">'[15]Employment Data Sectors (wages)'!$A$24:$A$35</definedName>
    <definedName name="_16__123Graph_BCHART_6" hidden="1">'[16]Employment Data Sectors (wages)'!$AS$49:$AS$8103</definedName>
    <definedName name="_16__123Graph_BCHART_7" hidden="1">'[17]Employment Data Sectors (wages)'!$Y$13:$Y$8187</definedName>
    <definedName name="_160__123Graph_ECHART_8" hidden="1">'[14]Employment Data Sectors (wages)'!$H$86:$H$99</definedName>
    <definedName name="_165__123Graph_FCHART_8" hidden="1">'[14]Employment Data Sectors (wages)'!$H$6:$H$17</definedName>
    <definedName name="_17__123Graph_BCHART_7" hidden="1">'[16]Employment Data Sectors (wages)'!$Y$13:$Y$8187</definedName>
    <definedName name="_17__123Graph_BCHART_8" hidden="1">'[17]Employment Data Sectors (wages)'!$W$13:$W$8187</definedName>
    <definedName name="_18__123Graph_ACHART_6" localSheetId="3" hidden="1">'[14]Employment Data Sectors (wages)'!$Y$49:$Y$8103</definedName>
    <definedName name="_18__123Graph_ACHART_6" localSheetId="13" hidden="1">'[14]Employment Data Sectors (wages)'!$Y$49:$Y$8103</definedName>
    <definedName name="_18__123Graph_ACHART_6" localSheetId="15" hidden="1">'[15]Employment Data Sectors (wages)'!$Y$49:$Y$8103</definedName>
    <definedName name="_18__123Graph_ACHART_6" localSheetId="23" hidden="1">'[15]Employment Data Sectors (wages)'!$Y$49:$Y$8103</definedName>
    <definedName name="_18__123Graph_ACHART_6" localSheetId="4" hidden="1">'[14]Employment Data Sectors (wages)'!$Y$49:$Y$8103</definedName>
    <definedName name="_18__123Graph_ACHART_6" hidden="1">'[15]Employment Data Sectors (wages)'!$Y$49:$Y$8103</definedName>
    <definedName name="_18__123Graph_BCHART_8" hidden="1">'[16]Employment Data Sectors (wages)'!$W$13:$W$8187</definedName>
    <definedName name="_18__123Graph_CCHART_1" hidden="1">'[17]Employment Data Sectors (wages)'!$C$8173:$C$8184</definedName>
    <definedName name="_19__123Graph_CCHART_1" hidden="1">'[16]Employment Data Sectors (wages)'!$C$8173:$C$8184</definedName>
    <definedName name="_19__123Graph_CCHART_2" hidden="1">'[17]Employment Data Sectors (wages)'!$C$8173:$C$8184</definedName>
    <definedName name="_1992BOPB" localSheetId="13">#REF!</definedName>
    <definedName name="_1992BOPB" localSheetId="15">#REF!</definedName>
    <definedName name="_1992BOPB" localSheetId="23">#REF!</definedName>
    <definedName name="_1992BOPB">#REF!</definedName>
    <definedName name="_1Macros_Import_.qbop" localSheetId="15">[18]!'[Macros Import].qbop'</definedName>
    <definedName name="_1Macros_Import_.qbop" localSheetId="18">[18]!'[Macros Import].qbop'</definedName>
    <definedName name="_1Macros_Import_.qbop" localSheetId="17">[18]!'[Macros Import].qbop'</definedName>
    <definedName name="_1Macros_Import_.qbop" localSheetId="19">[18]!'[Macros Import].qbop'</definedName>
    <definedName name="_1Macros_Import_.qbop" localSheetId="20">[18]!'[Macros Import].qbop'</definedName>
    <definedName name="_1Macros_Import_.qbop">[18]!'[Macros Import].qbop'</definedName>
    <definedName name="_2__123Graph_ADEV_EMPL" localSheetId="3" hidden="1">'[5]Time series'!#REF!</definedName>
    <definedName name="_2__123Graph_ADEV_EMPL" localSheetId="13" hidden="1">'[5]Time series'!#REF!</definedName>
    <definedName name="_2__123Graph_ADEV_EMPL" localSheetId="15" hidden="1">'[5]Time series'!#REF!</definedName>
    <definedName name="_2__123Graph_ADEV_EMPL" localSheetId="4" hidden="1">'[5]Time series'!#REF!</definedName>
    <definedName name="_2__123Graph_ADEV_EMPL" hidden="1">'[5]Time series'!#REF!</definedName>
    <definedName name="_2__123Graph_ACHART_1" hidden="1">'[17]Employment Data Sectors (wages)'!$A$8173:$A$8184</definedName>
    <definedName name="_20__123Graph_ACHART_7" localSheetId="3" hidden="1">'[14]Employment Data Sectors (wages)'!$Y$8175:$Y$8186</definedName>
    <definedName name="_20__123Graph_ACHART_7" localSheetId="13" hidden="1">'[14]Employment Data Sectors (wages)'!$Y$8175:$Y$8186</definedName>
    <definedName name="_20__123Graph_ACHART_7" localSheetId="15" hidden="1">'[15]Employment Data Sectors (wages)'!$Y$8175:$Y$8186</definedName>
    <definedName name="_20__123Graph_ACHART_7" localSheetId="23" hidden="1">'[15]Employment Data Sectors (wages)'!$Y$8175:$Y$8186</definedName>
    <definedName name="_20__123Graph_ACHART_7" localSheetId="4" hidden="1">'[14]Employment Data Sectors (wages)'!$Y$8175:$Y$8186</definedName>
    <definedName name="_20__123Graph_ACHART_7" hidden="1">'[15]Employment Data Sectors (wages)'!$Y$8175:$Y$8186</definedName>
    <definedName name="_20__123Graph_CCHART_2" hidden="1">'[16]Employment Data Sectors (wages)'!$C$8173:$C$8184</definedName>
    <definedName name="_20__123Graph_CCHART_3" hidden="1">'[17]Employment Data Sectors (wages)'!$C$11:$C$8185</definedName>
    <definedName name="_20Macros_Import_.qbop" localSheetId="15">[18]!'[Macros Import].qbop'</definedName>
    <definedName name="_20Macros_Import_.qbop" localSheetId="18">[18]!'[Macros Import].qbop'</definedName>
    <definedName name="_20Macros_Import_.qbop" localSheetId="17">[18]!'[Macros Import].qbop'</definedName>
    <definedName name="_20Macros_Import_.qbop" localSheetId="19">[18]!'[Macros Import].qbop'</definedName>
    <definedName name="_20Macros_Import_.qbop" localSheetId="20">[18]!'[Macros Import].qbop'</definedName>
    <definedName name="_20Macros_Import_.qbop">[18]!'[Macros Import].qbop'</definedName>
    <definedName name="_21__123Graph_CCHART_3" hidden="1">'[16]Employment Data Sectors (wages)'!$C$11:$C$8185</definedName>
    <definedName name="_21__123Graph_CCHART_4" hidden="1">'[17]Employment Data Sectors (wages)'!$C$12:$C$23</definedName>
    <definedName name="_22__123Graph_ACHART_8" localSheetId="3" hidden="1">'[14]Employment Data Sectors (wages)'!$W$8175:$W$8186</definedName>
    <definedName name="_22__123Graph_ACHART_8" localSheetId="13" hidden="1">'[14]Employment Data Sectors (wages)'!$W$8175:$W$8186</definedName>
    <definedName name="_22__123Graph_ACHART_8" localSheetId="15" hidden="1">'[15]Employment Data Sectors (wages)'!$W$8175:$W$8186</definedName>
    <definedName name="_22__123Graph_ACHART_8" localSheetId="23" hidden="1">'[15]Employment Data Sectors (wages)'!$W$8175:$W$8186</definedName>
    <definedName name="_22__123Graph_ACHART_8" localSheetId="4" hidden="1">'[14]Employment Data Sectors (wages)'!$W$8175:$W$8186</definedName>
    <definedName name="_22__123Graph_ACHART_8" hidden="1">'[15]Employment Data Sectors (wages)'!$W$8175:$W$8186</definedName>
    <definedName name="_22__123Graph_CCHART_4" hidden="1">'[16]Employment Data Sectors (wages)'!$C$12:$C$23</definedName>
    <definedName name="_22__123Graph_CCHART_5" hidden="1">'[17]Employment Data Sectors (wages)'!$C$24:$C$35</definedName>
    <definedName name="_23__123Graph_CCHART_5" hidden="1">'[16]Employment Data Sectors (wages)'!$C$24:$C$35</definedName>
    <definedName name="_23__123Graph_CCHART_6" hidden="1">'[17]Employment Data Sectors (wages)'!$U$49:$U$8103</definedName>
    <definedName name="_24__123Graph_BCHART_1" localSheetId="3" hidden="1">'[14]Employment Data Sectors (wages)'!$B$8173:$B$8184</definedName>
    <definedName name="_24__123Graph_BCHART_1" localSheetId="13" hidden="1">'[14]Employment Data Sectors (wages)'!$B$8173:$B$8184</definedName>
    <definedName name="_24__123Graph_BCHART_1" localSheetId="15" hidden="1">'[15]Employment Data Sectors (wages)'!$B$8173:$B$8184</definedName>
    <definedName name="_24__123Graph_BCHART_1" localSheetId="23" hidden="1">'[15]Employment Data Sectors (wages)'!$B$8173:$B$8184</definedName>
    <definedName name="_24__123Graph_BCHART_1" localSheetId="4" hidden="1">'[14]Employment Data Sectors (wages)'!$B$8173:$B$8184</definedName>
    <definedName name="_24__123Graph_BCHART_1" hidden="1">'[15]Employment Data Sectors (wages)'!$B$8173:$B$8184</definedName>
    <definedName name="_24__123Graph_CCHART_6" hidden="1">'[16]Employment Data Sectors (wages)'!$U$49:$U$8103</definedName>
    <definedName name="_24__123Graph_CCHART_7" hidden="1">'[17]Employment Data Sectors (wages)'!$Y$14:$Y$25</definedName>
    <definedName name="_25__123Graph_ACHART_1" hidden="1">'[14]Employment Data Sectors (wages)'!$A$8173:$A$8184</definedName>
    <definedName name="_25__123Graph_CCHART_7" hidden="1">'[16]Employment Data Sectors (wages)'!$Y$14:$Y$25</definedName>
    <definedName name="_25__123Graph_CCHART_8" hidden="1">'[17]Employment Data Sectors (wages)'!$W$14:$W$25</definedName>
    <definedName name="_26__123Graph_BCHART_2" localSheetId="3" hidden="1">'[14]Employment Data Sectors (wages)'!$B$8173:$B$8184</definedName>
    <definedName name="_26__123Graph_BCHART_2" localSheetId="13" hidden="1">'[14]Employment Data Sectors (wages)'!$B$8173:$B$8184</definedName>
    <definedName name="_26__123Graph_BCHART_2" localSheetId="15" hidden="1">'[15]Employment Data Sectors (wages)'!$B$8173:$B$8184</definedName>
    <definedName name="_26__123Graph_BCHART_2" localSheetId="23" hidden="1">'[15]Employment Data Sectors (wages)'!$B$8173:$B$8184</definedName>
    <definedName name="_26__123Graph_BCHART_2" localSheetId="4" hidden="1">'[14]Employment Data Sectors (wages)'!$B$8173:$B$8184</definedName>
    <definedName name="_26__123Graph_BCHART_2" hidden="1">'[15]Employment Data Sectors (wages)'!$B$8173:$B$8184</definedName>
    <definedName name="_26__123Graph_CCHART_8" hidden="1">'[16]Employment Data Sectors (wages)'!$W$14:$W$25</definedName>
    <definedName name="_26__123Graph_DCHART_7" hidden="1">'[17]Employment Data Sectors (wages)'!$Y$26:$Y$37</definedName>
    <definedName name="_27__123Graph_DCHART_7" hidden="1">'[16]Employment Data Sectors (wages)'!$Y$26:$Y$37</definedName>
    <definedName name="_27__123Graph_DCHART_8" hidden="1">'[17]Employment Data Sectors (wages)'!$W$26:$W$37</definedName>
    <definedName name="_28__123Graph_BCHART_3" localSheetId="3" hidden="1">'[14]Employment Data Sectors (wages)'!$B$11:$B$8185</definedName>
    <definedName name="_28__123Graph_BCHART_3" localSheetId="13" hidden="1">'[14]Employment Data Sectors (wages)'!$B$11:$B$8185</definedName>
    <definedName name="_28__123Graph_BCHART_3" localSheetId="15" hidden="1">'[15]Employment Data Sectors (wages)'!$B$11:$B$8185</definedName>
    <definedName name="_28__123Graph_BCHART_3" localSheetId="23" hidden="1">'[15]Employment Data Sectors (wages)'!$B$11:$B$8185</definedName>
    <definedName name="_28__123Graph_BCHART_3" localSheetId="4" hidden="1">'[14]Employment Data Sectors (wages)'!$B$11:$B$8185</definedName>
    <definedName name="_28__123Graph_BCHART_3" hidden="1">'[15]Employment Data Sectors (wages)'!$B$11:$B$8185</definedName>
    <definedName name="_28__123Graph_DCHART_8" hidden="1">'[16]Employment Data Sectors (wages)'!$W$26:$W$37</definedName>
    <definedName name="_28__123Graph_ECHART_7" hidden="1">'[17]Employment Data Sectors (wages)'!$Y$38:$Y$49</definedName>
    <definedName name="_29__123Graph_ECHART_7" hidden="1">'[16]Employment Data Sectors (wages)'!$Y$38:$Y$49</definedName>
    <definedName name="_29__123Graph_ECHART_8" hidden="1">'[17]Employment Data Sectors (wages)'!$H$86:$H$99</definedName>
    <definedName name="_2Macros_Import_.qbop" localSheetId="15">[18]!'[Macros Import].qbop'</definedName>
    <definedName name="_2Macros_Import_.qbop" localSheetId="18">[18]!'[Macros Import].qbop'</definedName>
    <definedName name="_2Macros_Import_.qbop" localSheetId="17">[18]!'[Macros Import].qbop'</definedName>
    <definedName name="_2Macros_Import_.qbop" localSheetId="19">[18]!'[Macros Import].qbop'</definedName>
    <definedName name="_2Macros_Import_.qbop" localSheetId="20">[18]!'[Macros Import].qbop'</definedName>
    <definedName name="_2Macros_Import_.qbop">[18]!'[Macros Import].qbop'</definedName>
    <definedName name="_3__123Graph_ACHART_1" hidden="1">'[16]Employment Data Sectors (wages)'!$A$8173:$A$8184</definedName>
    <definedName name="_3__123Graph_ACHART_2" hidden="1">'[17]Employment Data Sectors (wages)'!$A$8173:$A$8184</definedName>
    <definedName name="_3__123Graph_BDEV_EMPL" localSheetId="3" hidden="1">'[5]Time series'!#REF!</definedName>
    <definedName name="_3__123Graph_BDEV_EMPL" localSheetId="13" hidden="1">'[5]Time series'!#REF!</definedName>
    <definedName name="_3__123Graph_BDEV_EMPL" localSheetId="15" hidden="1">'[5]Time series'!#REF!</definedName>
    <definedName name="_3__123Graph_BDEV_EMPL" localSheetId="23" hidden="1">'[5]Time series'!#REF!</definedName>
    <definedName name="_3__123Graph_BDEV_EMPL" localSheetId="4" hidden="1">'[5]Time series'!#REF!</definedName>
    <definedName name="_3__123Graph_BDEV_EMPL" hidden="1">'[5]Time series'!#REF!</definedName>
    <definedName name="_30__123Graph_ACHART_2" hidden="1">'[14]Employment Data Sectors (wages)'!$A$8173:$A$8184</definedName>
    <definedName name="_30__123Graph_BCHART_4" localSheetId="3" hidden="1">'[14]Employment Data Sectors (wages)'!$B$12:$B$23</definedName>
    <definedName name="_30__123Graph_BCHART_4" localSheetId="13" hidden="1">'[14]Employment Data Sectors (wages)'!$B$12:$B$23</definedName>
    <definedName name="_30__123Graph_BCHART_4" localSheetId="15" hidden="1">'[15]Employment Data Sectors (wages)'!$B$12:$B$23</definedName>
    <definedName name="_30__123Graph_BCHART_4" localSheetId="23" hidden="1">'[15]Employment Data Sectors (wages)'!$B$12:$B$23</definedName>
    <definedName name="_30__123Graph_BCHART_4" localSheetId="4" hidden="1">'[14]Employment Data Sectors (wages)'!$B$12:$B$23</definedName>
    <definedName name="_30__123Graph_BCHART_4" hidden="1">'[15]Employment Data Sectors (wages)'!$B$12:$B$23</definedName>
    <definedName name="_30__123Graph_ECHART_8" hidden="1">'[16]Employment Data Sectors (wages)'!$H$86:$H$99</definedName>
    <definedName name="_30__123Graph_FCHART_8" hidden="1">'[17]Employment Data Sectors (wages)'!$H$6:$H$17</definedName>
    <definedName name="_31__123Graph_FCHART_8" hidden="1">'[16]Employment Data Sectors (wages)'!$H$6:$H$17</definedName>
    <definedName name="_32__123Graph_BCHART_5" localSheetId="3" hidden="1">'[14]Employment Data Sectors (wages)'!$B$24:$B$35</definedName>
    <definedName name="_32__123Graph_BCHART_5" localSheetId="13" hidden="1">'[14]Employment Data Sectors (wages)'!$B$24:$B$35</definedName>
    <definedName name="_32__123Graph_BCHART_5" localSheetId="15" hidden="1">'[15]Employment Data Sectors (wages)'!$B$24:$B$35</definedName>
    <definedName name="_32__123Graph_BCHART_5" localSheetId="23" hidden="1">'[15]Employment Data Sectors (wages)'!$B$24:$B$35</definedName>
    <definedName name="_32__123Graph_BCHART_5" localSheetId="4" hidden="1">'[14]Employment Data Sectors (wages)'!$B$24:$B$35</definedName>
    <definedName name="_32__123Graph_BCHART_5" hidden="1">'[15]Employment Data Sectors (wages)'!$B$24:$B$35</definedName>
    <definedName name="_34__123Graph_BCHART_6" localSheetId="3" hidden="1">'[14]Employment Data Sectors (wages)'!$AS$49:$AS$8103</definedName>
    <definedName name="_34__123Graph_BCHART_6" localSheetId="13" hidden="1">'[14]Employment Data Sectors (wages)'!$AS$49:$AS$8103</definedName>
    <definedName name="_34__123Graph_BCHART_6" localSheetId="15" hidden="1">'[15]Employment Data Sectors (wages)'!$AS$49:$AS$8103</definedName>
    <definedName name="_34__123Graph_BCHART_6" localSheetId="23" hidden="1">'[15]Employment Data Sectors (wages)'!$AS$49:$AS$8103</definedName>
    <definedName name="_34__123Graph_BCHART_6" localSheetId="4" hidden="1">'[14]Employment Data Sectors (wages)'!$AS$49:$AS$8103</definedName>
    <definedName name="_34__123Graph_BCHART_6" hidden="1">'[15]Employment Data Sectors (wages)'!$AS$49:$AS$8103</definedName>
    <definedName name="_35__123Graph_ACHART_3" hidden="1">'[14]Employment Data Sectors (wages)'!$A$11:$A$8185</definedName>
    <definedName name="_36__123Graph_BCHART_7" localSheetId="3" hidden="1">'[14]Employment Data Sectors (wages)'!$Y$13:$Y$8187</definedName>
    <definedName name="_36__123Graph_BCHART_7" localSheetId="13" hidden="1">'[14]Employment Data Sectors (wages)'!$Y$13:$Y$8187</definedName>
    <definedName name="_36__123Graph_BCHART_7" localSheetId="15" hidden="1">'[15]Employment Data Sectors (wages)'!$Y$13:$Y$8187</definedName>
    <definedName name="_36__123Graph_BCHART_7" localSheetId="23" hidden="1">'[15]Employment Data Sectors (wages)'!$Y$13:$Y$8187</definedName>
    <definedName name="_36__123Graph_BCHART_7" localSheetId="4" hidden="1">'[14]Employment Data Sectors (wages)'!$Y$13:$Y$8187</definedName>
    <definedName name="_36__123Graph_BCHART_7" hidden="1">'[15]Employment Data Sectors (wages)'!$Y$13:$Y$8187</definedName>
    <definedName name="_38__123Graph_BCHART_8" localSheetId="3" hidden="1">'[14]Employment Data Sectors (wages)'!$W$13:$W$8187</definedName>
    <definedName name="_38__123Graph_BCHART_8" localSheetId="13" hidden="1">'[14]Employment Data Sectors (wages)'!$W$13:$W$8187</definedName>
    <definedName name="_38__123Graph_BCHART_8" localSheetId="15" hidden="1">'[15]Employment Data Sectors (wages)'!$W$13:$W$8187</definedName>
    <definedName name="_38__123Graph_BCHART_8" localSheetId="23" hidden="1">'[15]Employment Data Sectors (wages)'!$W$13:$W$8187</definedName>
    <definedName name="_38__123Graph_BCHART_8" localSheetId="4" hidden="1">'[14]Employment Data Sectors (wages)'!$W$13:$W$8187</definedName>
    <definedName name="_38__123Graph_BCHART_8" hidden="1">'[15]Employment Data Sectors (wages)'!$W$13:$W$8187</definedName>
    <definedName name="_4__123Graph_ACHART_2" hidden="1">'[16]Employment Data Sectors (wages)'!$A$8173:$A$8184</definedName>
    <definedName name="_4__123Graph_ACHART_3" hidden="1">'[17]Employment Data Sectors (wages)'!$A$11:$A$8185</definedName>
    <definedName name="_4__123Graph_CDEV_EMPL" localSheetId="3" hidden="1">'[5]Time series'!#REF!</definedName>
    <definedName name="_4__123Graph_CDEV_EMPL" localSheetId="13" hidden="1">'[5]Time series'!#REF!</definedName>
    <definedName name="_4__123Graph_CDEV_EMPL" localSheetId="15" hidden="1">'[5]Time series'!#REF!</definedName>
    <definedName name="_4__123Graph_CDEV_EMPL" localSheetId="23" hidden="1">'[5]Time series'!#REF!</definedName>
    <definedName name="_4__123Graph_CDEV_EMPL" localSheetId="4" hidden="1">'[5]Time series'!#REF!</definedName>
    <definedName name="_4__123Graph_CDEV_EMPL" hidden="1">'[5]Time series'!#REF!</definedName>
    <definedName name="_40__123Graph_ACHART_4" hidden="1">'[14]Employment Data Sectors (wages)'!$A$12:$A$23</definedName>
    <definedName name="_40__123Graph_CCHART_1" localSheetId="3" hidden="1">'[14]Employment Data Sectors (wages)'!$C$8173:$C$8184</definedName>
    <definedName name="_40__123Graph_CCHART_1" localSheetId="13" hidden="1">'[14]Employment Data Sectors (wages)'!$C$8173:$C$8184</definedName>
    <definedName name="_40__123Graph_CCHART_1" localSheetId="15" hidden="1">'[15]Employment Data Sectors (wages)'!$C$8173:$C$8184</definedName>
    <definedName name="_40__123Graph_CCHART_1" localSheetId="23" hidden="1">'[15]Employment Data Sectors (wages)'!$C$8173:$C$8184</definedName>
    <definedName name="_40__123Graph_CCHART_1" localSheetId="4" hidden="1">'[14]Employment Data Sectors (wages)'!$C$8173:$C$8184</definedName>
    <definedName name="_40__123Graph_CCHART_1" hidden="1">'[15]Employment Data Sectors (wages)'!$C$8173:$C$8184</definedName>
    <definedName name="_42__123Graph_CCHART_2" localSheetId="3" hidden="1">'[14]Employment Data Sectors (wages)'!$C$8173:$C$8184</definedName>
    <definedName name="_42__123Graph_CCHART_2" localSheetId="13" hidden="1">'[14]Employment Data Sectors (wages)'!$C$8173:$C$8184</definedName>
    <definedName name="_42__123Graph_CCHART_2" localSheetId="15" hidden="1">'[15]Employment Data Sectors (wages)'!$C$8173:$C$8184</definedName>
    <definedName name="_42__123Graph_CCHART_2" localSheetId="23" hidden="1">'[15]Employment Data Sectors (wages)'!$C$8173:$C$8184</definedName>
    <definedName name="_42__123Graph_CCHART_2" localSheetId="4" hidden="1">'[14]Employment Data Sectors (wages)'!$C$8173:$C$8184</definedName>
    <definedName name="_42__123Graph_CCHART_2" hidden="1">'[15]Employment Data Sectors (wages)'!$C$8173:$C$8184</definedName>
    <definedName name="_44__123Graph_CCHART_3" localSheetId="3" hidden="1">'[14]Employment Data Sectors (wages)'!$C$11:$C$8185</definedName>
    <definedName name="_44__123Graph_CCHART_3" localSheetId="13" hidden="1">'[14]Employment Data Sectors (wages)'!$C$11:$C$8185</definedName>
    <definedName name="_44__123Graph_CCHART_3" localSheetId="15" hidden="1">'[15]Employment Data Sectors (wages)'!$C$11:$C$8185</definedName>
    <definedName name="_44__123Graph_CCHART_3" localSheetId="23" hidden="1">'[15]Employment Data Sectors (wages)'!$C$11:$C$8185</definedName>
    <definedName name="_44__123Graph_CCHART_3" localSheetId="4" hidden="1">'[14]Employment Data Sectors (wages)'!$C$11:$C$8185</definedName>
    <definedName name="_44__123Graph_CCHART_3" hidden="1">'[15]Employment Data Sectors (wages)'!$C$11:$C$8185</definedName>
    <definedName name="_45__123Graph_ACHART_5" hidden="1">'[14]Employment Data Sectors (wages)'!$A$24:$A$35</definedName>
    <definedName name="_46__123Graph_CCHART_4" localSheetId="3" hidden="1">'[14]Employment Data Sectors (wages)'!$C$12:$C$23</definedName>
    <definedName name="_46__123Graph_CCHART_4" localSheetId="13" hidden="1">'[14]Employment Data Sectors (wages)'!$C$12:$C$23</definedName>
    <definedName name="_46__123Graph_CCHART_4" localSheetId="15" hidden="1">'[15]Employment Data Sectors (wages)'!$C$12:$C$23</definedName>
    <definedName name="_46__123Graph_CCHART_4" localSheetId="23" hidden="1">'[15]Employment Data Sectors (wages)'!$C$12:$C$23</definedName>
    <definedName name="_46__123Graph_CCHART_4" localSheetId="4" hidden="1">'[14]Employment Data Sectors (wages)'!$C$12:$C$23</definedName>
    <definedName name="_46__123Graph_CCHART_4" hidden="1">'[15]Employment Data Sectors (wages)'!$C$12:$C$23</definedName>
    <definedName name="_48__123Graph_CCHART_5" localSheetId="3" hidden="1">'[14]Employment Data Sectors (wages)'!$C$24:$C$35</definedName>
    <definedName name="_48__123Graph_CCHART_5" localSheetId="13" hidden="1">'[14]Employment Data Sectors (wages)'!$C$24:$C$35</definedName>
    <definedName name="_48__123Graph_CCHART_5" localSheetId="15" hidden="1">'[15]Employment Data Sectors (wages)'!$C$24:$C$35</definedName>
    <definedName name="_48__123Graph_CCHART_5" localSheetId="23" hidden="1">'[15]Employment Data Sectors (wages)'!$C$24:$C$35</definedName>
    <definedName name="_48__123Graph_CCHART_5" localSheetId="4" hidden="1">'[14]Employment Data Sectors (wages)'!$C$24:$C$35</definedName>
    <definedName name="_48__123Graph_CCHART_5" hidden="1">'[15]Employment Data Sectors (wages)'!$C$24:$C$35</definedName>
    <definedName name="_5__123Graph_ACHART_3" hidden="1">'[16]Employment Data Sectors (wages)'!$A$11:$A$8185</definedName>
    <definedName name="_5__123Graph_ACHART_4" hidden="1">'[17]Employment Data Sectors (wages)'!$A$12:$A$23</definedName>
    <definedName name="_5__123Graph_CSWE_EMPL" localSheetId="3" hidden="1">'[5]Time series'!#REF!</definedName>
    <definedName name="_5__123Graph_CSWE_EMPL" localSheetId="13" hidden="1">'[5]Time series'!#REF!</definedName>
    <definedName name="_5__123Graph_CSWE_EMPL" localSheetId="15" hidden="1">'[5]Time series'!#REF!</definedName>
    <definedName name="_5__123Graph_CSWE_EMPL" localSheetId="23" hidden="1">'[5]Time series'!#REF!</definedName>
    <definedName name="_5__123Graph_CSWE_EMPL" localSheetId="4" hidden="1">'[5]Time series'!#REF!</definedName>
    <definedName name="_5__123Graph_CSWE_EMPL" hidden="1">'[5]Time series'!#REF!</definedName>
    <definedName name="_50__123Graph_ACHART_6" hidden="1">'[14]Employment Data Sectors (wages)'!$Y$49:$Y$8103</definedName>
    <definedName name="_50__123Graph_CCHART_6" localSheetId="3" hidden="1">'[14]Employment Data Sectors (wages)'!$U$49:$U$8103</definedName>
    <definedName name="_50__123Graph_CCHART_6" localSheetId="13" hidden="1">'[14]Employment Data Sectors (wages)'!$U$49:$U$8103</definedName>
    <definedName name="_50__123Graph_CCHART_6" localSheetId="15" hidden="1">'[15]Employment Data Sectors (wages)'!$U$49:$U$8103</definedName>
    <definedName name="_50__123Graph_CCHART_6" localSheetId="23" hidden="1">'[15]Employment Data Sectors (wages)'!$U$49:$U$8103</definedName>
    <definedName name="_50__123Graph_CCHART_6" localSheetId="4" hidden="1">'[14]Employment Data Sectors (wages)'!$U$49:$U$8103</definedName>
    <definedName name="_50__123Graph_CCHART_6" hidden="1">'[15]Employment Data Sectors (wages)'!$U$49:$U$8103</definedName>
    <definedName name="_52__123Graph_CCHART_7" localSheetId="3" hidden="1">'[14]Employment Data Sectors (wages)'!$Y$14:$Y$25</definedName>
    <definedName name="_52__123Graph_CCHART_7" localSheetId="13" hidden="1">'[14]Employment Data Sectors (wages)'!$Y$14:$Y$25</definedName>
    <definedName name="_52__123Graph_CCHART_7" localSheetId="15" hidden="1">'[15]Employment Data Sectors (wages)'!$Y$14:$Y$25</definedName>
    <definedName name="_52__123Graph_CCHART_7" localSheetId="23" hidden="1">'[15]Employment Data Sectors (wages)'!$Y$14:$Y$25</definedName>
    <definedName name="_52__123Graph_CCHART_7" localSheetId="4" hidden="1">'[14]Employment Data Sectors (wages)'!$Y$14:$Y$25</definedName>
    <definedName name="_52__123Graph_CCHART_7" hidden="1">'[15]Employment Data Sectors (wages)'!$Y$14:$Y$25</definedName>
    <definedName name="_54__123Graph_CCHART_8" localSheetId="3" hidden="1">'[14]Employment Data Sectors (wages)'!$W$14:$W$25</definedName>
    <definedName name="_54__123Graph_CCHART_8" localSheetId="13" hidden="1">'[14]Employment Data Sectors (wages)'!$W$14:$W$25</definedName>
    <definedName name="_54__123Graph_CCHART_8" localSheetId="15" hidden="1">'[15]Employment Data Sectors (wages)'!$W$14:$W$25</definedName>
    <definedName name="_54__123Graph_CCHART_8" localSheetId="23" hidden="1">'[15]Employment Data Sectors (wages)'!$W$14:$W$25</definedName>
    <definedName name="_54__123Graph_CCHART_8" localSheetId="4" hidden="1">'[14]Employment Data Sectors (wages)'!$W$14:$W$25</definedName>
    <definedName name="_54__123Graph_CCHART_8" hidden="1">'[15]Employment Data Sectors (wages)'!$W$14:$W$25</definedName>
    <definedName name="_55__123Graph_ACHART_7" hidden="1">'[14]Employment Data Sectors (wages)'!$Y$8175:$Y$8186</definedName>
    <definedName name="_56__123Graph_DCHART_7" localSheetId="3" hidden="1">'[14]Employment Data Sectors (wages)'!$Y$26:$Y$37</definedName>
    <definedName name="_56__123Graph_DCHART_7" localSheetId="13" hidden="1">'[14]Employment Data Sectors (wages)'!$Y$26:$Y$37</definedName>
    <definedName name="_56__123Graph_DCHART_7" localSheetId="15" hidden="1">'[15]Employment Data Sectors (wages)'!$Y$26:$Y$37</definedName>
    <definedName name="_56__123Graph_DCHART_7" localSheetId="23" hidden="1">'[15]Employment Data Sectors (wages)'!$Y$26:$Y$37</definedName>
    <definedName name="_56__123Graph_DCHART_7" localSheetId="4" hidden="1">'[14]Employment Data Sectors (wages)'!$Y$26:$Y$37</definedName>
    <definedName name="_56__123Graph_DCHART_7" hidden="1">'[15]Employment Data Sectors (wages)'!$Y$26:$Y$37</definedName>
    <definedName name="_58__123Graph_DCHART_8" localSheetId="3" hidden="1">'[14]Employment Data Sectors (wages)'!$W$26:$W$37</definedName>
    <definedName name="_58__123Graph_DCHART_8" localSheetId="13" hidden="1">'[14]Employment Data Sectors (wages)'!$W$26:$W$37</definedName>
    <definedName name="_58__123Graph_DCHART_8" localSheetId="15" hidden="1">'[15]Employment Data Sectors (wages)'!$W$26:$W$37</definedName>
    <definedName name="_58__123Graph_DCHART_8" localSheetId="23" hidden="1">'[15]Employment Data Sectors (wages)'!$W$26:$W$37</definedName>
    <definedName name="_58__123Graph_DCHART_8" localSheetId="4" hidden="1">'[14]Employment Data Sectors (wages)'!$W$26:$W$37</definedName>
    <definedName name="_58__123Graph_DCHART_8" hidden="1">'[15]Employment Data Sectors (wages)'!$W$26:$W$37</definedName>
    <definedName name="_6__123Graph_ACHART_4" hidden="1">'[16]Employment Data Sectors (wages)'!$A$12:$A$23</definedName>
    <definedName name="_6__123Graph_ACHART_5" hidden="1">'[17]Employment Data Sectors (wages)'!$A$24:$A$35</definedName>
    <definedName name="_60__123Graph_ACHART_8" hidden="1">'[14]Employment Data Sectors (wages)'!$W$8175:$W$8186</definedName>
    <definedName name="_60__123Graph_ECHART_7" localSheetId="3" hidden="1">'[14]Employment Data Sectors (wages)'!$Y$38:$Y$49</definedName>
    <definedName name="_60__123Graph_ECHART_7" localSheetId="13" hidden="1">'[14]Employment Data Sectors (wages)'!$Y$38:$Y$49</definedName>
    <definedName name="_60__123Graph_ECHART_7" localSheetId="15" hidden="1">'[15]Employment Data Sectors (wages)'!$Y$38:$Y$49</definedName>
    <definedName name="_60__123Graph_ECHART_7" localSheetId="23" hidden="1">'[15]Employment Data Sectors (wages)'!$Y$38:$Y$49</definedName>
    <definedName name="_60__123Graph_ECHART_7" localSheetId="4" hidden="1">'[14]Employment Data Sectors (wages)'!$Y$38:$Y$49</definedName>
    <definedName name="_60__123Graph_ECHART_7" hidden="1">'[15]Employment Data Sectors (wages)'!$Y$38:$Y$49</definedName>
    <definedName name="_62__123Graph_ECHART_8" localSheetId="3" hidden="1">'[14]Employment Data Sectors (wages)'!$H$86:$H$99</definedName>
    <definedName name="_62__123Graph_ECHART_8" localSheetId="13" hidden="1">'[14]Employment Data Sectors (wages)'!$H$86:$H$99</definedName>
    <definedName name="_62__123Graph_ECHART_8" localSheetId="15" hidden="1">'[15]Employment Data Sectors (wages)'!$H$86:$H$99</definedName>
    <definedName name="_62__123Graph_ECHART_8" localSheetId="23" hidden="1">'[15]Employment Data Sectors (wages)'!$H$86:$H$99</definedName>
    <definedName name="_62__123Graph_ECHART_8" localSheetId="4" hidden="1">'[14]Employment Data Sectors (wages)'!$H$86:$H$99</definedName>
    <definedName name="_62__123Graph_ECHART_8" hidden="1">'[15]Employment Data Sectors (wages)'!$H$86:$H$99</definedName>
    <definedName name="_64__123Graph_FCHART_8" localSheetId="3" hidden="1">'[14]Employment Data Sectors (wages)'!$H$6:$H$17</definedName>
    <definedName name="_64__123Graph_FCHART_8" localSheetId="13" hidden="1">'[14]Employment Data Sectors (wages)'!$H$6:$H$17</definedName>
    <definedName name="_64__123Graph_FCHART_8" localSheetId="15" hidden="1">'[15]Employment Data Sectors (wages)'!$H$6:$H$17</definedName>
    <definedName name="_64__123Graph_FCHART_8" localSheetId="23" hidden="1">'[15]Employment Data Sectors (wages)'!$H$6:$H$17</definedName>
    <definedName name="_64__123Graph_FCHART_8" localSheetId="4" hidden="1">'[14]Employment Data Sectors (wages)'!$H$6:$H$17</definedName>
    <definedName name="_64__123Graph_FCHART_8" hidden="1">'[15]Employment Data Sectors (wages)'!$H$6:$H$17</definedName>
    <definedName name="_65__123Graph_BCHART_1" hidden="1">'[14]Employment Data Sectors (wages)'!$B$8173:$B$8184</definedName>
    <definedName name="_6Macros_Import_.qbop" localSheetId="15">[18]!'[Macros Import].qbop'</definedName>
    <definedName name="_6Macros_Import_.qbop" localSheetId="18">[18]!'[Macros Import].qbop'</definedName>
    <definedName name="_6Macros_Import_.qbop" localSheetId="17">[18]!'[Macros Import].qbop'</definedName>
    <definedName name="_6Macros_Import_.qbop" localSheetId="19">[18]!'[Macros Import].qbop'</definedName>
    <definedName name="_6Macros_Import_.qbop" localSheetId="20">[18]!'[Macros Import].qbop'</definedName>
    <definedName name="_6Macros_Import_.qbop">[18]!'[Macros Import].qbop'</definedName>
    <definedName name="_7__123Graph_ACHART_5" hidden="1">'[16]Employment Data Sectors (wages)'!$A$24:$A$35</definedName>
    <definedName name="_7__123Graph_ACHART_6" hidden="1">'[17]Employment Data Sectors (wages)'!$Y$49:$Y$8103</definedName>
    <definedName name="_70__123Graph_BCHART_2" hidden="1">'[14]Employment Data Sectors (wages)'!$B$8173:$B$8184</definedName>
    <definedName name="_75__123Graph_BCHART_3" hidden="1">'[14]Employment Data Sectors (wages)'!$B$11:$B$8185</definedName>
    <definedName name="_8__123Graph_ACHART_1" localSheetId="3" hidden="1">'[14]Employment Data Sectors (wages)'!$A$8173:$A$8184</definedName>
    <definedName name="_8__123Graph_ACHART_1" localSheetId="13" hidden="1">'[14]Employment Data Sectors (wages)'!$A$8173:$A$8184</definedName>
    <definedName name="_8__123Graph_ACHART_1" localSheetId="15" hidden="1">'[15]Employment Data Sectors (wages)'!$A$8173:$A$8184</definedName>
    <definedName name="_8__123Graph_ACHART_1" localSheetId="23" hidden="1">'[15]Employment Data Sectors (wages)'!$A$8173:$A$8184</definedName>
    <definedName name="_8__123Graph_ACHART_1" localSheetId="4" hidden="1">'[14]Employment Data Sectors (wages)'!$A$8173:$A$8184</definedName>
    <definedName name="_8__123Graph_ACHART_1" hidden="1">'[15]Employment Data Sectors (wages)'!$A$8173:$A$8184</definedName>
    <definedName name="_8__123Graph_ACHART_6" hidden="1">'[16]Employment Data Sectors (wages)'!$Y$49:$Y$8103</definedName>
    <definedName name="_8__123Graph_ACHART_7" hidden="1">'[17]Employment Data Sectors (wages)'!$Y$8175:$Y$8186</definedName>
    <definedName name="_80__123Graph_BCHART_4" hidden="1">'[14]Employment Data Sectors (wages)'!$B$12:$B$23</definedName>
    <definedName name="_85__123Graph_BCHART_5" hidden="1">'[14]Employment Data Sectors (wages)'!$B$24:$B$35</definedName>
    <definedName name="_9__123Graph_ACHART_7" hidden="1">'[16]Employment Data Sectors (wages)'!$Y$8175:$Y$8186</definedName>
    <definedName name="_9__123Graph_ACHART_8" hidden="1">'[17]Employment Data Sectors (wages)'!$W$8175:$W$8186</definedName>
    <definedName name="_90__123Graph_BCHART_6" hidden="1">'[14]Employment Data Sectors (wages)'!$AS$49:$AS$8103</definedName>
    <definedName name="_95__123Graph_BCHART_7" hidden="1">'[14]Employment Data Sectors (wages)'!$Y$13:$Y$8187</definedName>
    <definedName name="_AMO_ContentDefinition_909831962" hidden="1">"'Partitions:10'"</definedName>
    <definedName name="_AMO_ContentDefinition_909831962.0" hidden="1">"'&lt;ContentDefinition name=""P:\Staat_ESVG\ESVG2010\Steuereinnahmen\SAS\DATA\Ergebnistabellen\steuern_klass.sas7bdat"" rsid=""909831962"" type=""DataSet"" format=""ReportXml"" imgfmt=""ActiveX"" created=""09/29/2014 13:23:49"" modifed=""09/27/2016 16:5'"</definedName>
    <definedName name="_AMO_ContentDefinition_909831962.1" hidden="1">"'7:08"" user=""HELPERSTORFER Christian"" apply=""False"" css=""C:\Program Files (x86)\SASHome\x86\SASAddinforMicrosoftOffice\6.1\Styles\AMODefault.css"" range=""P__Staat_ESVG_ESVG2010_Steuereinnahmen_SAS_DATA_Ergebnistabellen_steuern_klass_sas7bdat"" '"</definedName>
    <definedName name="_AMO_ContentDefinition_909831962.2" hidden="1">"'auto=""False"" xTime=""00:00:00"" rTime=""00:00:06.1464788"" bgnew=""False"" nFmt=""False"" grphSet=""False"" imgY=""0"" imgX=""0"" redirect=""False""&gt;_x000D_
  &lt;files /&gt;_x000D_
  &lt;parents /&gt;_x000D_
  &lt;children /&gt;_x000D_
  &lt;param n=""AMO_Version"" v=""6.1"" /&gt;_x000D_
  &lt;param n'"</definedName>
    <definedName name="_AMO_ContentDefinition_909831962.3" hidden="1">"'=""DisplayName"" v=""P:\Staat_ESVG\ESVG2010\Steuereinnahmen\SAS\DATA\Ergebnistabellen\steuern_klass.sas7bdat"" /&gt;_x000D_
  &lt;param n=""DisplayType"" v=""Datei"" /&gt;_x000D_
  &lt;param n=""DataSourceType"" v=""SAS DATASET"" /&gt;_x000D_
  &lt;param n=""SASFilter"" v="""" /&gt;_x000D_
  &lt;p'"</definedName>
    <definedName name="_AMO_ContentDefinition_909831962.4" hidden="1">"'aram n=""MoreSheetsForRows"" v=""True"" /&gt;_x000D_
  &lt;param n=""PageSize"" v=""500"" /&gt;_x000D_
  &lt;param n=""ShowRowNumbers"" v=""False"" /&gt;_x000D_
  &lt;param n=""ShowInfoInSheet"" v=""False"" /&gt;_x000D_
  &lt;param n=""CredKey"" v=""P:\Staat_ESVG\ESVG2010\Steuereinnahmen\SAS\DATA\E'"</definedName>
    <definedName name="_AMO_ContentDefinition_909831962.5" hidden="1">"'rgebnistabellen\steuern_klass.sas7bdat"" /&gt;_x000D_
  &lt;param n=""ClassName"" v=""SAS.OfficeAddin.DataViewItem"" /&gt;_x000D_
  &lt;param n=""ServerName"" v="""" /&gt;_x000D_
  &lt;param n=""DataSource"" v=""&amp;lt;SasDataSource Version=&amp;quot;4.2&amp;quot; Type=&amp;quot;SAS.Servers.Dataset&amp;qu'"</definedName>
    <definedName name="_AMO_ContentDefinition_909831962.6" hidden="1">"'ot; FilterDS=&amp;quot;&amp;amp;lt;?xml version=&amp;amp;quot;1.0&amp;amp;quot; encoding=&amp;amp;quot;utf-16&amp;amp;quot;?&amp;amp;gt;&amp;amp;lt;FilterTree&amp;amp;gt;&amp;amp;lt;TreeRoot /&amp;amp;gt;&amp;amp;lt;/FilterTree&amp;amp;gt;&amp;quot; ColSelFlg=&amp;quot;0&amp;quot; Name=&amp;quot;P:\Staat_ESVG\ESVG2010'"</definedName>
    <definedName name="_AMO_ContentDefinition_909831962.7" hidden="1">"'\Steuereinnahmen\SAS\DATA\Ergebnistabellen\steuern_klass.sas7bdat&amp;quot; /&amp;gt;"" /&gt;_x000D_
  &lt;param n=""ExcelTableColumnCount"" v=""27"" /&gt;_x000D_
  &lt;param n=""ExcelTableRowCount"" v=""7580"" /&gt;_x000D_
  &lt;param n=""DataRowCount"" v=""7580"" /&gt;_x000D_
  &lt;param n=""DataColCo'"</definedName>
    <definedName name="_AMO_ContentDefinition_909831962.8" hidden="1">"'unt"" v=""27"" /&gt;_x000D_
  &lt;param n=""ObsColumn"" v=""false"" /&gt;_x000D_
  &lt;param n=""ExcelFormattingHash"" v=""-614629894"" /&gt;_x000D_
  &lt;param n=""ExcelFormatting"" v=""Automatic"" /&gt;_x000D_
  &lt;ExcelXMLOptions AdjColWidths=""True"" RowOpt=""InsertCells"" ColOpt=""InsertCell'"</definedName>
    <definedName name="_AMO_ContentDefinition_909831962.9" hidden="1">"'s"" /&gt;_x000D_
&lt;/ContentDefinition&gt;'"</definedName>
    <definedName name="_AMO_ContentLocation_909831962__A1" hidden="1">"'Partitions:2'"</definedName>
    <definedName name="_AMO_ContentLocation_909831962__A1.0" hidden="1">"'&lt;ContentLocation path=""A1"" rsid=""909831962"" tag="""" fid=""0""&gt;_x000D_
  &lt;param n=""_NumRows"" v=""7581"" /&gt;_x000D_
  &lt;param n=""_NumCols"" v=""27"" /&gt;_x000D_
  &lt;param n=""SASDataState"" v=""none"" /&gt;_x000D_
  &lt;param n=""SASDataStart"" v=""1"" /&gt;_x000D_
  &lt;param n=""SASData'"</definedName>
    <definedName name="_AMO_ContentLocation_909831962__A1.1" hidden="1">"'End"" v=""7580"" /&gt;_x000D_
&lt;/ContentLocation&gt;'"</definedName>
    <definedName name="_AMO_SingleObject_909831962__A1" localSheetId="3" hidden="1">#REF!</definedName>
    <definedName name="_AMO_SingleObject_909831962__A1" localSheetId="13" hidden="1">#REF!</definedName>
    <definedName name="_AMO_SingleObject_909831962__A1" localSheetId="15" hidden="1">#REF!</definedName>
    <definedName name="_AMO_SingleObject_909831962__A1" localSheetId="4" hidden="1">#REF!</definedName>
    <definedName name="_AMO_SingleObject_909831962__A1" hidden="1">#REF!</definedName>
    <definedName name="_AMO_XmlVersion" hidden="1">"'1'"</definedName>
    <definedName name="_BOP1" localSheetId="13">#REF!</definedName>
    <definedName name="_BOP1" localSheetId="15">#REF!</definedName>
    <definedName name="_BOP1" localSheetId="23">#REF!</definedName>
    <definedName name="_BOP1">#REF!</definedName>
    <definedName name="_BOP2" localSheetId="13">[1]BoP!#REF!</definedName>
    <definedName name="_BOP2" localSheetId="15">[1]BoP!#REF!</definedName>
    <definedName name="_BOP2" localSheetId="23">[1]BoP!#REF!</definedName>
    <definedName name="_BOP2">[1]BoP!#REF!</definedName>
    <definedName name="_dat1" localSheetId="13">'[2]work Q real'!#REF!</definedName>
    <definedName name="_dat1" localSheetId="15">'[2]work Q real'!#REF!</definedName>
    <definedName name="_dat1">'[2]work Q real'!#REF!</definedName>
    <definedName name="_dat2" localSheetId="13">#REF!</definedName>
    <definedName name="_dat2" localSheetId="15">#REF!</definedName>
    <definedName name="_dat2" localSheetId="23">#REF!</definedName>
    <definedName name="_dat2">#REF!</definedName>
    <definedName name="_ECB18" localSheetId="13">#REF!</definedName>
    <definedName name="_ECB18">#REF!</definedName>
    <definedName name="_ECB19" localSheetId="13">#REF!</definedName>
    <definedName name="_ECB19">#REF!</definedName>
    <definedName name="_ECB20" localSheetId="13">#REF!</definedName>
    <definedName name="_ECB20">#REF!</definedName>
    <definedName name="_EXP5" localSheetId="13">#REF!</definedName>
    <definedName name="_EXP5" localSheetId="15">#REF!</definedName>
    <definedName name="_EXP5" localSheetId="23">#REF!</definedName>
    <definedName name="_EXP5">#REF!</definedName>
    <definedName name="_EXP6" localSheetId="13">#REF!</definedName>
    <definedName name="_EXP6" localSheetId="15">#REF!</definedName>
    <definedName name="_EXP6" localSheetId="23">#REF!</definedName>
    <definedName name="_EXP6">#REF!</definedName>
    <definedName name="_EXP7" localSheetId="13">#REF!</definedName>
    <definedName name="_EXP7" localSheetId="15">#REF!</definedName>
    <definedName name="_EXP7" localSheetId="23">#REF!</definedName>
    <definedName name="_EXP7">#REF!</definedName>
    <definedName name="_EXP9" localSheetId="13">#REF!</definedName>
    <definedName name="_EXP9" localSheetId="15">#REF!</definedName>
    <definedName name="_EXP9" localSheetId="23">#REF!</definedName>
    <definedName name="_EXP9">#REF!</definedName>
    <definedName name="_Fill" localSheetId="3" hidden="1">#REF!</definedName>
    <definedName name="_Fill" localSheetId="13" hidden="1">#REF!</definedName>
    <definedName name="_Fill" localSheetId="15" hidden="1">#REF!</definedName>
    <definedName name="_Fill" localSheetId="23" hidden="1">#REF!</definedName>
    <definedName name="_Fill" localSheetId="4" hidden="1">#REF!</definedName>
    <definedName name="_Fill" hidden="1">#REF!</definedName>
    <definedName name="_xlnm._FilterDatabase" localSheetId="14" hidden="1">'Graf 12 + 13'!#REF!</definedName>
    <definedName name="_xlnm._FilterDatabase" localSheetId="15" hidden="1">'Graf 14'!#REF!</definedName>
    <definedName name="_ftn1" localSheetId="22">'Tabuľka 6'!#REF!</definedName>
    <definedName name="_ftn2" localSheetId="22">'Tabuľka 6'!#REF!</definedName>
    <definedName name="_ftn3" localSheetId="22">'Tabuľka 6'!#REF!</definedName>
    <definedName name="_ftn4" localSheetId="22">'Tabuľka 6'!#REF!</definedName>
    <definedName name="_ftnref1" localSheetId="22">'Tabuľka 6'!$C$17</definedName>
    <definedName name="_ftnref2" localSheetId="22">'Tabuľka 6'!#REF!</definedName>
    <definedName name="_ftnref3" localSheetId="22">'Tabuľka 6'!#REF!</definedName>
    <definedName name="_ftnref4" localSheetId="22">'Tabuľka 6'!#REF!</definedName>
    <definedName name="_Hlk178850617" localSheetId="22">'Tabuľka 6'!#REF!</definedName>
    <definedName name="_CHF18" localSheetId="13">#REF!</definedName>
    <definedName name="_CHF18" localSheetId="15">#REF!</definedName>
    <definedName name="_CHF18">#REF!</definedName>
    <definedName name="_IMP10" localSheetId="13">#REF!</definedName>
    <definedName name="_IMP10" localSheetId="14">#REF!</definedName>
    <definedName name="_IMP10" localSheetId="15">#REF!</definedName>
    <definedName name="_IMP10" localSheetId="23">#REF!</definedName>
    <definedName name="_IMP10">#REF!</definedName>
    <definedName name="_IMP2" localSheetId="13">#REF!</definedName>
    <definedName name="_IMP2" localSheetId="14">#REF!</definedName>
    <definedName name="_IMP2" localSheetId="15">#REF!</definedName>
    <definedName name="_IMP2" localSheetId="23">#REF!</definedName>
    <definedName name="_IMP2">#REF!</definedName>
    <definedName name="_IMP4" localSheetId="13">#REF!</definedName>
    <definedName name="_IMP4" localSheetId="14">#REF!</definedName>
    <definedName name="_IMP4" localSheetId="15">#REF!</definedName>
    <definedName name="_IMP4" localSheetId="23">#REF!</definedName>
    <definedName name="_IMP4">#REF!</definedName>
    <definedName name="_IMP6" localSheetId="13">#REF!</definedName>
    <definedName name="_IMP6" localSheetId="15">#REF!</definedName>
    <definedName name="_IMP6" localSheetId="23">#REF!</definedName>
    <definedName name="_IMP6">#REF!</definedName>
    <definedName name="_IMP7" localSheetId="13">#REF!</definedName>
    <definedName name="_IMP7" localSheetId="15">#REF!</definedName>
    <definedName name="_IMP7" localSheetId="23">#REF!</definedName>
    <definedName name="_IMP7">#REF!</definedName>
    <definedName name="_IMP8" localSheetId="13">#REF!</definedName>
    <definedName name="_IMP8" localSheetId="15">#REF!</definedName>
    <definedName name="_IMP8" localSheetId="23">#REF!</definedName>
    <definedName name="_IMP8">#REF!</definedName>
    <definedName name="_JPY18" localSheetId="13">#REF!</definedName>
    <definedName name="_JPY18">#REF!</definedName>
    <definedName name="_JPY19" localSheetId="13">#REF!</definedName>
    <definedName name="_JPY19">#REF!</definedName>
    <definedName name="_JPY20" localSheetId="13">#REF!</definedName>
    <definedName name="_JPY20">#REF!</definedName>
    <definedName name="_MTS2" localSheetId="13">'[3]Annual Tables'!#REF!</definedName>
    <definedName name="_MTS2" localSheetId="15">'[3]Annual Tables'!#REF!</definedName>
    <definedName name="_MTS2" localSheetId="23">'[3]Annual Tables'!#REF!</definedName>
    <definedName name="_MTS2">'[3]Annual Tables'!#REF!</definedName>
    <definedName name="_Order1" hidden="1">255</definedName>
    <definedName name="_Order2" hidden="1">255</definedName>
    <definedName name="_OUT1" localSheetId="13">#REF!</definedName>
    <definedName name="_OUT1" localSheetId="15">#REF!</definedName>
    <definedName name="_OUT1" localSheetId="23">#REF!</definedName>
    <definedName name="_OUT1">#REF!</definedName>
    <definedName name="_OUT2" localSheetId="13">#REF!</definedName>
    <definedName name="_OUT2" localSheetId="15">#REF!</definedName>
    <definedName name="_OUT2" localSheetId="23">#REF!</definedName>
    <definedName name="_OUT2">#REF!</definedName>
    <definedName name="_PAG2" localSheetId="13">[3]Index!#REF!</definedName>
    <definedName name="_PAG2" localSheetId="15">[3]Index!#REF!</definedName>
    <definedName name="_PAG2" localSheetId="23">[3]Index!#REF!</definedName>
    <definedName name="_PAG2">[3]Index!#REF!</definedName>
    <definedName name="_PAG3" localSheetId="13">[3]Index!#REF!</definedName>
    <definedName name="_PAG3" localSheetId="15">[3]Index!#REF!</definedName>
    <definedName name="_PAG3" localSheetId="23">[3]Index!#REF!</definedName>
    <definedName name="_PAG3">[3]Index!#REF!</definedName>
    <definedName name="_PAG4" localSheetId="13">[3]Index!#REF!</definedName>
    <definedName name="_PAG4" localSheetId="15">[3]Index!#REF!</definedName>
    <definedName name="_PAG4" localSheetId="23">[3]Index!#REF!</definedName>
    <definedName name="_PAG4">[3]Index!#REF!</definedName>
    <definedName name="_PAG5" localSheetId="13">[3]Index!#REF!</definedName>
    <definedName name="_PAG5" localSheetId="15">[3]Index!#REF!</definedName>
    <definedName name="_PAG5" localSheetId="23">[3]Index!#REF!</definedName>
    <definedName name="_PAG5">[3]Index!#REF!</definedName>
    <definedName name="_PAG6" localSheetId="13">[3]Index!#REF!</definedName>
    <definedName name="_PAG6" localSheetId="15">[3]Index!#REF!</definedName>
    <definedName name="_PAG6" localSheetId="23">[3]Index!#REF!</definedName>
    <definedName name="_PAG6">[3]Index!#REF!</definedName>
    <definedName name="_PAG7" localSheetId="13">#REF!</definedName>
    <definedName name="_PAG7" localSheetId="15">#REF!</definedName>
    <definedName name="_PAG7" localSheetId="23">#REF!</definedName>
    <definedName name="_PAG7">#REF!</definedName>
    <definedName name="_pro2001">[12]pro2001!$A$1:$B$72</definedName>
    <definedName name="_r13" localSheetId="13">[19]splatnosti!$V$39</definedName>
    <definedName name="_r13" localSheetId="14">[20]splatnosti!$V$39</definedName>
    <definedName name="_r13" localSheetId="15">[20]splatnosti!$V$39</definedName>
    <definedName name="_r13" localSheetId="23">[20]splatnosti!$V$39</definedName>
    <definedName name="_r13">[20]splatnosti!$V$39</definedName>
    <definedName name="_r14" localSheetId="13">[19]splatnosti!$V$40</definedName>
    <definedName name="_r14" localSheetId="14">[20]splatnosti!$V$40</definedName>
    <definedName name="_r14" localSheetId="15">[20]splatnosti!$V$40</definedName>
    <definedName name="_r14" localSheetId="23">[20]splatnosti!$V$40</definedName>
    <definedName name="_r14">[20]splatnosti!$V$40</definedName>
    <definedName name="_r18" localSheetId="13">[21]splatnosti!$N$34</definedName>
    <definedName name="_r18">[22]splatnosti!$N$34</definedName>
    <definedName name="_r19" localSheetId="13">[21]splatnosti!$N$35</definedName>
    <definedName name="_r19">[22]splatnosti!$N$35</definedName>
    <definedName name="_r20" localSheetId="13">[21]splatnosti!$N$36</definedName>
    <definedName name="_r20">[22]splatnosti!$N$36</definedName>
    <definedName name="_Regression_X" localSheetId="3" hidden="1">#REF!</definedName>
    <definedName name="_Regression_X" localSheetId="13" hidden="1">#REF!</definedName>
    <definedName name="_Regression_X" localSheetId="15" hidden="1">#REF!</definedName>
    <definedName name="_Regression_X" localSheetId="23" hidden="1">#REF!</definedName>
    <definedName name="_Regression_X" localSheetId="4" hidden="1">#REF!</definedName>
    <definedName name="_Regression_X" hidden="1">#REF!</definedName>
    <definedName name="_Regression_Y" localSheetId="3" hidden="1">#REF!</definedName>
    <definedName name="_Regression_Y" localSheetId="13" hidden="1">#REF!</definedName>
    <definedName name="_Regression_Y" localSheetId="15" hidden="1">#REF!</definedName>
    <definedName name="_Regression_Y" localSheetId="23" hidden="1">#REF!</definedName>
    <definedName name="_Regression_Y" localSheetId="4" hidden="1">#REF!</definedName>
    <definedName name="_Regression_Y" hidden="1">#REF!</definedName>
    <definedName name="_RES2" localSheetId="13">[1]RES!#REF!</definedName>
    <definedName name="_RES2" localSheetId="14">[1]RES!#REF!</definedName>
    <definedName name="_RES2" localSheetId="15">[1]RES!#REF!</definedName>
    <definedName name="_RES2" localSheetId="23">[1]RES!#REF!</definedName>
    <definedName name="_RES2">[1]RES!#REF!</definedName>
    <definedName name="_RULC">[23]REER!$BA$144:$BA$206</definedName>
    <definedName name="_TAB1" localSheetId="13">#REF!</definedName>
    <definedName name="_TAB1" localSheetId="15">#REF!</definedName>
    <definedName name="_TAB1" localSheetId="23">#REF!</definedName>
    <definedName name="_TAB1">#REF!</definedName>
    <definedName name="_TAB10" localSheetId="13">#REF!</definedName>
    <definedName name="_TAB10" localSheetId="15">#REF!</definedName>
    <definedName name="_TAB10" localSheetId="23">#REF!</definedName>
    <definedName name="_TAB10">#REF!</definedName>
    <definedName name="_TAB12" localSheetId="13">#REF!</definedName>
    <definedName name="_TAB12" localSheetId="15">#REF!</definedName>
    <definedName name="_TAB12" localSheetId="23">#REF!</definedName>
    <definedName name="_TAB12">#REF!</definedName>
    <definedName name="_Tab19" localSheetId="13">#REF!</definedName>
    <definedName name="_Tab19" localSheetId="15">#REF!</definedName>
    <definedName name="_Tab19" localSheetId="23">#REF!</definedName>
    <definedName name="_Tab19">#REF!</definedName>
    <definedName name="_TAB2" localSheetId="13">#REF!</definedName>
    <definedName name="_TAB2" localSheetId="15">#REF!</definedName>
    <definedName name="_TAB2" localSheetId="23">#REF!</definedName>
    <definedName name="_TAB2">#REF!</definedName>
    <definedName name="_Tab20" localSheetId="13">#REF!</definedName>
    <definedName name="_Tab20" localSheetId="15">#REF!</definedName>
    <definedName name="_Tab20" localSheetId="23">#REF!</definedName>
    <definedName name="_Tab20">#REF!</definedName>
    <definedName name="_Tab21" localSheetId="13">#REF!</definedName>
    <definedName name="_Tab21" localSheetId="15">#REF!</definedName>
    <definedName name="_Tab21" localSheetId="23">#REF!</definedName>
    <definedName name="_Tab21">#REF!</definedName>
    <definedName name="_Tab22" localSheetId="13">#REF!</definedName>
    <definedName name="_Tab22" localSheetId="15">#REF!</definedName>
    <definedName name="_Tab22" localSheetId="23">#REF!</definedName>
    <definedName name="_Tab22">#REF!</definedName>
    <definedName name="_Tab23" localSheetId="13">#REF!</definedName>
    <definedName name="_Tab23" localSheetId="15">#REF!</definedName>
    <definedName name="_Tab23" localSheetId="23">#REF!</definedName>
    <definedName name="_Tab23">#REF!</definedName>
    <definedName name="_Tab24" localSheetId="13">#REF!</definedName>
    <definedName name="_Tab24" localSheetId="15">#REF!</definedName>
    <definedName name="_Tab24" localSheetId="23">#REF!</definedName>
    <definedName name="_Tab24">#REF!</definedName>
    <definedName name="_Tab26" localSheetId="13">#REF!</definedName>
    <definedName name="_Tab26" localSheetId="15">#REF!</definedName>
    <definedName name="_Tab26" localSheetId="23">#REF!</definedName>
    <definedName name="_Tab26">#REF!</definedName>
    <definedName name="_Tab27" localSheetId="13">#REF!</definedName>
    <definedName name="_Tab27" localSheetId="15">#REF!</definedName>
    <definedName name="_Tab27" localSheetId="23">#REF!</definedName>
    <definedName name="_Tab27">#REF!</definedName>
    <definedName name="_Tab28" localSheetId="13">#REF!</definedName>
    <definedName name="_Tab28" localSheetId="15">#REF!</definedName>
    <definedName name="_Tab28" localSheetId="23">#REF!</definedName>
    <definedName name="_Tab28">#REF!</definedName>
    <definedName name="_Tab29" localSheetId="13">#REF!</definedName>
    <definedName name="_Tab29" localSheetId="15">#REF!</definedName>
    <definedName name="_Tab29" localSheetId="23">#REF!</definedName>
    <definedName name="_Tab29">#REF!</definedName>
    <definedName name="_TAB3" localSheetId="13">#REF!</definedName>
    <definedName name="_TAB3" localSheetId="15">#REF!</definedName>
    <definedName name="_TAB3" localSheetId="23">#REF!</definedName>
    <definedName name="_TAB3">#REF!</definedName>
    <definedName name="_Tab30" localSheetId="13">#REF!</definedName>
    <definedName name="_Tab30" localSheetId="15">#REF!</definedName>
    <definedName name="_Tab30" localSheetId="23">#REF!</definedName>
    <definedName name="_Tab30">#REF!</definedName>
    <definedName name="_Tab31" localSheetId="13">#REF!</definedName>
    <definedName name="_Tab31" localSheetId="15">#REF!</definedName>
    <definedName name="_Tab31" localSheetId="23">#REF!</definedName>
    <definedName name="_Tab31">#REF!</definedName>
    <definedName name="_Tab32" localSheetId="13">#REF!</definedName>
    <definedName name="_Tab32" localSheetId="15">#REF!</definedName>
    <definedName name="_Tab32" localSheetId="23">#REF!</definedName>
    <definedName name="_Tab32">#REF!</definedName>
    <definedName name="_Tab33" localSheetId="13">#REF!</definedName>
    <definedName name="_Tab33" localSheetId="15">#REF!</definedName>
    <definedName name="_Tab33" localSheetId="23">#REF!</definedName>
    <definedName name="_Tab33">#REF!</definedName>
    <definedName name="_Tab34" localSheetId="13">#REF!</definedName>
    <definedName name="_Tab34" localSheetId="15">#REF!</definedName>
    <definedName name="_Tab34" localSheetId="23">#REF!</definedName>
    <definedName name="_Tab34">#REF!</definedName>
    <definedName name="_Tab35" localSheetId="13">#REF!</definedName>
    <definedName name="_Tab35" localSheetId="15">#REF!</definedName>
    <definedName name="_Tab35" localSheetId="23">#REF!</definedName>
    <definedName name="_Tab35">#REF!</definedName>
    <definedName name="_TAB4" localSheetId="13">#REF!</definedName>
    <definedName name="_TAB4" localSheetId="15">#REF!</definedName>
    <definedName name="_TAB4" localSheetId="23">#REF!</definedName>
    <definedName name="_TAB4">#REF!</definedName>
    <definedName name="_TAB5" localSheetId="13">#REF!</definedName>
    <definedName name="_TAB5" localSheetId="15">#REF!</definedName>
    <definedName name="_TAB5" localSheetId="23">#REF!</definedName>
    <definedName name="_TAB5">#REF!</definedName>
    <definedName name="_tab6" localSheetId="13">#REF!</definedName>
    <definedName name="_tab6" localSheetId="15">#REF!</definedName>
    <definedName name="_tab6" localSheetId="23">#REF!</definedName>
    <definedName name="_tab6">#REF!</definedName>
    <definedName name="_TAB7" localSheetId="13">#REF!</definedName>
    <definedName name="_TAB7" localSheetId="15">#REF!</definedName>
    <definedName name="_TAB7" localSheetId="23">#REF!</definedName>
    <definedName name="_TAB7">#REF!</definedName>
    <definedName name="_TAB8" localSheetId="13">#REF!</definedName>
    <definedName name="_TAB8" localSheetId="15">#REF!</definedName>
    <definedName name="_TAB8" localSheetId="23">#REF!</definedName>
    <definedName name="_TAB8">#REF!</definedName>
    <definedName name="_tab9" localSheetId="13">#REF!</definedName>
    <definedName name="_tab9" localSheetId="15">#REF!</definedName>
    <definedName name="_tab9" localSheetId="23">#REF!</definedName>
    <definedName name="_tab9">#REF!</definedName>
    <definedName name="_TB41" localSheetId="13">#REF!</definedName>
    <definedName name="_TB41" localSheetId="15">#REF!</definedName>
    <definedName name="_TB41" localSheetId="23">#REF!</definedName>
    <definedName name="_TB41">#REF!</definedName>
    <definedName name="_Toc116561360" localSheetId="17">'Tabuľka 2'!$D$4</definedName>
    <definedName name="_Toc116561390" localSheetId="14">'Graf 12 + 13'!$B$23</definedName>
    <definedName name="_Toc117765249" localSheetId="12">'Graf 10'!$C$26</definedName>
    <definedName name="_Toc117765255" localSheetId="15">'Graf 14'!$M$48</definedName>
    <definedName name="_Toc495395955" localSheetId="29">'Tabuľka 9'!$B$5</definedName>
    <definedName name="_Toc495395979" localSheetId="31">'Tabuľka 11'!$B$5</definedName>
    <definedName name="_Toc495423391" localSheetId="2">Zhrnutie!$A$5</definedName>
    <definedName name="_Toc526688278" localSheetId="34">'Tabuľka 13'!$B$5</definedName>
    <definedName name="_Toc53414067" localSheetId="30">'Tabuľka 10'!$B$5</definedName>
    <definedName name="_Toc53414069" localSheetId="33">'Tabuľka 12'!$B$5</definedName>
    <definedName name="_Toc53500237" localSheetId="35">'Tabuľka 14'!$B$5</definedName>
    <definedName name="_USD18" localSheetId="13">#REF!</definedName>
    <definedName name="_USD18" localSheetId="15">#REF!</definedName>
    <definedName name="_USD18">#REF!</definedName>
    <definedName name="_USD19" localSheetId="13">#REF!</definedName>
    <definedName name="_USD19">#REF!</definedName>
    <definedName name="_WEO1" localSheetId="13">#REF!</definedName>
    <definedName name="_WEO1" localSheetId="15">#REF!</definedName>
    <definedName name="_WEO1" localSheetId="23">#REF!</definedName>
    <definedName name="_WEO1">#REF!</definedName>
    <definedName name="_WEO2" localSheetId="13">#REF!</definedName>
    <definedName name="_WEO2" localSheetId="15">#REF!</definedName>
    <definedName name="_WEO2" localSheetId="23">#REF!</definedName>
    <definedName name="_WEO2">#REF!</definedName>
    <definedName name="a" hidden="1">[23]REER!$AZ$144:$AZ$210</definedName>
    <definedName name="aa" hidden="1">#REF!</definedName>
    <definedName name="aaa" localSheetId="3" hidden="1">'[10]i2-KA'!#REF!</definedName>
    <definedName name="aaa" localSheetId="13" hidden="1">'[10]i2-KA'!#REF!</definedName>
    <definedName name="aaa" localSheetId="15" hidden="1">'[10]i2-KA'!#REF!</definedName>
    <definedName name="AAA" localSheetId="16">#REF!</definedName>
    <definedName name="AAA" localSheetId="18">#REF!</definedName>
    <definedName name="aaa" localSheetId="4" hidden="1">'[10]i2-KA'!#REF!</definedName>
    <definedName name="aaa" hidden="1">'[10]i2-KA'!#REF!</definedName>
    <definedName name="aaaaaaaaaaaaaa">[24]!aaaaaaaaaaaaaa</definedName>
    <definedName name="aas">[25]Contents!$A$1:$C$25</definedName>
    <definedName name="Adjustment_codes">'[26]0102_QN_V'!$A$527:$A$531</definedName>
    <definedName name="afqr" hidden="1">'[27]i2-KA'!#REF!</definedName>
    <definedName name="aloha" localSheetId="3" hidden="1">'[27]i2-KA'!#REF!</definedName>
    <definedName name="aloha" localSheetId="13" hidden="1">'[27]i2-KA'!#REF!</definedName>
    <definedName name="aloha" localSheetId="15" hidden="1">'[27]i2-KA'!#REF!</definedName>
    <definedName name="aloha" localSheetId="4" hidden="1">'[27]i2-KA'!#REF!</definedName>
    <definedName name="aloha" hidden="1">'[27]i2-KA'!#REF!</definedName>
    <definedName name="ANNUALNOM" localSheetId="13">#REF!</definedName>
    <definedName name="ANNUALNOM" localSheetId="15">#REF!</definedName>
    <definedName name="ANNUALNOM" localSheetId="23">#REF!</definedName>
    <definedName name="ANNUALNOM">#REF!</definedName>
    <definedName name="area">[28]tab!$A$1:$H$52</definedName>
    <definedName name="as">'[25]i-REER'!$A$2:$F$104</definedName>
    <definedName name="ASSUM" localSheetId="13">#REF!</definedName>
    <definedName name="ASSUM" localSheetId="15">#REF!</definedName>
    <definedName name="ASSUM" localSheetId="23">#REF!</definedName>
    <definedName name="ASSUM">#REF!</definedName>
    <definedName name="ASSUMB" localSheetId="13">#REF!</definedName>
    <definedName name="ASSUMB" localSheetId="15">#REF!</definedName>
    <definedName name="ASSUMB" localSheetId="23">#REF!</definedName>
    <definedName name="ASSUMB">#REF!</definedName>
    <definedName name="atrade" localSheetId="15">[18]!atrade</definedName>
    <definedName name="atrade" localSheetId="18">[18]!atrade</definedName>
    <definedName name="atrade" localSheetId="17">[18]!atrade</definedName>
    <definedName name="atrade" localSheetId="19">[18]!atrade</definedName>
    <definedName name="atrade" localSheetId="20">[18]!atrade</definedName>
    <definedName name="atrade">[18]!atrade</definedName>
    <definedName name="b" localSheetId="13">#REF!</definedName>
    <definedName name="b" localSheetId="15">#REF!</definedName>
    <definedName name="b" localSheetId="23">#REF!</definedName>
    <definedName name="b">#REF!</definedName>
    <definedName name="BAKLANBOPB" localSheetId="13">#REF!</definedName>
    <definedName name="BAKLANBOPB" localSheetId="15">#REF!</definedName>
    <definedName name="BAKLANBOPB" localSheetId="23">#REF!</definedName>
    <definedName name="BAKLANBOPB">#REF!</definedName>
    <definedName name="BAKLANDEBT2B" localSheetId="13">#REF!</definedName>
    <definedName name="BAKLANDEBT2B" localSheetId="15">#REF!</definedName>
    <definedName name="BAKLANDEBT2B" localSheetId="23">#REF!</definedName>
    <definedName name="BAKLANDEBT2B">#REF!</definedName>
    <definedName name="BAKLDEBT1B" localSheetId="13">#REF!</definedName>
    <definedName name="BAKLDEBT1B" localSheetId="15">#REF!</definedName>
    <definedName name="BAKLDEBT1B" localSheetId="23">#REF!</definedName>
    <definedName name="BAKLDEBT1B">#REF!</definedName>
    <definedName name="BASDAT" localSheetId="13">'[3]Annual Tables'!#REF!</definedName>
    <definedName name="BASDAT" localSheetId="15">'[3]Annual Tables'!#REF!</definedName>
    <definedName name="BASDAT" localSheetId="23">'[3]Annual Tables'!#REF!</definedName>
    <definedName name="BASDAT">'[3]Annual Tables'!#REF!</definedName>
    <definedName name="bb" localSheetId="3" hidden="1">{"Riqfin97",#N/A,FALSE,"Tran";"Riqfinpro",#N/A,FALSE,"Tran"}</definedName>
    <definedName name="bb" localSheetId="13" hidden="1">{"Riqfin97",#N/A,FALSE,"Tran";"Riqfinpro",#N/A,FALSE,"Tran"}</definedName>
    <definedName name="bb" localSheetId="15" hidden="1">{"Riqfin97",#N/A,FALSE,"Tran";"Riqfinpro",#N/A,FALSE,"Tran"}</definedName>
    <definedName name="bb" localSheetId="16" hidden="1">{"Riqfin97",#N/A,FALSE,"Tran";"Riqfinpro",#N/A,FALSE,"Tran"}</definedName>
    <definedName name="bb" localSheetId="18" hidden="1">{"Riqfin97",#N/A,FALSE,"Tran";"Riqfinpro",#N/A,FALSE,"Tran"}</definedName>
    <definedName name="bb" localSheetId="23" hidden="1">{"Riqfin97",#N/A,FALSE,"Tran";"Riqfinpro",#N/A,FALSE,"Tran"}</definedName>
    <definedName name="bb" localSheetId="4" hidden="1">{"Riqfin97",#N/A,FALSE,"Tran";"Riqfinpro",#N/A,FALSE,"Tran"}</definedName>
    <definedName name="bb" localSheetId="26" hidden="1">{"Riqfin97",#N/A,FALSE,"Tran";"Riqfinpro",#N/A,FALSE,"Tran"}</definedName>
    <definedName name="bb" localSheetId="27" hidden="1">{"Riqfin97",#N/A,FALSE,"Tran";"Riqfinpro",#N/A,FALSE,"Tran"}</definedName>
    <definedName name="bb" localSheetId="32" hidden="1">{"Riqfin97",#N/A,FALSE,"Tran";"Riqfinpro",#N/A,FALSE,"Tran"}</definedName>
    <definedName name="bb" localSheetId="6" hidden="1">{"Riqfin97",#N/A,FALSE,"Tran";"Riqfinpro",#N/A,FALSE,"Tran"}</definedName>
    <definedName name="bb" localSheetId="1" hidden="1">{"Riqfin97",#N/A,FALSE,"Tran";"Riqfinpro",#N/A,FALSE,"Tran"}</definedName>
    <definedName name="bb" hidden="1">{"Riqfin97",#N/A,FALSE,"Tran";"Riqfinpro",#N/A,FALSE,"Tran"}</definedName>
    <definedName name="bbb" localSheetId="3" hidden="1">{"Riqfin97",#N/A,FALSE,"Tran";"Riqfinpro",#N/A,FALSE,"Tran"}</definedName>
    <definedName name="bbb" localSheetId="13" hidden="1">{"Riqfin97",#N/A,FALSE,"Tran";"Riqfinpro",#N/A,FALSE,"Tran"}</definedName>
    <definedName name="bbb" localSheetId="15" hidden="1">{"Riqfin97",#N/A,FALSE,"Tran";"Riqfinpro",#N/A,FALSE,"Tran"}</definedName>
    <definedName name="bbb" localSheetId="16" hidden="1">{"Riqfin97",#N/A,FALSE,"Tran";"Riqfinpro",#N/A,FALSE,"Tran"}</definedName>
    <definedName name="bbb" localSheetId="18" hidden="1">{"Riqfin97",#N/A,FALSE,"Tran";"Riqfinpro",#N/A,FALSE,"Tran"}</definedName>
    <definedName name="bbb" localSheetId="23" hidden="1">{"Riqfin97",#N/A,FALSE,"Tran";"Riqfinpro",#N/A,FALSE,"Tran"}</definedName>
    <definedName name="bbb" localSheetId="4" hidden="1">{"Riqfin97",#N/A,FALSE,"Tran";"Riqfinpro",#N/A,FALSE,"Tran"}</definedName>
    <definedName name="bbb" localSheetId="26" hidden="1">{"Riqfin97",#N/A,FALSE,"Tran";"Riqfinpro",#N/A,FALSE,"Tran"}</definedName>
    <definedName name="bbb" localSheetId="27" hidden="1">{"Riqfin97",#N/A,FALSE,"Tran";"Riqfinpro",#N/A,FALSE,"Tran"}</definedName>
    <definedName name="bbb" localSheetId="32" hidden="1">{"Riqfin97",#N/A,FALSE,"Tran";"Riqfinpro",#N/A,FALSE,"Tran"}</definedName>
    <definedName name="bbb" localSheetId="6" hidden="1">{"Riqfin97",#N/A,FALSE,"Tran";"Riqfinpro",#N/A,FALSE,"Tran"}</definedName>
    <definedName name="bbb" localSheetId="1" hidden="1">{"Riqfin97",#N/A,FALSE,"Tran";"Riqfinpro",#N/A,FALSE,"Tran"}</definedName>
    <definedName name="bbb" hidden="1">{"Riqfin97",#N/A,FALSE,"Tran";"Riqfinpro",#N/A,FALSE,"Tran"}</definedName>
    <definedName name="bbbbbbbbbbbbbb">[24]!bbbbbbbbbbbbbb</definedName>
    <definedName name="BCA">#N/A</definedName>
    <definedName name="BCA_GDP">#N/A</definedName>
    <definedName name="BE">#N/A</definedName>
    <definedName name="BEA" localSheetId="13">'[29]WEO-BOP'!#REF!</definedName>
    <definedName name="BEA" localSheetId="15">'[29]WEO-BOP'!#REF!</definedName>
    <definedName name="BEA">'[29]WEO-BOP'!#REF!</definedName>
    <definedName name="BEAI">#N/A</definedName>
    <definedName name="BEAIB">#N/A</definedName>
    <definedName name="BEAIG">#N/A</definedName>
    <definedName name="BEAP">#N/A</definedName>
    <definedName name="BEAPB">#N/A</definedName>
    <definedName name="BEAPG">#N/A</definedName>
    <definedName name="BEDE" localSheetId="13">#REF!</definedName>
    <definedName name="BEDE" localSheetId="15">#REF!</definedName>
    <definedName name="BEDE" localSheetId="23">#REF!</definedName>
    <definedName name="BEDE">#REF!</definedName>
    <definedName name="BER" localSheetId="13">'[29]WEO-BOP'!#REF!</definedName>
    <definedName name="BER" localSheetId="15">'[29]WEO-BOP'!#REF!</definedName>
    <definedName name="BER" localSheetId="23">'[29]WEO-BOP'!#REF!</definedName>
    <definedName name="BER">'[29]WEO-BOP'!#REF!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13">'[29]WEO-BOP'!#REF!</definedName>
    <definedName name="BFD" localSheetId="15">'[29]WEO-BOP'!#REF!</definedName>
    <definedName name="BFD">'[29]WEO-BOP'!#REF!</definedName>
    <definedName name="BFDI" localSheetId="13">'[29]WEO-BOP'!#REF!</definedName>
    <definedName name="BFDI" localSheetId="15">'[29]WEO-BOP'!#REF!</definedName>
    <definedName name="BFDI">'[29]WEO-BOP'!#REF!</definedName>
    <definedName name="BFL">#N/A</definedName>
    <definedName name="BFL_D">#N/A</definedName>
    <definedName name="BFL_DF">#N/A</definedName>
    <definedName name="BFLB">#N/A</definedName>
    <definedName name="BFLB_D">#N/A</definedName>
    <definedName name="BFLB_DF">#N/A</definedName>
    <definedName name="BFLD_DF">[24]!BFLD_DF</definedName>
    <definedName name="BFLG">#N/A</definedName>
    <definedName name="BFLG_D">#N/A</definedName>
    <definedName name="BFLG_DF">#N/A</definedName>
    <definedName name="BFO" localSheetId="13">'[29]WEO-BOP'!#REF!</definedName>
    <definedName name="BFO" localSheetId="15">'[29]WEO-BOP'!#REF!</definedName>
    <definedName name="BFO">'[29]WEO-BOP'!#REF!</definedName>
    <definedName name="BFOA" localSheetId="13">'[29]WEO-BOP'!#REF!</definedName>
    <definedName name="BFOA" localSheetId="15">'[29]WEO-BOP'!#REF!</definedName>
    <definedName name="BFOA">'[29]WEO-BOP'!#REF!</definedName>
    <definedName name="BFOAG" localSheetId="13">'[29]WEO-BOP'!#REF!</definedName>
    <definedName name="BFOAG" localSheetId="15">'[29]WEO-BOP'!#REF!</definedName>
    <definedName name="BFOAG">'[29]WEO-BOP'!#REF!</definedName>
    <definedName name="BFOG" localSheetId="13">'[29]WEO-BOP'!#REF!</definedName>
    <definedName name="BFOG" localSheetId="15">'[29]WEO-BOP'!#REF!</definedName>
    <definedName name="BFOG">'[29]WEO-BOP'!#REF!</definedName>
    <definedName name="BFOL" localSheetId="13">'[29]WEO-BOP'!#REF!</definedName>
    <definedName name="BFOL" localSheetId="15">'[29]WEO-BOP'!#REF!</definedName>
    <definedName name="BFOL">'[29]WEO-BOP'!#REF!</definedName>
    <definedName name="BFOL_B" localSheetId="13">'[29]WEO-BOP'!#REF!</definedName>
    <definedName name="BFOL_B" localSheetId="15">'[29]WEO-BOP'!#REF!</definedName>
    <definedName name="BFOL_B">'[29]WEO-BOP'!#REF!</definedName>
    <definedName name="BFOL_G" localSheetId="13">'[29]WEO-BOP'!#REF!</definedName>
    <definedName name="BFOL_G" localSheetId="15">'[29]WEO-BOP'!#REF!</definedName>
    <definedName name="BFOL_G">'[29]WEO-BOP'!#REF!</definedName>
    <definedName name="BFOLG" localSheetId="13">'[29]WEO-BOP'!#REF!</definedName>
    <definedName name="BFOLG" localSheetId="15">'[29]WEO-BOP'!#REF!</definedName>
    <definedName name="BFOLG">'[29]WEO-BOP'!#REF!</definedName>
    <definedName name="BFP" localSheetId="13">'[29]WEO-BOP'!#REF!</definedName>
    <definedName name="BFP" localSheetId="15">'[29]WEO-BOP'!#REF!</definedName>
    <definedName name="BFP">'[29]WEO-BOP'!#REF!</definedName>
    <definedName name="BFPA" localSheetId="13">'[29]WEO-BOP'!#REF!</definedName>
    <definedName name="BFPA" localSheetId="15">'[29]WEO-BOP'!#REF!</definedName>
    <definedName name="BFPA">'[29]WEO-BOP'!#REF!</definedName>
    <definedName name="BFPAG" localSheetId="13">'[29]WEO-BOP'!#REF!</definedName>
    <definedName name="BFPAG" localSheetId="15">'[29]WEO-BOP'!#REF!</definedName>
    <definedName name="BFPAG">'[29]WEO-BOP'!#REF!</definedName>
    <definedName name="BFPG" localSheetId="13">'[29]WEO-BOP'!#REF!</definedName>
    <definedName name="BFPG" localSheetId="15">'[29]WEO-BOP'!#REF!</definedName>
    <definedName name="BFPG">'[29]WEO-BOP'!#REF!</definedName>
    <definedName name="BFPL" localSheetId="13">'[29]WEO-BOP'!#REF!</definedName>
    <definedName name="BFPL" localSheetId="15">'[29]WEO-BOP'!#REF!</definedName>
    <definedName name="BFPL">'[29]WEO-BOP'!#REF!</definedName>
    <definedName name="BFPLD" localSheetId="13">'[29]WEO-BOP'!#REF!</definedName>
    <definedName name="BFPLD" localSheetId="15">'[29]WEO-BOP'!#REF!</definedName>
    <definedName name="BFPLD">'[29]WEO-BOP'!#REF!</definedName>
    <definedName name="BFPLDG" localSheetId="13">'[29]WEO-BOP'!#REF!</definedName>
    <definedName name="BFPLDG" localSheetId="15">'[29]WEO-BOP'!#REF!</definedName>
    <definedName name="BFPLDG">'[29]WEO-BOP'!#REF!</definedName>
    <definedName name="BFPLE" localSheetId="13">'[29]WEO-BOP'!#REF!</definedName>
    <definedName name="BFPLE" localSheetId="15">'[29]WEO-BOP'!#REF!</definedName>
    <definedName name="BFPLE">'[29]WEO-BOP'!#REF!</definedName>
    <definedName name="BFRA">#N/A</definedName>
    <definedName name="BGS" localSheetId="13">'[29]WEO-BOP'!#REF!</definedName>
    <definedName name="BGS" localSheetId="15">'[29]WEO-BOP'!#REF!</definedName>
    <definedName name="BGS">'[29]WEO-BOP'!#REF!</definedName>
    <definedName name="BI">#N/A</definedName>
    <definedName name="BID" localSheetId="13">'[29]WEO-BOP'!#REF!</definedName>
    <definedName name="BID" localSheetId="15">'[29]WEO-BOP'!#REF!</definedName>
    <definedName name="BID">'[29]WEO-BOP'!#REF!</definedName>
    <definedName name="BK">#N/A</definedName>
    <definedName name="BKF">#N/A</definedName>
    <definedName name="BMG">[30]Q6!$E$28:$AH$28</definedName>
    <definedName name="BMII">#N/A</definedName>
    <definedName name="BMIIB">#N/A</definedName>
    <definedName name="BMIIG">#N/A</definedName>
    <definedName name="BMS" localSheetId="13">'[29]WEO-BOP'!#REF!</definedName>
    <definedName name="BMS" localSheetId="15">'[29]WEO-BOP'!#REF!</definedName>
    <definedName name="BMS" localSheetId="32">'[29]WEO-BOP'!#REF!</definedName>
    <definedName name="BMS">'[29]WEO-BOP'!#REF!</definedName>
    <definedName name="Bolivia" localSheetId="13">#REF!</definedName>
    <definedName name="Bolivia" localSheetId="15">#REF!</definedName>
    <definedName name="Bolivia" localSheetId="23">#REF!</definedName>
    <definedName name="Bolivia">#REF!</definedName>
    <definedName name="BOP">#N/A</definedName>
    <definedName name="BOPB" localSheetId="13">#REF!</definedName>
    <definedName name="BOPB" localSheetId="15">#REF!</definedName>
    <definedName name="BOPB" localSheetId="23">#REF!</definedName>
    <definedName name="BOPB">#REF!</definedName>
    <definedName name="BOPMEMOB" localSheetId="13">#REF!</definedName>
    <definedName name="BOPMEMOB" localSheetId="15">#REF!</definedName>
    <definedName name="BOPMEMOB" localSheetId="23">#REF!</definedName>
    <definedName name="BOPMEMOB">#REF!</definedName>
    <definedName name="bracket_2" localSheetId="13">[31]Graf14_Graf15!#REF!</definedName>
    <definedName name="bracket_2" localSheetId="15">[31]Graf14_Graf15!#REF!</definedName>
    <definedName name="bracket_2" localSheetId="23">[31]Graf14_Graf15!#REF!</definedName>
    <definedName name="bracket_2">[31]Graf14_Graf15!#REF!</definedName>
    <definedName name="BRASS" localSheetId="13">'[29]WEO-BOP'!#REF!</definedName>
    <definedName name="BRASS" localSheetId="15">'[29]WEO-BOP'!#REF!</definedName>
    <definedName name="BRASS">'[29]WEO-BOP'!#REF!</definedName>
    <definedName name="Brazil" localSheetId="13">#REF!</definedName>
    <definedName name="Brazil" localSheetId="15">#REF!</definedName>
    <definedName name="Brazil" localSheetId="23">#REF!</definedName>
    <definedName name="Brazil">#REF!</definedName>
    <definedName name="BTR" localSheetId="13">'[29]WEO-BOP'!#REF!</definedName>
    <definedName name="BTR" localSheetId="15">'[29]WEO-BOP'!#REF!</definedName>
    <definedName name="BTR" localSheetId="23">'[29]WEO-BOP'!#REF!</definedName>
    <definedName name="BTR">'[29]WEO-BOP'!#REF!</definedName>
    <definedName name="BTRG" localSheetId="13">'[29]WEO-BOP'!#REF!</definedName>
    <definedName name="BTRG" localSheetId="15">'[29]WEO-BOP'!#REF!</definedName>
    <definedName name="BTRG">'[29]WEO-BOP'!#REF!</definedName>
    <definedName name="BUDGET" localSheetId="13">#REF!</definedName>
    <definedName name="BUDGET" localSheetId="15">#REF!</definedName>
    <definedName name="BUDGET" localSheetId="23">#REF!</definedName>
    <definedName name="BUDGET">#REF!</definedName>
    <definedName name="Budget_expenditure" localSheetId="13">#REF!</definedName>
    <definedName name="Budget_expenditure" localSheetId="15">#REF!</definedName>
    <definedName name="Budget_expenditure" localSheetId="23">#REF!</definedName>
    <definedName name="Budget_expenditure">#REF!</definedName>
    <definedName name="Budget_revenue" localSheetId="13">#REF!</definedName>
    <definedName name="Budget_revenue" localSheetId="15">#REF!</definedName>
    <definedName name="Budget_revenue" localSheetId="23">#REF!</definedName>
    <definedName name="Budget_revenue">#REF!</definedName>
    <definedName name="BXG">[30]Q6!$E$26:$AH$26</definedName>
    <definedName name="BXS" localSheetId="13">'[29]WEO-BOP'!#REF!</definedName>
    <definedName name="BXS" localSheetId="15">'[29]WEO-BOP'!#REF!</definedName>
    <definedName name="BXS" localSheetId="32">'[29]WEO-BOP'!#REF!</definedName>
    <definedName name="BXS">'[29]WEO-BOP'!#REF!</definedName>
    <definedName name="BXTSAq" localSheetId="13">#REF!</definedName>
    <definedName name="BXTSAq" localSheetId="15">#REF!</definedName>
    <definedName name="BXTSAq" localSheetId="23">#REF!</definedName>
    <definedName name="BXTSAq">#REF!</definedName>
    <definedName name="CalcMCV_4" localSheetId="13">#REF!</definedName>
    <definedName name="CalcMCV_4" localSheetId="15">#REF!</definedName>
    <definedName name="CalcMCV_4" localSheetId="23">#REF!</definedName>
    <definedName name="CalcMCV_4">#REF!</definedName>
    <definedName name="calcNGS_NGDP">#N/A</definedName>
    <definedName name="CAPACCB" localSheetId="13">#REF!</definedName>
    <definedName name="CAPACCB" localSheetId="15">#REF!</definedName>
    <definedName name="CAPACCB" localSheetId="23">#REF!</definedName>
    <definedName name="CAPACCB">#REF!</definedName>
    <definedName name="cc" localSheetId="3" hidden="1">{"Riqfin97",#N/A,FALSE,"Tran";"Riqfinpro",#N/A,FALSE,"Tran"}</definedName>
    <definedName name="cc" localSheetId="13" hidden="1">{"Riqfin97",#N/A,FALSE,"Tran";"Riqfinpro",#N/A,FALSE,"Tran"}</definedName>
    <definedName name="cc" localSheetId="15" hidden="1">{"Riqfin97",#N/A,FALSE,"Tran";"Riqfinpro",#N/A,FALSE,"Tran"}</definedName>
    <definedName name="cc" localSheetId="16" hidden="1">{"Riqfin97",#N/A,FALSE,"Tran";"Riqfinpro",#N/A,FALSE,"Tran"}</definedName>
    <definedName name="cc" localSheetId="18" hidden="1">{"Riqfin97",#N/A,FALSE,"Tran";"Riqfinpro",#N/A,FALSE,"Tran"}</definedName>
    <definedName name="cc" localSheetId="23" hidden="1">{"Riqfin97",#N/A,FALSE,"Tran";"Riqfinpro",#N/A,FALSE,"Tran"}</definedName>
    <definedName name="cc" localSheetId="4" hidden="1">{"Riqfin97",#N/A,FALSE,"Tran";"Riqfinpro",#N/A,FALSE,"Tran"}</definedName>
    <definedName name="cc" localSheetId="26" hidden="1">{"Riqfin97",#N/A,FALSE,"Tran";"Riqfinpro",#N/A,FALSE,"Tran"}</definedName>
    <definedName name="cc" localSheetId="27" hidden="1">{"Riqfin97",#N/A,FALSE,"Tran";"Riqfinpro",#N/A,FALSE,"Tran"}</definedName>
    <definedName name="cc" localSheetId="32" hidden="1">{"Riqfin97",#N/A,FALSE,"Tran";"Riqfinpro",#N/A,FALSE,"Tran"}</definedName>
    <definedName name="cc" localSheetId="6" hidden="1">{"Riqfin97",#N/A,FALSE,"Tran";"Riqfinpro",#N/A,FALSE,"Tran"}</definedName>
    <definedName name="cc" localSheetId="1" hidden="1">{"Riqfin97",#N/A,FALSE,"Tran";"Riqfinpro",#N/A,FALSE,"Tran"}</definedName>
    <definedName name="cc" hidden="1">{"Riqfin97",#N/A,FALSE,"Tran";"Riqfinpro",#N/A,FALSE,"Tran"}</definedName>
    <definedName name="ccc" localSheetId="3" hidden="1">{"Riqfin97",#N/A,FALSE,"Tran";"Riqfinpro",#N/A,FALSE,"Tran"}</definedName>
    <definedName name="ccc" localSheetId="13" hidden="1">{"Riqfin97",#N/A,FALSE,"Tran";"Riqfinpro",#N/A,FALSE,"Tran"}</definedName>
    <definedName name="ccc" localSheetId="15" hidden="1">{"Riqfin97",#N/A,FALSE,"Tran";"Riqfinpro",#N/A,FALSE,"Tran"}</definedName>
    <definedName name="ccc" localSheetId="16" hidden="1">{"Riqfin97",#N/A,FALSE,"Tran";"Riqfinpro",#N/A,FALSE,"Tran"}</definedName>
    <definedName name="ccc" localSheetId="18" hidden="1">{"Riqfin97",#N/A,FALSE,"Tran";"Riqfinpro",#N/A,FALSE,"Tran"}</definedName>
    <definedName name="ccc" localSheetId="23" hidden="1">{"Riqfin97",#N/A,FALSE,"Tran";"Riqfinpro",#N/A,FALSE,"Tran"}</definedName>
    <definedName name="ccc" localSheetId="4" hidden="1">{"Riqfin97",#N/A,FALSE,"Tran";"Riqfinpro",#N/A,FALSE,"Tran"}</definedName>
    <definedName name="ccc" localSheetId="26" hidden="1">{"Riqfin97",#N/A,FALSE,"Tran";"Riqfinpro",#N/A,FALSE,"Tran"}</definedName>
    <definedName name="ccc" localSheetId="27" hidden="1">{"Riqfin97",#N/A,FALSE,"Tran";"Riqfinpro",#N/A,FALSE,"Tran"}</definedName>
    <definedName name="ccc" localSheetId="32" hidden="1">{"Riqfin97",#N/A,FALSE,"Tran";"Riqfinpro",#N/A,FALSE,"Tran"}</definedName>
    <definedName name="ccc" localSheetId="6" hidden="1">{"Riqfin97",#N/A,FALSE,"Tran";"Riqfinpro",#N/A,FALSE,"Tran"}</definedName>
    <definedName name="ccc" localSheetId="1" hidden="1">{"Riqfin97",#N/A,FALSE,"Tran";"Riqfinpro",#N/A,FALSE,"Tran"}</definedName>
    <definedName name="ccc" hidden="1">{"Riqfin97",#N/A,FALSE,"Tran";"Riqfinpro",#N/A,FALSE,"Tran"}</definedName>
    <definedName name="CCODE" localSheetId="13">#REF!</definedName>
    <definedName name="CCODE" localSheetId="15">#REF!</definedName>
    <definedName name="CCODE" localSheetId="23">#REF!</definedName>
    <definedName name="CCODE">#REF!</definedName>
    <definedName name="cgb" localSheetId="13">#REF!</definedName>
    <definedName name="cgb" localSheetId="15">#REF!</definedName>
    <definedName name="cgb" localSheetId="23">#REF!</definedName>
    <definedName name="cgb">#REF!</definedName>
    <definedName name="cge" localSheetId="13">#REF!</definedName>
    <definedName name="cge" localSheetId="15">#REF!</definedName>
    <definedName name="cge" localSheetId="23">#REF!</definedName>
    <definedName name="cge">#REF!</definedName>
    <definedName name="cgr" localSheetId="13">#REF!</definedName>
    <definedName name="cgr" localSheetId="15">#REF!</definedName>
    <definedName name="cgr" localSheetId="23">#REF!</definedName>
    <definedName name="cgr">#REF!</definedName>
    <definedName name="CONCK" localSheetId="13">#REF!</definedName>
    <definedName name="CONCK" localSheetId="15">#REF!</definedName>
    <definedName name="CONCK" localSheetId="23">#REF!</definedName>
    <definedName name="CONCK">#REF!</definedName>
    <definedName name="Cons" localSheetId="13">#REF!</definedName>
    <definedName name="Cons" localSheetId="15">#REF!</definedName>
    <definedName name="Cons" localSheetId="23">#REF!</definedName>
    <definedName name="Cons">#REF!</definedName>
    <definedName name="Construct">'[32]Real ec'!#REF!</definedName>
    <definedName name="COPROD">'[32]Real ec'!#REF!</definedName>
    <definedName name="CORULCSA">[33]E!$V$15:$V$98</definedName>
    <definedName name="Country" localSheetId="13">'[34]Input 1 - Basics'!$D$3</definedName>
    <definedName name="Country" localSheetId="23">'[35]Input 1 - Basics'!$D$3</definedName>
    <definedName name="Country">'[35]Input 1 - Basics'!$D$3</definedName>
    <definedName name="CountryCode">[36]readme!$B$2</definedName>
    <definedName name="CurrVintage">[37]Current!$D$66</definedName>
    <definedName name="d" localSheetId="3" hidden="1">{"Riqfin97",#N/A,FALSE,"Tran";"Riqfinpro",#N/A,FALSE,"Tran"}</definedName>
    <definedName name="d" localSheetId="13" hidden="1">{"Riqfin97",#N/A,FALSE,"Tran";"Riqfinpro",#N/A,FALSE,"Tran"}</definedName>
    <definedName name="d" localSheetId="15" hidden="1">{"Riqfin97",#N/A,FALSE,"Tran";"Riqfinpro",#N/A,FALSE,"Tran"}</definedName>
    <definedName name="d" localSheetId="23" hidden="1">{"Riqfin97",#N/A,FALSE,"Tran";"Riqfinpro",#N/A,FALSE,"Tran"}</definedName>
    <definedName name="d" localSheetId="4" hidden="1">{"Riqfin97",#N/A,FALSE,"Tran";"Riqfinpro",#N/A,FALSE,"Tran"}</definedName>
    <definedName name="d" localSheetId="26" hidden="1">{"Riqfin97",#N/A,FALSE,"Tran";"Riqfinpro",#N/A,FALSE,"Tran"}</definedName>
    <definedName name="d" localSheetId="27" hidden="1">{"Riqfin97",#N/A,FALSE,"Tran";"Riqfinpro",#N/A,FALSE,"Tran"}</definedName>
    <definedName name="d" localSheetId="32" hidden="1">{"Riqfin97",#N/A,FALSE,"Tran";"Riqfinpro",#N/A,FALSE,"Tran"}</definedName>
    <definedName name="d" localSheetId="6" hidden="1">{"Riqfin97",#N/A,FALSE,"Tran";"Riqfinpro",#N/A,FALSE,"Tran"}</definedName>
    <definedName name="d" hidden="1">{"Riqfin97",#N/A,FALSE,"Tran";"Riqfinpro",#N/A,FALSE,"Tran"}</definedName>
    <definedName name="DABproj">#N/A</definedName>
    <definedName name="DAGproj">#N/A</definedName>
    <definedName name="daily_interest_rates" localSheetId="13">'[38]daily calculations'!#REF!</definedName>
    <definedName name="daily_interest_rates" localSheetId="15">'[38]daily calculations'!#REF!</definedName>
    <definedName name="daily_interest_rates">'[38]daily calculations'!#REF!</definedName>
    <definedName name="DAproj">#N/A</definedName>
    <definedName name="das" localSheetId="3" hidden="1">[8]G!#REF!</definedName>
    <definedName name="das" localSheetId="13" hidden="1">[8]G!#REF!</definedName>
    <definedName name="das" localSheetId="15" hidden="1">[8]G!#REF!</definedName>
    <definedName name="das" localSheetId="4" hidden="1">[8]G!#REF!</definedName>
    <definedName name="das" hidden="1">[8]G!#REF!</definedName>
    <definedName name="DASD">#N/A</definedName>
    <definedName name="DASDB">#N/A</definedName>
    <definedName name="DASDG">#N/A</definedName>
    <definedName name="data_area" localSheetId="13">#REF!</definedName>
    <definedName name="data_area" localSheetId="15">#REF!</definedName>
    <definedName name="data_area" localSheetId="23">#REF!</definedName>
    <definedName name="data_area">#REF!</definedName>
    <definedName name="_xlnm.Database" localSheetId="13">#REF!</definedName>
    <definedName name="_xlnm.Database" localSheetId="14">#REF!</definedName>
    <definedName name="_xlnm.Database" localSheetId="15">#REF!</definedName>
    <definedName name="_xlnm.Database" localSheetId="23">#REF!</definedName>
    <definedName name="_xlnm.Database">#REF!</definedName>
    <definedName name="DATB">[23]REER!$B$144:$B$240</definedName>
    <definedName name="datcr" localSheetId="13">'[2]Tab ann curr'!#REF!</definedName>
    <definedName name="datcr" localSheetId="15">'[2]Tab ann curr'!#REF!</definedName>
    <definedName name="datcr" localSheetId="32">'[2]Tab ann curr'!#REF!</definedName>
    <definedName name="datcr">'[2]Tab ann curr'!#REF!</definedName>
    <definedName name="date" localSheetId="13">#REF!</definedName>
    <definedName name="date" localSheetId="15">#REF!</definedName>
    <definedName name="date" localSheetId="23">#REF!</definedName>
    <definedName name="date">#REF!</definedName>
    <definedName name="date_EXP">[39]Sheet1!$B$1:$G$1</definedName>
    <definedName name="date_FISC" localSheetId="13">#REF!</definedName>
    <definedName name="date_FISC" localSheetId="15">#REF!</definedName>
    <definedName name="date_FISC" localSheetId="23">#REF!</definedName>
    <definedName name="date_FISC">#REF!</definedName>
    <definedName name="dateIntLiq" localSheetId="13">#REF!</definedName>
    <definedName name="dateIntLiq" localSheetId="15">#REF!</definedName>
    <definedName name="dateIntLiq" localSheetId="23">#REF!</definedName>
    <definedName name="dateIntLiq">#REF!</definedName>
    <definedName name="dateMoney" localSheetId="13">#REF!</definedName>
    <definedName name="dateMoney" localSheetId="15">#REF!</definedName>
    <definedName name="dateMoney" localSheetId="23">#REF!</definedName>
    <definedName name="dateMoney">#REF!</definedName>
    <definedName name="dateprofit">[23]C!$A$9:$A$125</definedName>
    <definedName name="dateRates" localSheetId="13">#REF!</definedName>
    <definedName name="dateRates" localSheetId="15">#REF!</definedName>
    <definedName name="dateRates" localSheetId="23">#REF!</definedName>
    <definedName name="dateRates">#REF!</definedName>
    <definedName name="dateRawQ" localSheetId="13">'[40]Raw Data'!#REF!</definedName>
    <definedName name="dateRawQ" localSheetId="14">'[40]Raw Data'!#REF!</definedName>
    <definedName name="dateRawQ" localSheetId="15">'[40]Raw Data'!#REF!</definedName>
    <definedName name="dateRawQ" localSheetId="23">'[40]Raw Data'!#REF!</definedName>
    <definedName name="dateRawQ">'[40]Raw Data'!#REF!</definedName>
    <definedName name="dateReal" localSheetId="13">#REF!</definedName>
    <definedName name="dateReal" localSheetId="15">#REF!</definedName>
    <definedName name="dateReal" localSheetId="23">#REF!</definedName>
    <definedName name="dateReal">#REF!</definedName>
    <definedName name="dates" localSheetId="13">#REF!</definedName>
    <definedName name="dates" localSheetId="15">#REF!</definedName>
    <definedName name="dates" localSheetId="23">#REF!</definedName>
    <definedName name="dates">#REF!</definedName>
    <definedName name="dates_w" localSheetId="13">#REF!</definedName>
    <definedName name="dates_w" localSheetId="15">#REF!</definedName>
    <definedName name="dates_w" localSheetId="23">#REF!</definedName>
    <definedName name="dates_w">#REF!</definedName>
    <definedName name="dates1" localSheetId="13">#REF!</definedName>
    <definedName name="dates1" localSheetId="15">#REF!</definedName>
    <definedName name="dates1" localSheetId="23">#REF!</definedName>
    <definedName name="dates1">#REF!</definedName>
    <definedName name="dates2" localSheetId="13">#REF!</definedName>
    <definedName name="dates2" localSheetId="15">#REF!</definedName>
    <definedName name="dates2" localSheetId="23">#REF!</definedName>
    <definedName name="dates2">#REF!</definedName>
    <definedName name="datesb">[33]B!$B$20:$B$134</definedName>
    <definedName name="datesc" localSheetId="13">#REF!</definedName>
    <definedName name="datesc" localSheetId="15">#REF!</definedName>
    <definedName name="datesc" localSheetId="23">#REF!</definedName>
    <definedName name="datesc">#REF!</definedName>
    <definedName name="datesd" localSheetId="13">#REF!</definedName>
    <definedName name="datesd" localSheetId="15">#REF!</definedName>
    <definedName name="datesd" localSheetId="23">#REF!</definedName>
    <definedName name="datesd">#REF!</definedName>
    <definedName name="DATESG" localSheetId="13">#REF!</definedName>
    <definedName name="DATESG" localSheetId="15">#REF!</definedName>
    <definedName name="DATESG" localSheetId="23">#REF!</definedName>
    <definedName name="DATESG">#REF!</definedName>
    <definedName name="datesm" localSheetId="13">#REF!</definedName>
    <definedName name="datesm" localSheetId="15">#REF!</definedName>
    <definedName name="datesm" localSheetId="23">#REF!</definedName>
    <definedName name="datesm">#REF!</definedName>
    <definedName name="datesq" localSheetId="13">#REF!</definedName>
    <definedName name="datesq" localSheetId="15">#REF!</definedName>
    <definedName name="datesq" localSheetId="23">#REF!</definedName>
    <definedName name="datesq">#REF!</definedName>
    <definedName name="datesr" localSheetId="13">#REF!</definedName>
    <definedName name="datesr" localSheetId="15">#REF!</definedName>
    <definedName name="datesr" localSheetId="23">#REF!</definedName>
    <definedName name="datesr">#REF!</definedName>
    <definedName name="datestran">[33]transfer!$A$9:$A$116</definedName>
    <definedName name="datgdp" localSheetId="13">#REF!</definedName>
    <definedName name="datgdp" localSheetId="15">#REF!</definedName>
    <definedName name="datgdp" localSheetId="23">#REF!</definedName>
    <definedName name="datgdp">#REF!</definedName>
    <definedName name="datin1">[23]REER!$B$9:$B$119</definedName>
    <definedName name="datin2">[23]REER!$B$144:$B$253</definedName>
    <definedName name="datq" localSheetId="13">#REF!</definedName>
    <definedName name="datq" localSheetId="15">#REF!</definedName>
    <definedName name="datq" localSheetId="23">#REF!</definedName>
    <definedName name="datq">#REF!</definedName>
    <definedName name="datq1" localSheetId="13">#REF!</definedName>
    <definedName name="datq1" localSheetId="15">#REF!</definedName>
    <definedName name="datq1" localSheetId="23">#REF!</definedName>
    <definedName name="datq1">#REF!</definedName>
    <definedName name="datq2" localSheetId="13">#REF!</definedName>
    <definedName name="datq2" localSheetId="15">#REF!</definedName>
    <definedName name="datq2" localSheetId="23">#REF!</definedName>
    <definedName name="datq2">#REF!</definedName>
    <definedName name="datreer">[23]REER!$B$144:$B$258</definedName>
    <definedName name="datt" localSheetId="13">#REF!</definedName>
    <definedName name="datt" localSheetId="15">#REF!</definedName>
    <definedName name="datt" localSheetId="23">#REF!</definedName>
    <definedName name="datt">#REF!</definedName>
    <definedName name="DBproj">#N/A</definedName>
    <definedName name="dd" localSheetId="3" hidden="1">{"Riqfin97",#N/A,FALSE,"Tran";"Riqfinpro",#N/A,FALSE,"Tran"}</definedName>
    <definedName name="dd" localSheetId="13" hidden="1">{"Riqfin97",#N/A,FALSE,"Tran";"Riqfinpro",#N/A,FALSE,"Tran"}</definedName>
    <definedName name="dd" localSheetId="15" hidden="1">{"Riqfin97",#N/A,FALSE,"Tran";"Riqfinpro",#N/A,FALSE,"Tran"}</definedName>
    <definedName name="dd" localSheetId="16" hidden="1">{"Riqfin97",#N/A,FALSE,"Tran";"Riqfinpro",#N/A,FALSE,"Tran"}</definedName>
    <definedName name="dd" localSheetId="18" hidden="1">{"Riqfin97",#N/A,FALSE,"Tran";"Riqfinpro",#N/A,FALSE,"Tran"}</definedName>
    <definedName name="dd" localSheetId="23" hidden="1">{"Riqfin97",#N/A,FALSE,"Tran";"Riqfinpro",#N/A,FALSE,"Tran"}</definedName>
    <definedName name="dd" localSheetId="4" hidden="1">{"Riqfin97",#N/A,FALSE,"Tran";"Riqfinpro",#N/A,FALSE,"Tran"}</definedName>
    <definedName name="dd" localSheetId="26" hidden="1">{"Riqfin97",#N/A,FALSE,"Tran";"Riqfinpro",#N/A,FALSE,"Tran"}</definedName>
    <definedName name="dd" localSheetId="27" hidden="1">{"Riqfin97",#N/A,FALSE,"Tran";"Riqfinpro",#N/A,FALSE,"Tran"}</definedName>
    <definedName name="dd" localSheetId="32" hidden="1">{"Riqfin97",#N/A,FALSE,"Tran";"Riqfinpro",#N/A,FALSE,"Tran"}</definedName>
    <definedName name="dd" localSheetId="6" hidden="1">{"Riqfin97",#N/A,FALSE,"Tran";"Riqfinpro",#N/A,FALSE,"Tran"}</definedName>
    <definedName name="dd" localSheetId="1" hidden="1">{"Riqfin97",#N/A,FALSE,"Tran";"Riqfinpro",#N/A,FALSE,"Tran"}</definedName>
    <definedName name="dd" hidden="1">{"Riqfin97",#N/A,FALSE,"Tran";"Riqfinpro",#N/A,FALSE,"Tran"}</definedName>
    <definedName name="dd_balance" localSheetId="23">[41]!dd_balance1[saldo]</definedName>
    <definedName name="dd_balance">[41]!dd_balance1[saldo]</definedName>
    <definedName name="dd_cyklus" localSheetId="23">[42]!dd_cyclus[cyklus]</definedName>
    <definedName name="dd_cyklus">[42]!dd_cyclus[cyklus]</definedName>
    <definedName name="dd_oneoff" localSheetId="13">[43]hidden!$B$2:$B$3</definedName>
    <definedName name="dd_oneoff" localSheetId="15">[42]hidden!$B$2:$B$3</definedName>
    <definedName name="dd_oneoff" localSheetId="23">[42]hidden!$B$2:$B$3</definedName>
    <definedName name="dd_oneoff">[42]hidden!$B$2:$B$3</definedName>
    <definedName name="ddd" localSheetId="3" hidden="1">{"Riqfin97",#N/A,FALSE,"Tran";"Riqfinpro",#N/A,FALSE,"Tran"}</definedName>
    <definedName name="ddd" localSheetId="13" hidden="1">{"Riqfin97",#N/A,FALSE,"Tran";"Riqfinpro",#N/A,FALSE,"Tran"}</definedName>
    <definedName name="ddd" localSheetId="15" hidden="1">{"Riqfin97",#N/A,FALSE,"Tran";"Riqfinpro",#N/A,FALSE,"Tran"}</definedName>
    <definedName name="ddd" localSheetId="16" hidden="1">{"Riqfin97",#N/A,FALSE,"Tran";"Riqfinpro",#N/A,FALSE,"Tran"}</definedName>
    <definedName name="ddd" localSheetId="18" hidden="1">{"Riqfin97",#N/A,FALSE,"Tran";"Riqfinpro",#N/A,FALSE,"Tran"}</definedName>
    <definedName name="ddd" localSheetId="23" hidden="1">{"Riqfin97",#N/A,FALSE,"Tran";"Riqfinpro",#N/A,FALSE,"Tran"}</definedName>
    <definedName name="ddd" localSheetId="4" hidden="1">{"Riqfin97",#N/A,FALSE,"Tran";"Riqfinpro",#N/A,FALSE,"Tran"}</definedName>
    <definedName name="ddd" localSheetId="26" hidden="1">{"Riqfin97",#N/A,FALSE,"Tran";"Riqfinpro",#N/A,FALSE,"Tran"}</definedName>
    <definedName name="ddd" localSheetId="27" hidden="1">{"Riqfin97",#N/A,FALSE,"Tran";"Riqfinpro",#N/A,FALSE,"Tran"}</definedName>
    <definedName name="ddd" localSheetId="32" hidden="1">{"Riqfin97",#N/A,FALSE,"Tran";"Riqfinpro",#N/A,FALSE,"Tran"}</definedName>
    <definedName name="ddd" localSheetId="6" hidden="1">{"Riqfin97",#N/A,FALSE,"Tran";"Riqfinpro",#N/A,FALSE,"Tran"}</definedName>
    <definedName name="ddd" localSheetId="1" hidden="1">{"Riqfin97",#N/A,FALSE,"Tran";"Riqfinpro",#N/A,FALSE,"Tran"}</definedName>
    <definedName name="ddd" hidden="1">{"Riqfin97",#N/A,FALSE,"Tran";"Riqfinpro",#N/A,FALSE,"Tran"}</definedName>
    <definedName name="debt" localSheetId="13">#REF!</definedName>
    <definedName name="debt" localSheetId="15">#REF!</definedName>
    <definedName name="debt" localSheetId="23">#REF!</definedName>
    <definedName name="debt">#REF!</definedName>
    <definedName name="DEBT1" localSheetId="13">#REF!</definedName>
    <definedName name="DEBT1" localSheetId="15">#REF!</definedName>
    <definedName name="DEBT1" localSheetId="23">#REF!</definedName>
    <definedName name="DEBT1">#REF!</definedName>
    <definedName name="DEBT10" localSheetId="13">#REF!</definedName>
    <definedName name="DEBT10" localSheetId="15">#REF!</definedName>
    <definedName name="DEBT10" localSheetId="23">#REF!</definedName>
    <definedName name="DEBT10">#REF!</definedName>
    <definedName name="DEBT11" localSheetId="13">#REF!</definedName>
    <definedName name="DEBT11" localSheetId="15">#REF!</definedName>
    <definedName name="DEBT11" localSheetId="23">#REF!</definedName>
    <definedName name="DEBT11">#REF!</definedName>
    <definedName name="DEBT12" localSheetId="13">#REF!</definedName>
    <definedName name="DEBT12" localSheetId="15">#REF!</definedName>
    <definedName name="DEBT12" localSheetId="23">#REF!</definedName>
    <definedName name="DEBT12">#REF!</definedName>
    <definedName name="DEBT13" localSheetId="13">#REF!</definedName>
    <definedName name="DEBT13" localSheetId="15">#REF!</definedName>
    <definedName name="DEBT13" localSheetId="23">#REF!</definedName>
    <definedName name="DEBT13">#REF!</definedName>
    <definedName name="DEBT14" localSheetId="13">#REF!</definedName>
    <definedName name="DEBT14" localSheetId="15">#REF!</definedName>
    <definedName name="DEBT14" localSheetId="23">#REF!</definedName>
    <definedName name="DEBT14">#REF!</definedName>
    <definedName name="DEBT15" localSheetId="13">#REF!</definedName>
    <definedName name="DEBT15" localSheetId="15">#REF!</definedName>
    <definedName name="DEBT15" localSheetId="23">#REF!</definedName>
    <definedName name="DEBT15">#REF!</definedName>
    <definedName name="DEBT16" localSheetId="13">#REF!</definedName>
    <definedName name="DEBT16" localSheetId="15">#REF!</definedName>
    <definedName name="DEBT16" localSheetId="23">#REF!</definedName>
    <definedName name="DEBT16">#REF!</definedName>
    <definedName name="DEBT1B" localSheetId="13">#REF!</definedName>
    <definedName name="DEBT1B" localSheetId="15">#REF!</definedName>
    <definedName name="DEBT1B" localSheetId="23">#REF!</definedName>
    <definedName name="DEBT1B">#REF!</definedName>
    <definedName name="DEBT2" localSheetId="13">#REF!</definedName>
    <definedName name="DEBT2" localSheetId="15">#REF!</definedName>
    <definedName name="DEBT2" localSheetId="23">#REF!</definedName>
    <definedName name="DEBT2">#REF!</definedName>
    <definedName name="DEBT2B" localSheetId="13">#REF!</definedName>
    <definedName name="DEBT2B" localSheetId="15">#REF!</definedName>
    <definedName name="DEBT2B" localSheetId="23">#REF!</definedName>
    <definedName name="DEBT2B">#REF!</definedName>
    <definedName name="DEBT3" localSheetId="13">#REF!</definedName>
    <definedName name="DEBT3" localSheetId="15">#REF!</definedName>
    <definedName name="DEBT3" localSheetId="23">#REF!</definedName>
    <definedName name="DEBT3">#REF!</definedName>
    <definedName name="DEBT4" localSheetId="13">#REF!</definedName>
    <definedName name="DEBT4" localSheetId="15">#REF!</definedName>
    <definedName name="DEBT4" localSheetId="23">#REF!</definedName>
    <definedName name="DEBT4">#REF!</definedName>
    <definedName name="DEBT5" localSheetId="13">#REF!</definedName>
    <definedName name="DEBT5" localSheetId="15">#REF!</definedName>
    <definedName name="DEBT5" localSheetId="23">#REF!</definedName>
    <definedName name="DEBT5">#REF!</definedName>
    <definedName name="DEBT6" localSheetId="13">#REF!</definedName>
    <definedName name="DEBT6" localSheetId="15">#REF!</definedName>
    <definedName name="DEBT6" localSheetId="23">#REF!</definedName>
    <definedName name="DEBT6">#REF!</definedName>
    <definedName name="DEBT7" localSheetId="13">#REF!</definedName>
    <definedName name="DEBT7" localSheetId="15">#REF!</definedName>
    <definedName name="DEBT7" localSheetId="23">#REF!</definedName>
    <definedName name="DEBT7">#REF!</definedName>
    <definedName name="DEBT8" localSheetId="13">#REF!</definedName>
    <definedName name="DEBT8" localSheetId="15">#REF!</definedName>
    <definedName name="DEBT8" localSheetId="23">#REF!</definedName>
    <definedName name="DEBT8">#REF!</definedName>
    <definedName name="DEBT9" localSheetId="13">#REF!</definedName>
    <definedName name="DEBT9" localSheetId="15">#REF!</definedName>
    <definedName name="DEBT9" localSheetId="23">#REF!</definedName>
    <definedName name="DEBT9">#REF!</definedName>
    <definedName name="debtproj" localSheetId="13">#REF!</definedName>
    <definedName name="debtproj" localSheetId="15">#REF!</definedName>
    <definedName name="debtproj" localSheetId="23">#REF!</definedName>
    <definedName name="debtproj">#REF!</definedName>
    <definedName name="DEFLATORS" localSheetId="13">#REF!</definedName>
    <definedName name="DEFLATORS" localSheetId="15">#REF!</definedName>
    <definedName name="DEFLATORS" localSheetId="23">#REF!</definedName>
    <definedName name="DEFLATORS">#REF!</definedName>
    <definedName name="degresivita" localSheetId="13">[31]Graf14_Graf15!#REF!</definedName>
    <definedName name="degresivita" localSheetId="15">[31]Graf14_Graf15!#REF!</definedName>
    <definedName name="degresivita" localSheetId="23">[31]Graf14_Graf15!#REF!</definedName>
    <definedName name="degresivita">[31]Graf14_Graf15!#REF!</definedName>
    <definedName name="degresivita_2" localSheetId="13">[31]Graf14_Graf15!#REF!</definedName>
    <definedName name="degresivita_2" localSheetId="15">[31]Graf14_Graf15!#REF!</definedName>
    <definedName name="degresivita_2" localSheetId="23">[31]Graf14_Graf15!#REF!</definedName>
    <definedName name="degresivita_2">[31]Graf14_Graf15!#REF!</definedName>
    <definedName name="deleteme1" localSheetId="3" hidden="1">#REF!</definedName>
    <definedName name="deleteme1" localSheetId="13" hidden="1">#REF!</definedName>
    <definedName name="deleteme1" localSheetId="15" hidden="1">#REF!</definedName>
    <definedName name="deleteme1" localSheetId="23" hidden="1">#REF!</definedName>
    <definedName name="deleteme1" localSheetId="4" hidden="1">#REF!</definedName>
    <definedName name="deleteme1" hidden="1">#REF!</definedName>
    <definedName name="deleteme3" localSheetId="3" hidden="1">#REF!</definedName>
    <definedName name="deleteme3" localSheetId="13" hidden="1">#REF!</definedName>
    <definedName name="deleteme3" localSheetId="15" hidden="1">#REF!</definedName>
    <definedName name="deleteme3" localSheetId="23" hidden="1">#REF!</definedName>
    <definedName name="deleteme3" localSheetId="4" hidden="1">#REF!</definedName>
    <definedName name="deleteme3" hidden="1">#REF!</definedName>
    <definedName name="Department" localSheetId="13">[44]REER!#REF!</definedName>
    <definedName name="Department" localSheetId="15">[44]REER!#REF!</definedName>
    <definedName name="Department" localSheetId="23">[44]REER!#REF!</definedName>
    <definedName name="Department">[44]REER!#REF!</definedName>
    <definedName name="DGproj">#N/A</definedName>
    <definedName name="DLX1.USE">[45]Haver!$A$2:$N$8</definedName>
    <definedName name="DOC" localSheetId="13">#REF!</definedName>
    <definedName name="DOC" localSheetId="15">#REF!</definedName>
    <definedName name="DOC" localSheetId="23">#REF!</definedName>
    <definedName name="DOC">#REF!</definedName>
    <definedName name="dp">[46]DP!$A$1:$E$65536</definedName>
    <definedName name="dpogjr" localSheetId="3" hidden="1">'[5]Time series'!#REF!</definedName>
    <definedName name="dpogjr" localSheetId="13" hidden="1">'[5]Time series'!#REF!</definedName>
    <definedName name="dpogjr" localSheetId="15" hidden="1">'[5]Time series'!#REF!</definedName>
    <definedName name="dpogjr" localSheetId="23" hidden="1">'[5]Time series'!#REF!</definedName>
    <definedName name="dpogjr" localSheetId="4" hidden="1">'[5]Time series'!#REF!</definedName>
    <definedName name="dpogjr" hidden="1">'[5]Time series'!#REF!</definedName>
    <definedName name="Dproj">#N/A</definedName>
    <definedName name="dre" localSheetId="3" hidden="1">[47]M!#REF!</definedName>
    <definedName name="dre" localSheetId="13" hidden="1">[47]M!#REF!</definedName>
    <definedName name="dre" localSheetId="15" hidden="1">[47]M!#REF!</definedName>
    <definedName name="dre" localSheetId="4" hidden="1">[47]M!#REF!</definedName>
    <definedName name="dre" hidden="1">[47]M!#REF!</definedName>
    <definedName name="DSD">#N/A</definedName>
    <definedName name="DSD_S">#N/A</definedName>
    <definedName name="DSDB">#N/A</definedName>
    <definedName name="DSDG">#N/A</definedName>
    <definedName name="dsfdsf" hidden="1">#REF!</definedName>
    <definedName name="dsfsdds" localSheetId="3" hidden="1">{"Riqfin97",#N/A,FALSE,"Tran";"Riqfinpro",#N/A,FALSE,"Tran"}</definedName>
    <definedName name="dsfsdds" localSheetId="13" hidden="1">{"Riqfin97",#N/A,FALSE,"Tran";"Riqfinpro",#N/A,FALSE,"Tran"}</definedName>
    <definedName name="dsfsdds" localSheetId="15" hidden="1">{"Riqfin97",#N/A,FALSE,"Tran";"Riqfinpro",#N/A,FALSE,"Tran"}</definedName>
    <definedName name="dsfsdds" localSheetId="23" hidden="1">{"Riqfin97",#N/A,FALSE,"Tran";"Riqfinpro",#N/A,FALSE,"Tran"}</definedName>
    <definedName name="dsfsdds" localSheetId="4" hidden="1">{"Riqfin97",#N/A,FALSE,"Tran";"Riqfinpro",#N/A,FALSE,"Tran"}</definedName>
    <definedName name="dsfsdds" localSheetId="26" hidden="1">{"Riqfin97",#N/A,FALSE,"Tran";"Riqfinpro",#N/A,FALSE,"Tran"}</definedName>
    <definedName name="dsfsdds" localSheetId="27" hidden="1">{"Riqfin97",#N/A,FALSE,"Tran";"Riqfinpro",#N/A,FALSE,"Tran"}</definedName>
    <definedName name="dsfsdds" localSheetId="32" hidden="1">{"Riqfin97",#N/A,FALSE,"Tran";"Riqfinpro",#N/A,FALSE,"Tran"}</definedName>
    <definedName name="dsfsdds" localSheetId="6" hidden="1">{"Riqfin97",#N/A,FALSE,"Tran";"Riqfinpro",#N/A,FALSE,"Tran"}</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 localSheetId="13">#REF!</definedName>
    <definedName name="e12db" localSheetId="15">#REF!</definedName>
    <definedName name="e12db" localSheetId="23">#REF!</definedName>
    <definedName name="e12db">#REF!</definedName>
    <definedName name="e9db">[48]e9!$A$1:$V$49</definedName>
    <definedName name="EB3M15" localSheetId="13">#REF!</definedName>
    <definedName name="EB3M15" localSheetId="15">#REF!</definedName>
    <definedName name="EB3M15">#REF!</definedName>
    <definedName name="EB3M16" localSheetId="13">#REF!</definedName>
    <definedName name="EB3M16">#REF!</definedName>
    <definedName name="EB3M17" localSheetId="13">#REF!</definedName>
    <definedName name="EB3M17">#REF!</definedName>
    <definedName name="EB3M18" localSheetId="13">#REF!</definedName>
    <definedName name="EB3M18">#REF!</definedName>
    <definedName name="EB3M19" localSheetId="13">#REF!</definedName>
    <definedName name="EB3M19">#REF!</definedName>
    <definedName name="EB3M20" localSheetId="13">#REF!</definedName>
    <definedName name="EB3M20">#REF!</definedName>
    <definedName name="EB6M15" localSheetId="13">#REF!</definedName>
    <definedName name="EB6M15">#REF!</definedName>
    <definedName name="EB6M16" localSheetId="13">#REF!</definedName>
    <definedName name="EB6M16">#REF!</definedName>
    <definedName name="EB6M17" localSheetId="13">#REF!</definedName>
    <definedName name="EB6M17">#REF!</definedName>
    <definedName name="EB6M18" localSheetId="13">#REF!</definedName>
    <definedName name="EB6M18">#REF!</definedName>
    <definedName name="EB6M19" localSheetId="13">#REF!</definedName>
    <definedName name="EB6M19">#REF!</definedName>
    <definedName name="EB6M20" localSheetId="13">#REF!</definedName>
    <definedName name="EB6M20">#REF!</definedName>
    <definedName name="EDNA">#N/A</definedName>
    <definedName name="EDSSDESCRIPTOR" localSheetId="13">#REF!</definedName>
    <definedName name="EDSSDESCRIPTOR" localSheetId="15">#REF!</definedName>
    <definedName name="EDSSDESCRIPTOR" localSheetId="23">#REF!</definedName>
    <definedName name="EDSSDESCRIPTOR">#REF!</definedName>
    <definedName name="EDSSFILE" localSheetId="13">#REF!</definedName>
    <definedName name="EDSSFILE" localSheetId="15">#REF!</definedName>
    <definedName name="EDSSFILE" localSheetId="23">#REF!</definedName>
    <definedName name="EDSSFILE">#REF!</definedName>
    <definedName name="EDSSNAME" localSheetId="13">#REF!</definedName>
    <definedName name="EDSSNAME" localSheetId="15">#REF!</definedName>
    <definedName name="EDSSNAME" localSheetId="23">#REF!</definedName>
    <definedName name="EDSSNAME">#REF!</definedName>
    <definedName name="EDSSTIME" localSheetId="13">#REF!</definedName>
    <definedName name="EDSSTIME" localSheetId="15">#REF!</definedName>
    <definedName name="EDSSTIME" localSheetId="23">#REF!</definedName>
    <definedName name="EDSSTIME">#REF!</definedName>
    <definedName name="ee" localSheetId="3" hidden="1">{"Tab1",#N/A,FALSE,"P";"Tab2",#N/A,FALSE,"P"}</definedName>
    <definedName name="ee" localSheetId="13" hidden="1">{"Tab1",#N/A,FALSE,"P";"Tab2",#N/A,FALSE,"P"}</definedName>
    <definedName name="ee" localSheetId="15" hidden="1">{"Tab1",#N/A,FALSE,"P";"Tab2",#N/A,FALSE,"P"}</definedName>
    <definedName name="ee" localSheetId="16" hidden="1">{"Tab1",#N/A,FALSE,"P";"Tab2",#N/A,FALSE,"P"}</definedName>
    <definedName name="ee" localSheetId="18" hidden="1">{"Tab1",#N/A,FALSE,"P";"Tab2",#N/A,FALSE,"P"}</definedName>
    <definedName name="ee" localSheetId="23" hidden="1">{"Tab1",#N/A,FALSE,"P";"Tab2",#N/A,FALSE,"P"}</definedName>
    <definedName name="ee" localSheetId="4" hidden="1">{"Tab1",#N/A,FALSE,"P";"Tab2",#N/A,FALSE,"P"}</definedName>
    <definedName name="ee" localSheetId="26" hidden="1">{"Tab1",#N/A,FALSE,"P";"Tab2",#N/A,FALSE,"P"}</definedName>
    <definedName name="ee" localSheetId="27" hidden="1">{"Tab1",#N/A,FALSE,"P";"Tab2",#N/A,FALSE,"P"}</definedName>
    <definedName name="ee" localSheetId="32" hidden="1">{"Tab1",#N/A,FALSE,"P";"Tab2",#N/A,FALSE,"P"}</definedName>
    <definedName name="ee" localSheetId="6" hidden="1">{"Tab1",#N/A,FALSE,"P";"Tab2",#N/A,FALSE,"P"}</definedName>
    <definedName name="ee" localSheetId="1" hidden="1">{"Tab1",#N/A,FALSE,"P";"Tab2",#N/A,FALSE,"P"}</definedName>
    <definedName name="ee" hidden="1">{"Tab1",#N/A,FALSE,"P";"Tab2",#N/A,FALSE,"P"}</definedName>
    <definedName name="EECB" localSheetId="13">#REF!</definedName>
    <definedName name="EECB" localSheetId="15">#REF!</definedName>
    <definedName name="EECB" localSheetId="23">#REF!</definedName>
    <definedName name="EECB">#REF!</definedName>
    <definedName name="eedx" localSheetId="3" hidden="1">{"Tab1",#N/A,FALSE,"P";"Tab2",#N/A,FALSE,"P"}</definedName>
    <definedName name="eedx" localSheetId="13" hidden="1">{"Tab1",#N/A,FALSE,"P";"Tab2",#N/A,FALSE,"P"}</definedName>
    <definedName name="eedx" localSheetId="15" hidden="1">{"Tab1",#N/A,FALSE,"P";"Tab2",#N/A,FALSE,"P"}</definedName>
    <definedName name="eedx" localSheetId="23" hidden="1">{"Tab1",#N/A,FALSE,"P";"Tab2",#N/A,FALSE,"P"}</definedName>
    <definedName name="eedx" localSheetId="4" hidden="1">{"Tab1",#N/A,FALSE,"P";"Tab2",#N/A,FALSE,"P"}</definedName>
    <definedName name="eedx" localSheetId="26" hidden="1">{"Tab1",#N/A,FALSE,"P";"Tab2",#N/A,FALSE,"P"}</definedName>
    <definedName name="eedx" localSheetId="27" hidden="1">{"Tab1",#N/A,FALSE,"P";"Tab2",#N/A,FALSE,"P"}</definedName>
    <definedName name="eedx" localSheetId="32" hidden="1">{"Tab1",#N/A,FALSE,"P";"Tab2",#N/A,FALSE,"P"}</definedName>
    <definedName name="eedx" localSheetId="6" hidden="1">{"Tab1",#N/A,FALSE,"P";"Tab2",#N/A,FALSE,"P"}</definedName>
    <definedName name="eedx" hidden="1">{"Tab1",#N/A,FALSE,"P";"Tab2",#N/A,FALSE,"P"}</definedName>
    <definedName name="eee" localSheetId="3" hidden="1">{"Tab1",#N/A,FALSE,"P";"Tab2",#N/A,FALSE,"P"}</definedName>
    <definedName name="eee" localSheetId="13" hidden="1">{"Tab1",#N/A,FALSE,"P";"Tab2",#N/A,FALSE,"P"}</definedName>
    <definedName name="eee" localSheetId="15" hidden="1">{"Tab1",#N/A,FALSE,"P";"Tab2",#N/A,FALSE,"P"}</definedName>
    <definedName name="eee" localSheetId="16" hidden="1">{"Tab1",#N/A,FALSE,"P";"Tab2",#N/A,FALSE,"P"}</definedName>
    <definedName name="eee" localSheetId="18" hidden="1">{"Tab1",#N/A,FALSE,"P";"Tab2",#N/A,FALSE,"P"}</definedName>
    <definedName name="eee" localSheetId="23" hidden="1">{"Tab1",#N/A,FALSE,"P";"Tab2",#N/A,FALSE,"P"}</definedName>
    <definedName name="eee" localSheetId="4" hidden="1">{"Tab1",#N/A,FALSE,"P";"Tab2",#N/A,FALSE,"P"}</definedName>
    <definedName name="eee" localSheetId="26" hidden="1">{"Tab1",#N/A,FALSE,"P";"Tab2",#N/A,FALSE,"P"}</definedName>
    <definedName name="eee" localSheetId="27" hidden="1">{"Tab1",#N/A,FALSE,"P";"Tab2",#N/A,FALSE,"P"}</definedName>
    <definedName name="eee" localSheetId="32" hidden="1">{"Tab1",#N/A,FALSE,"P";"Tab2",#N/A,FALSE,"P"}</definedName>
    <definedName name="eee" localSheetId="6" hidden="1">{"Tab1",#N/A,FALSE,"P";"Tab2",#N/A,FALSE,"P"}</definedName>
    <definedName name="eee" localSheetId="1" hidden="1">{"Tab1",#N/A,FALSE,"P";"Tab2",#N/A,FALSE,"P"}</definedName>
    <definedName name="eee" hidden="1">{"Tab1",#N/A,FALSE,"P";"Tab2",#N/A,FALSE,"P"}</definedName>
    <definedName name="EISCODE" localSheetId="13">#REF!</definedName>
    <definedName name="EISCODE" localSheetId="15">#REF!</definedName>
    <definedName name="EISCODE" localSheetId="23">#REF!</definedName>
    <definedName name="EISCODE">#REF!</definedName>
    <definedName name="EL6M15" localSheetId="13">#REF!</definedName>
    <definedName name="EL6M15">#REF!</definedName>
    <definedName name="EL6M16" localSheetId="13">#REF!</definedName>
    <definedName name="EL6M16">#REF!</definedName>
    <definedName name="EL6M17" localSheetId="13">#REF!</definedName>
    <definedName name="EL6M17">#REF!</definedName>
    <definedName name="EL6M18" localSheetId="13">#REF!</definedName>
    <definedName name="EL6M18">#REF!</definedName>
    <definedName name="EL6M19" localSheetId="13">#REF!</definedName>
    <definedName name="EL6M19">#REF!</definedName>
    <definedName name="elect" localSheetId="13">#REF!</definedName>
    <definedName name="elect" localSheetId="15">#REF!</definedName>
    <definedName name="elect" localSheetId="23">#REF!</definedName>
    <definedName name="elect">#REF!</definedName>
    <definedName name="Emerging_HTML_AREA" localSheetId="13">#REF!</definedName>
    <definedName name="Emerging_HTML_AREA" localSheetId="15">#REF!</definedName>
    <definedName name="Emerging_HTML_AREA" localSheetId="23">#REF!</definedName>
    <definedName name="Emerging_HTML_AREA">#REF!</definedName>
    <definedName name="EMETEL" localSheetId="13">#REF!</definedName>
    <definedName name="EMETEL" localSheetId="15">#REF!</definedName>
    <definedName name="EMETEL" localSheetId="23">#REF!</definedName>
    <definedName name="EMETEL">#REF!</definedName>
    <definedName name="end">'[49]VCP!H1@ 4'!#REF!</definedName>
    <definedName name="ENDA">#N/A</definedName>
    <definedName name="EONIA15" localSheetId="13">#REF!</definedName>
    <definedName name="EONIA15" localSheetId="15">#REF!</definedName>
    <definedName name="EONIA15">#REF!</definedName>
    <definedName name="EONIA16" localSheetId="13">#REF!</definedName>
    <definedName name="EONIA16">#REF!</definedName>
    <definedName name="EONIA17" localSheetId="13">#REF!</definedName>
    <definedName name="EONIA17">#REF!</definedName>
    <definedName name="EONIA18" localSheetId="13">#REF!</definedName>
    <definedName name="EONIA18">#REF!</definedName>
    <definedName name="EONIA19" localSheetId="13">#REF!</definedName>
    <definedName name="EONIA19">#REF!</definedName>
    <definedName name="EONIA20" localSheetId="13">#REF!</definedName>
    <definedName name="EONIA20">#REF!</definedName>
    <definedName name="equal_TLC" localSheetId="13">[31]Graf14_Graf15!#REF!</definedName>
    <definedName name="equal_TLC" localSheetId="15">[31]Graf14_Graf15!#REF!</definedName>
    <definedName name="equal_TLC" localSheetId="23">[31]Graf14_Graf15!#REF!</definedName>
    <definedName name="equal_TLC">[31]Graf14_Graf15!#REF!</definedName>
    <definedName name="erwr" hidden="1">#REF!</definedName>
    <definedName name="exauto">#REF!</definedName>
    <definedName name="exauto_manufacturing">#REF!</definedName>
    <definedName name="ExitWRS">[50]Main!$AB$25</definedName>
    <definedName name="F52ac">[28]MacroData!$K$3458</definedName>
    <definedName name="fdfs" localSheetId="3" hidden="1">{"Riqfin97",#N/A,FALSE,"Tran";"Riqfinpro",#N/A,FALSE,"Tran"}</definedName>
    <definedName name="fdfs" localSheetId="13" hidden="1">{"Riqfin97",#N/A,FALSE,"Tran";"Riqfinpro",#N/A,FALSE,"Tran"}</definedName>
    <definedName name="fdfs" localSheetId="15" hidden="1">{"Riqfin97",#N/A,FALSE,"Tran";"Riqfinpro",#N/A,FALSE,"Tran"}</definedName>
    <definedName name="fdfs" localSheetId="23" hidden="1">{"Riqfin97",#N/A,FALSE,"Tran";"Riqfinpro",#N/A,FALSE,"Tran"}</definedName>
    <definedName name="fdfs" localSheetId="4" hidden="1">{"Riqfin97",#N/A,FALSE,"Tran";"Riqfinpro",#N/A,FALSE,"Tran"}</definedName>
    <definedName name="fdfs" localSheetId="26" hidden="1">{"Riqfin97",#N/A,FALSE,"Tran";"Riqfinpro",#N/A,FALSE,"Tran"}</definedName>
    <definedName name="fdfs" localSheetId="27" hidden="1">{"Riqfin97",#N/A,FALSE,"Tran";"Riqfinpro",#N/A,FALSE,"Tran"}</definedName>
    <definedName name="fdfs" localSheetId="32" hidden="1">{"Riqfin97",#N/A,FALSE,"Tran";"Riqfinpro",#N/A,FALSE,"Tran"}</definedName>
    <definedName name="fdfs" localSheetId="6" hidden="1">{"Riqfin97",#N/A,FALSE,"Tran";"Riqfinpro",#N/A,FALSE,"Tran"}</definedName>
    <definedName name="fdfs" localSheetId="1" hidden="1">{"Riqfin97",#N/A,FALSE,"Tran";"Riqfinpro",#N/A,FALSE,"Tran"}</definedName>
    <definedName name="fdfs" hidden="1">{"Riqfin97",#N/A,FALSE,"Tran";"Riqfinpro",#N/A,FALSE,"Tran"}</definedName>
    <definedName name="ff" localSheetId="3" hidden="1">{"Tab1",#N/A,FALSE,"P";"Tab2",#N/A,FALSE,"P"}</definedName>
    <definedName name="ff" localSheetId="13" hidden="1">{"Tab1",#N/A,FALSE,"P";"Tab2",#N/A,FALSE,"P"}</definedName>
    <definedName name="ff" localSheetId="15" hidden="1">{"Tab1",#N/A,FALSE,"P";"Tab2",#N/A,FALSE,"P"}</definedName>
    <definedName name="ff" localSheetId="16" hidden="1">{"Tab1",#N/A,FALSE,"P";"Tab2",#N/A,FALSE,"P"}</definedName>
    <definedName name="ff" localSheetId="18" hidden="1">{"Tab1",#N/A,FALSE,"P";"Tab2",#N/A,FALSE,"P"}</definedName>
    <definedName name="ff" localSheetId="23" hidden="1">{"Tab1",#N/A,FALSE,"P";"Tab2",#N/A,FALSE,"P"}</definedName>
    <definedName name="ff" localSheetId="4" hidden="1">{"Tab1",#N/A,FALSE,"P";"Tab2",#N/A,FALSE,"P"}</definedName>
    <definedName name="ff" localSheetId="26" hidden="1">{"Tab1",#N/A,FALSE,"P";"Tab2",#N/A,FALSE,"P"}</definedName>
    <definedName name="ff" localSheetId="27" hidden="1">{"Tab1",#N/A,FALSE,"P";"Tab2",#N/A,FALSE,"P"}</definedName>
    <definedName name="ff" localSheetId="32" hidden="1">{"Tab1",#N/A,FALSE,"P";"Tab2",#N/A,FALSE,"P"}</definedName>
    <definedName name="ff" localSheetId="6" hidden="1">{"Tab1",#N/A,FALSE,"P";"Tab2",#N/A,FALSE,"P"}</definedName>
    <definedName name="ff" localSheetId="1" hidden="1">{"Tab1",#N/A,FALSE,"P";"Tab2",#N/A,FALSE,"P"}</definedName>
    <definedName name="ff" hidden="1">{"Tab1",#N/A,FALSE,"P";"Tab2",#N/A,FALSE,"P"}</definedName>
    <definedName name="fff" localSheetId="3" hidden="1">{"Tab1",#N/A,FALSE,"P";"Tab2",#N/A,FALSE,"P"}</definedName>
    <definedName name="fff" localSheetId="13" hidden="1">{"Tab1",#N/A,FALSE,"P";"Tab2",#N/A,FALSE,"P"}</definedName>
    <definedName name="fff" localSheetId="15" hidden="1">{"Tab1",#N/A,FALSE,"P";"Tab2",#N/A,FALSE,"P"}</definedName>
    <definedName name="fff" localSheetId="16" hidden="1">{"Tab1",#N/A,FALSE,"P";"Tab2",#N/A,FALSE,"P"}</definedName>
    <definedName name="fff" localSheetId="18" hidden="1">{"Tab1",#N/A,FALSE,"P";"Tab2",#N/A,FALSE,"P"}</definedName>
    <definedName name="fff" localSheetId="23" hidden="1">{"Tab1",#N/A,FALSE,"P";"Tab2",#N/A,FALSE,"P"}</definedName>
    <definedName name="fff" localSheetId="4" hidden="1">{"Tab1",#N/A,FALSE,"P";"Tab2",#N/A,FALSE,"P"}</definedName>
    <definedName name="fff" localSheetId="26" hidden="1">{"Tab1",#N/A,FALSE,"P";"Tab2",#N/A,FALSE,"P"}</definedName>
    <definedName name="fff" localSheetId="27" hidden="1">{"Tab1",#N/A,FALSE,"P";"Tab2",#N/A,FALSE,"P"}</definedName>
    <definedName name="fff" localSheetId="32" hidden="1">{"Tab1",#N/A,FALSE,"P";"Tab2",#N/A,FALSE,"P"}</definedName>
    <definedName name="fff" localSheetId="6" hidden="1">{"Tab1",#N/A,FALSE,"P";"Tab2",#N/A,FALSE,"P"}</definedName>
    <definedName name="fff" localSheetId="1" hidden="1">{"Tab1",#N/A,FALSE,"P";"Tab2",#N/A,FALSE,"P"}</definedName>
    <definedName name="fff" hidden="1">{"Tab1",#N/A,FALSE,"P";"Tab2",#N/A,FALSE,"P"}</definedName>
    <definedName name="ffff" localSheetId="3" hidden="1">'[51]Time series'!#REF!</definedName>
    <definedName name="ffff" localSheetId="13" hidden="1">'[51]Time series'!#REF!</definedName>
    <definedName name="ffff" localSheetId="15" hidden="1">'[51]Time series'!#REF!</definedName>
    <definedName name="ffff" localSheetId="4" hidden="1">'[51]Time series'!#REF!</definedName>
    <definedName name="ffff" hidden="1">'[51]Time series'!#REF!</definedName>
    <definedName name="fgfgfgf" localSheetId="3" hidden="1">'[51]Time series'!#REF!</definedName>
    <definedName name="fgfgfgf" localSheetId="13" hidden="1">'[51]Time series'!#REF!</definedName>
    <definedName name="fgfgfgf" localSheetId="15" hidden="1">'[51]Time series'!#REF!</definedName>
    <definedName name="fgfgfgf" localSheetId="4" hidden="1">'[51]Time series'!#REF!</definedName>
    <definedName name="fgfgfgf" hidden="1">'[51]Time series'!#REF!</definedName>
    <definedName name="Fig8.2a" localSheetId="13">#REF!</definedName>
    <definedName name="Fig8.2a" localSheetId="15">#REF!</definedName>
    <definedName name="Fig8.2a" localSheetId="23">#REF!</definedName>
    <definedName name="Fig8.2a">#REF!</definedName>
    <definedName name="fill" hidden="1">'[52]Macroframework-Ver.1'!$A$1:$A$267</definedName>
    <definedName name="finan" localSheetId="13">#REF!</definedName>
    <definedName name="finan" localSheetId="15">#REF!</definedName>
    <definedName name="finan" localSheetId="23">#REF!</definedName>
    <definedName name="finan">#REF!</definedName>
    <definedName name="finan1" localSheetId="13">#REF!</definedName>
    <definedName name="finan1" localSheetId="15">#REF!</definedName>
    <definedName name="finan1" localSheetId="23">#REF!</definedName>
    <definedName name="finan1">#REF!</definedName>
    <definedName name="Financing" localSheetId="3" hidden="1">{"Tab1",#N/A,FALSE,"P";"Tab2",#N/A,FALSE,"P"}</definedName>
    <definedName name="Financing" localSheetId="13" hidden="1">{"Tab1",#N/A,FALSE,"P";"Tab2",#N/A,FALSE,"P"}</definedName>
    <definedName name="Financing" localSheetId="15" hidden="1">{"Tab1",#N/A,FALSE,"P";"Tab2",#N/A,FALSE,"P"}</definedName>
    <definedName name="Financing" localSheetId="16" hidden="1">{"Tab1",#N/A,FALSE,"P";"Tab2",#N/A,FALSE,"P"}</definedName>
    <definedName name="Financing" localSheetId="18" hidden="1">{"Tab1",#N/A,FALSE,"P";"Tab2",#N/A,FALSE,"P"}</definedName>
    <definedName name="Financing" localSheetId="23" hidden="1">{"Tab1",#N/A,FALSE,"P";"Tab2",#N/A,FALSE,"P"}</definedName>
    <definedName name="Financing" localSheetId="4" hidden="1">{"Tab1",#N/A,FALSE,"P";"Tab2",#N/A,FALSE,"P"}</definedName>
    <definedName name="Financing" localSheetId="26" hidden="1">{"Tab1",#N/A,FALSE,"P";"Tab2",#N/A,FALSE,"P"}</definedName>
    <definedName name="Financing" localSheetId="27" hidden="1">{"Tab1",#N/A,FALSE,"P";"Tab2",#N/A,FALSE,"P"}</definedName>
    <definedName name="Financing" localSheetId="32" hidden="1">{"Tab1",#N/A,FALSE,"P";"Tab2",#N/A,FALSE,"P"}</definedName>
    <definedName name="Financing" localSheetId="6" hidden="1">{"Tab1",#N/A,FALSE,"P";"Tab2",#N/A,FALSE,"P"}</definedName>
    <definedName name="Financing" localSheetId="1" hidden="1">{"Tab1",#N/A,FALSE,"P";"Tab2",#N/A,FALSE,"P"}</definedName>
    <definedName name="Financing" hidden="1">{"Tab1",#N/A,FALSE,"P";"Tab2",#N/A,FALSE,"P"}</definedName>
    <definedName name="FISUM" localSheetId="13">#REF!</definedName>
    <definedName name="FISUM" localSheetId="15">#REF!</definedName>
    <definedName name="FISUM" localSheetId="23">#REF!</definedName>
    <definedName name="FISUM">#REF!</definedName>
    <definedName name="FLOPEC" localSheetId="13">#REF!</definedName>
    <definedName name="FLOPEC" localSheetId="15">#REF!</definedName>
    <definedName name="FLOPEC" localSheetId="23">#REF!</definedName>
    <definedName name="FLOPEC">#REF!</definedName>
    <definedName name="FMB" localSheetId="13">#REF!</definedName>
    <definedName name="FMB" localSheetId="15">#REF!</definedName>
    <definedName name="FMB" localSheetId="23">#REF!</definedName>
    <definedName name="FMB">#REF!</definedName>
    <definedName name="FODESEC" localSheetId="13">#REF!</definedName>
    <definedName name="FODESEC" localSheetId="15">#REF!</definedName>
    <definedName name="FODESEC" localSheetId="23">#REF!</definedName>
    <definedName name="FODESEC">#REF!</definedName>
    <definedName name="FOREXPORT">[23]H!$A$2:$F$86</definedName>
    <definedName name="fsd" localSheetId="3" hidden="1">#REF!</definedName>
    <definedName name="fsd" localSheetId="13" hidden="1">#REF!</definedName>
    <definedName name="fsd" localSheetId="15" hidden="1">#REF!</definedName>
    <definedName name="fsd" localSheetId="23" hidden="1">#REF!</definedName>
    <definedName name="fsd" localSheetId="4" hidden="1">#REF!</definedName>
    <definedName name="fsd" hidden="1">#REF!</definedName>
    <definedName name="fsdfsdfasdfasdfasd" localSheetId="3" hidden="1">#REF!</definedName>
    <definedName name="fsdfsdfasdfasdfasd" localSheetId="13" hidden="1">#REF!</definedName>
    <definedName name="fsdfsdfasdfasdfasd" localSheetId="15" hidden="1">#REF!</definedName>
    <definedName name="fsdfsdfasdfasdfasd" localSheetId="23" hidden="1">#REF!</definedName>
    <definedName name="fsdfsdfasdfasdfasd" localSheetId="4" hidden="1">#REF!</definedName>
    <definedName name="fsdfsdfasdfasdfasd" hidden="1">#REF!</definedName>
    <definedName name="FUNDOBL" localSheetId="13">#REF!</definedName>
    <definedName name="FUNDOBL" localSheetId="14">#REF!</definedName>
    <definedName name="FUNDOBL" localSheetId="15">#REF!</definedName>
    <definedName name="FUNDOBL" localSheetId="23">#REF!</definedName>
    <definedName name="FUNDOBL">#REF!</definedName>
    <definedName name="FUNDOBLB" localSheetId="13">#REF!</definedName>
    <definedName name="FUNDOBLB" localSheetId="15">#REF!</definedName>
    <definedName name="FUNDOBLB" localSheetId="23">#REF!</definedName>
    <definedName name="FUNDOBLB">#REF!</definedName>
    <definedName name="g" localSheetId="13">#REF!</definedName>
    <definedName name="g" localSheetId="15">#REF!</definedName>
    <definedName name="g" localSheetId="23">#REF!</definedName>
    <definedName name="g">#REF!</definedName>
    <definedName name="GCB" localSheetId="13">#REF!</definedName>
    <definedName name="GCB" localSheetId="15">#REF!</definedName>
    <definedName name="GCB" localSheetId="23">#REF!</definedName>
    <definedName name="GCB">#REF!</definedName>
    <definedName name="GCB_NGDP">#N/A</definedName>
    <definedName name="GCEI" localSheetId="13">#REF!</definedName>
    <definedName name="GCEI" localSheetId="15">#REF!</definedName>
    <definedName name="GCEI" localSheetId="23">#REF!</definedName>
    <definedName name="GCEI">#REF!</definedName>
    <definedName name="GCENL" localSheetId="13">#REF!</definedName>
    <definedName name="GCENL" localSheetId="15">#REF!</definedName>
    <definedName name="GCENL" localSheetId="23">#REF!</definedName>
    <definedName name="GCENL">#REF!</definedName>
    <definedName name="GCND" localSheetId="13">#REF!</definedName>
    <definedName name="GCND" localSheetId="15">#REF!</definedName>
    <definedName name="GCND" localSheetId="23">#REF!</definedName>
    <definedName name="GCND">#REF!</definedName>
    <definedName name="GCND_NGDP" localSheetId="13">#REF!</definedName>
    <definedName name="GCND_NGDP" localSheetId="15">#REF!</definedName>
    <definedName name="GCND_NGDP" localSheetId="23">#REF!</definedName>
    <definedName name="GCND_NGDP">#REF!</definedName>
    <definedName name="GCRG" localSheetId="13">#REF!</definedName>
    <definedName name="GCRG" localSheetId="15">#REF!</definedName>
    <definedName name="GCRG" localSheetId="23">#REF!</definedName>
    <definedName name="GCRG">#REF!</definedName>
    <definedName name="ggb">'[53]budget-G'!$A$1:$W$109</definedName>
    <definedName name="GGB_NGDP">#N/A</definedName>
    <definedName name="ggbeu" localSheetId="13">#REF!</definedName>
    <definedName name="ggbeu" localSheetId="15">#REF!</definedName>
    <definedName name="ggbeu" localSheetId="23">#REF!</definedName>
    <definedName name="ggbeu">#REF!</definedName>
    <definedName name="ggblg" localSheetId="13">#REF!</definedName>
    <definedName name="ggblg" localSheetId="15">#REF!</definedName>
    <definedName name="ggblg" localSheetId="23">#REF!</definedName>
    <definedName name="ggblg">#REF!</definedName>
    <definedName name="ggbls" localSheetId="13">#REF!</definedName>
    <definedName name="ggbls" localSheetId="15">#REF!</definedName>
    <definedName name="ggbls" localSheetId="23">#REF!</definedName>
    <definedName name="ggbls">#REF!</definedName>
    <definedName name="ggbss" localSheetId="13">#REF!</definedName>
    <definedName name="ggbss" localSheetId="15">#REF!</definedName>
    <definedName name="ggbss" localSheetId="23">#REF!</definedName>
    <definedName name="ggbss">#REF!</definedName>
    <definedName name="gge">[53]Expenditures!$A$1:$AC$62</definedName>
    <definedName name="GGED" localSheetId="13">#REF!</definedName>
    <definedName name="GGED" localSheetId="15">#REF!</definedName>
    <definedName name="GGED" localSheetId="23">#REF!</definedName>
    <definedName name="GGED">#REF!</definedName>
    <definedName name="GGEI" localSheetId="13">#REF!</definedName>
    <definedName name="GGEI" localSheetId="15">#REF!</definedName>
    <definedName name="GGEI" localSheetId="23">#REF!</definedName>
    <definedName name="GGEI">#REF!</definedName>
    <definedName name="GGENL" localSheetId="13">#REF!</definedName>
    <definedName name="GGENL" localSheetId="15">#REF!</definedName>
    <definedName name="GGENL" localSheetId="23">#REF!</definedName>
    <definedName name="GGENL">#REF!</definedName>
    <definedName name="ggg" localSheetId="3" hidden="1">{"Riqfin97",#N/A,FALSE,"Tran";"Riqfinpro",#N/A,FALSE,"Tran"}</definedName>
    <definedName name="ggg" localSheetId="13" hidden="1">{"Riqfin97",#N/A,FALSE,"Tran";"Riqfinpro",#N/A,FALSE,"Tran"}</definedName>
    <definedName name="ggg" localSheetId="15" hidden="1">{"Riqfin97",#N/A,FALSE,"Tran";"Riqfinpro",#N/A,FALSE,"Tran"}</definedName>
    <definedName name="ggg" localSheetId="16" hidden="1">{"Riqfin97",#N/A,FALSE,"Tran";"Riqfinpro",#N/A,FALSE,"Tran"}</definedName>
    <definedName name="ggg" localSheetId="18" hidden="1">{"Riqfin97",#N/A,FALSE,"Tran";"Riqfinpro",#N/A,FALSE,"Tran"}</definedName>
    <definedName name="ggg" localSheetId="23" hidden="1">{"Riqfin97",#N/A,FALSE,"Tran";"Riqfinpro",#N/A,FALSE,"Tran"}</definedName>
    <definedName name="ggg" localSheetId="4" hidden="1">{"Riqfin97",#N/A,FALSE,"Tran";"Riqfinpro",#N/A,FALSE,"Tran"}</definedName>
    <definedName name="ggg" localSheetId="26" hidden="1">{"Riqfin97",#N/A,FALSE,"Tran";"Riqfinpro",#N/A,FALSE,"Tran"}</definedName>
    <definedName name="ggg" localSheetId="27" hidden="1">{"Riqfin97",#N/A,FALSE,"Tran";"Riqfinpro",#N/A,FALSE,"Tran"}</definedName>
    <definedName name="ggg" localSheetId="32" hidden="1">{"Riqfin97",#N/A,FALSE,"Tran";"Riqfinpro",#N/A,FALSE,"Tran"}</definedName>
    <definedName name="ggg" localSheetId="6" hidden="1">{"Riqfin97",#N/A,FALSE,"Tran";"Riqfinpro",#N/A,FALSE,"Tran"}</definedName>
    <definedName name="ggg" localSheetId="1" hidden="1">{"Riqfin97",#N/A,FALSE,"Tran";"Riqfinpro",#N/A,FALSE,"Tran"}</definedName>
    <definedName name="ggg" hidden="1">{"Riqfin97",#N/A,FALSE,"Tran";"Riqfinpro",#N/A,FALSE,"Tran"}</definedName>
    <definedName name="ggggg" localSheetId="3" hidden="1">'[54]J(Priv.Cap)'!#REF!</definedName>
    <definedName name="ggggg" localSheetId="13" hidden="1">'[54]J(Priv.Cap)'!#REF!</definedName>
    <definedName name="ggggg" localSheetId="15" hidden="1">'[54]J(Priv.Cap)'!#REF!</definedName>
    <definedName name="ggggg" localSheetId="4" hidden="1">'[54]J(Priv.Cap)'!#REF!</definedName>
    <definedName name="ggggg" hidden="1">'[54]J(Priv.Cap)'!#REF!</definedName>
    <definedName name="ggggggg">[24]!ggggggg</definedName>
    <definedName name="GGND" localSheetId="13">#REF!</definedName>
    <definedName name="GGND" localSheetId="15">#REF!</definedName>
    <definedName name="GGND" localSheetId="23">#REF!</definedName>
    <definedName name="GGND">#REF!</definedName>
    <definedName name="ggr">[53]Revenues!$A$1:$AD$58</definedName>
    <definedName name="GGRG" localSheetId="13">#REF!</definedName>
    <definedName name="GGRG" localSheetId="15">#REF!</definedName>
    <definedName name="GGRG" localSheetId="23">#REF!</definedName>
    <definedName name="GGRG">#REF!</definedName>
    <definedName name="ghfgf" localSheetId="3" hidden="1">'[5]Time series'!#REF!</definedName>
    <definedName name="ghfgf" localSheetId="13" hidden="1">'[5]Time series'!#REF!</definedName>
    <definedName name="ghfgf" localSheetId="15" hidden="1">'[5]Time series'!#REF!</definedName>
    <definedName name="ghfgf" localSheetId="4" hidden="1">'[5]Time series'!#REF!</definedName>
    <definedName name="ghfgf" hidden="1">'[5]Time series'!#REF!</definedName>
    <definedName name="gjgfgk" localSheetId="3" hidden="1">'[5]Time series'!#REF!</definedName>
    <definedName name="gjgfgk" localSheetId="13" hidden="1">'[5]Time series'!#REF!</definedName>
    <definedName name="gjgfgk" localSheetId="15" hidden="1">'[5]Time series'!#REF!</definedName>
    <definedName name="gjgfgk" localSheetId="4" hidden="1">'[5]Time series'!#REF!</definedName>
    <definedName name="gjgfgk" hidden="1">'[5]Time series'!#REF!</definedName>
    <definedName name="GPee_2" localSheetId="13">[31]Graf14_Graf15!#REF!</definedName>
    <definedName name="GPee_2" localSheetId="15">[31]Graf14_Graf15!#REF!</definedName>
    <definedName name="GPee_2" localSheetId="23">[31]Graf14_Graf15!#REF!</definedName>
    <definedName name="GPee_2">[31]Graf14_Graf15!#REF!</definedName>
    <definedName name="GPer_2" localSheetId="13">[31]Graf14_Graf15!#REF!</definedName>
    <definedName name="GPer_2" localSheetId="15">[31]Graf14_Graf15!#REF!</definedName>
    <definedName name="GPer_2">[31]Graf14_Graf15!#REF!</definedName>
    <definedName name="Graf_66" hidden="1">#REF!</definedName>
    <definedName name="Graf_68" hidden="1">'[10]i2-KA'!#REF!</definedName>
    <definedName name="Graf_78" hidden="1">#REF!</definedName>
    <definedName name="Graf_xx_kvoty" hidden="1">#REF!</definedName>
    <definedName name="Graf7" hidden="1">#REF!</definedName>
    <definedName name="HDP" localSheetId="13">'[55]Graf 47'!#REF!</definedName>
    <definedName name="HDP" localSheetId="15">#REF!</definedName>
    <definedName name="HDP">'[56]Graf 47'!#REF!</definedName>
    <definedName name="HDPn_1n" localSheetId="13">[57]makro!$B$27</definedName>
    <definedName name="HDPn_1n" localSheetId="15">[58]makro!$B$27</definedName>
    <definedName name="HDPn_1n" localSheetId="16">[59]makro!$B$27</definedName>
    <definedName name="HDPn_1n" localSheetId="18">[59]makro!$B$27</definedName>
    <definedName name="HDPn_1n" localSheetId="23">[58]makro!$B$27</definedName>
    <definedName name="HDPn_1n">[58]makro!$B$27</definedName>
    <definedName name="HDPn_2" localSheetId="13">[60]makro!$C$5</definedName>
    <definedName name="HDPn_2" localSheetId="16">[59]makro!$C$5</definedName>
    <definedName name="HDPn_2" localSheetId="18">[59]makro!$C$5</definedName>
    <definedName name="HDPn_2" localSheetId="23">[61]makro!$C$5</definedName>
    <definedName name="HDPn_2">[61]makro!$C$5</definedName>
    <definedName name="HDPn_2n" localSheetId="13">[60]makro!$C$27</definedName>
    <definedName name="HDPn_2n" localSheetId="16">[59]makro!$C$27</definedName>
    <definedName name="HDPn_2n" localSheetId="18">[59]makro!$C$27</definedName>
    <definedName name="HDPn_2n" localSheetId="23">[61]makro!$C$27</definedName>
    <definedName name="HDPn_2n">[61]makro!$C$27</definedName>
    <definedName name="HDPn_3" localSheetId="13">[60]makro!$D$5</definedName>
    <definedName name="HDPn_3" localSheetId="16">[59]makro!$D$5</definedName>
    <definedName name="HDPn_3" localSheetId="18">[59]makro!$D$5</definedName>
    <definedName name="HDPn_3" localSheetId="23">[61]makro!$D$5</definedName>
    <definedName name="HDPn_3">[61]makro!$D$5</definedName>
    <definedName name="HDPn_3n" localSheetId="13">[60]makro!$D$27</definedName>
    <definedName name="HDPn_3n" localSheetId="16">[59]makro!$D$27</definedName>
    <definedName name="HDPn_3n" localSheetId="18">[59]makro!$D$27</definedName>
    <definedName name="HDPn_3n" localSheetId="23">[61]makro!$D$27</definedName>
    <definedName name="HDPn_3n">[61]makro!$D$27</definedName>
    <definedName name="HDPn_4" localSheetId="13">[60]makro!$E$5</definedName>
    <definedName name="HDPn_4" localSheetId="16">[59]makro!$E$5</definedName>
    <definedName name="HDPn_4" localSheetId="18">[59]makro!$E$5</definedName>
    <definedName name="HDPn_4" localSheetId="23">[61]makro!$E$5</definedName>
    <definedName name="HDPn_4">[61]makro!$E$5</definedName>
    <definedName name="HDPn_4n" localSheetId="13">[60]makro!$E$27</definedName>
    <definedName name="HDPn_4n" localSheetId="16">[59]makro!$E$27</definedName>
    <definedName name="HDPn_4n" localSheetId="18">[59]makro!$E$27</definedName>
    <definedName name="HDPn_4n" localSheetId="23">[61]makro!$E$27</definedName>
    <definedName name="HDPn_4n">[61]makro!$E$27</definedName>
    <definedName name="HDPn_5" localSheetId="13">[60]makro!$F$5</definedName>
    <definedName name="HDPn_5" localSheetId="16">[59]makro!$F$5</definedName>
    <definedName name="HDPn_5" localSheetId="18">[59]makro!$F$5</definedName>
    <definedName name="HDPn_5" localSheetId="23">[61]makro!$F$5</definedName>
    <definedName name="HDPn_5">[61]makro!$F$5</definedName>
    <definedName name="HDPn_5n" localSheetId="13">[60]makro!$F$27</definedName>
    <definedName name="HDPn_5n" localSheetId="16">[59]makro!$F$27</definedName>
    <definedName name="HDPn_5n" localSheetId="18">[59]makro!$F$27</definedName>
    <definedName name="HDPn_5n" localSheetId="23">[61]makro!$F$27</definedName>
    <definedName name="HDPn_5n">[61]makro!$F$27</definedName>
    <definedName name="HDPn_6" localSheetId="13">[60]makro!$G$5</definedName>
    <definedName name="HDPn_6" localSheetId="16">[59]makro!$G$5</definedName>
    <definedName name="HDPn_6" localSheetId="18">[59]makro!$G$5</definedName>
    <definedName name="HDPn_6" localSheetId="23">[61]makro!$G$5</definedName>
    <definedName name="HDPn_6">[61]makro!$G$5</definedName>
    <definedName name="HDPn_6n" localSheetId="13">[60]makro!$G$27</definedName>
    <definedName name="HDPn_6n" localSheetId="16">[59]makro!$G$27</definedName>
    <definedName name="HDPn_6n" localSheetId="18">[59]makro!$G$27</definedName>
    <definedName name="HDPn_6n" localSheetId="23">[61]makro!$G$27</definedName>
    <definedName name="HDPn_6n">[61]makro!$G$27</definedName>
    <definedName name="HDPnbk_2" localSheetId="13">[60]makro!$C$16</definedName>
    <definedName name="HDPnbk_2" localSheetId="16">[59]makro!$C$16</definedName>
    <definedName name="HDPnbk_2" localSheetId="18">[59]makro!$C$16</definedName>
    <definedName name="HDPnbk_2" localSheetId="23">[61]makro!$C$16</definedName>
    <definedName name="HDPnbk_2">[61]makro!$C$16</definedName>
    <definedName name="HDPnbk_2n" localSheetId="13">[60]makro!$C$38</definedName>
    <definedName name="HDPnbk_2n" localSheetId="16">[59]makro!$C$38</definedName>
    <definedName name="HDPnbk_2n" localSheetId="18">[59]makro!$C$38</definedName>
    <definedName name="HDPnbk_2n" localSheetId="23">[61]makro!$C$38</definedName>
    <definedName name="HDPnbk_2n">[61]makro!$C$38</definedName>
    <definedName name="HDPnbk_3" localSheetId="13">[60]makro!$D$16</definedName>
    <definedName name="HDPnbk_3" localSheetId="16">[59]makro!$D$16</definedName>
    <definedName name="HDPnbk_3" localSheetId="18">[59]makro!$D$16</definedName>
    <definedName name="HDPnbk_3" localSheetId="23">[61]makro!$D$16</definedName>
    <definedName name="HDPnbk_3">[61]makro!$D$16</definedName>
    <definedName name="HDPnbk_3n" localSheetId="13">[60]makro!$D$38</definedName>
    <definedName name="HDPnbk_3n" localSheetId="16">[59]makro!$D$38</definedName>
    <definedName name="HDPnbk_3n" localSheetId="18">[59]makro!$D$38</definedName>
    <definedName name="HDPnbk_3n" localSheetId="23">[61]makro!$D$38</definedName>
    <definedName name="HDPnbk_3n">[61]makro!$D$38</definedName>
    <definedName name="HDPnbk_4" localSheetId="13">[60]makro!$E$16</definedName>
    <definedName name="HDPnbk_4" localSheetId="16">[59]makro!$E$16</definedName>
    <definedName name="HDPnbk_4" localSheetId="18">[59]makro!$E$16</definedName>
    <definedName name="HDPnbk_4" localSheetId="23">[61]makro!$E$16</definedName>
    <definedName name="HDPnbk_4">[61]makro!$E$16</definedName>
    <definedName name="HDPnbk_4n" localSheetId="13">[60]makro!$E$38</definedName>
    <definedName name="HDPnbk_4n" localSheetId="16">[59]makro!$E$38</definedName>
    <definedName name="HDPnbk_4n" localSheetId="18">[59]makro!$E$38</definedName>
    <definedName name="HDPnbk_4n" localSheetId="23">[61]makro!$E$38</definedName>
    <definedName name="HDPnbk_4n">[61]makro!$E$38</definedName>
    <definedName name="HDPnbk_5" localSheetId="13">[60]makro!$F$16</definedName>
    <definedName name="HDPnbk_5" localSheetId="16">[59]makro!$F$16</definedName>
    <definedName name="HDPnbk_5" localSheetId="18">[59]makro!$F$16</definedName>
    <definedName name="HDPnbk_5" localSheetId="23">[61]makro!$F$16</definedName>
    <definedName name="HDPnbk_5">[61]makro!$F$16</definedName>
    <definedName name="HDPnbk_5n" localSheetId="13">[60]makro!$F$38</definedName>
    <definedName name="HDPnbk_5n" localSheetId="16">[59]makro!$F$38</definedName>
    <definedName name="HDPnbk_5n" localSheetId="18">[59]makro!$F$38</definedName>
    <definedName name="HDPnbk_5n" localSheetId="23">[61]makro!$F$38</definedName>
    <definedName name="HDPnbk_5n">[61]makro!$F$38</definedName>
    <definedName name="HDPnbk_6" localSheetId="13">[60]makro!$G$16</definedName>
    <definedName name="HDPnbk_6" localSheetId="16">[59]makro!$G$16</definedName>
    <definedName name="HDPnbk_6" localSheetId="18">[59]makro!$G$16</definedName>
    <definedName name="HDPnbk_6" localSheetId="23">[61]makro!$G$16</definedName>
    <definedName name="HDPnbk_6">[61]makro!$G$16</definedName>
    <definedName name="HDPnbk_6n" localSheetId="13">[60]makro!$G$38</definedName>
    <definedName name="HDPnbk_6n" localSheetId="16">[59]makro!$G$38</definedName>
    <definedName name="HDPnbk_6n" localSheetId="18">[59]makro!$G$38</definedName>
    <definedName name="HDPnbk_6n" localSheetId="23">[61]makro!$G$38</definedName>
    <definedName name="HDPnbk_6n">[61]makro!$G$38</definedName>
    <definedName name="HDPr_2" localSheetId="13">[60]makro!$C$4</definedName>
    <definedName name="HDPr_2" localSheetId="16">[59]makro!$C$4</definedName>
    <definedName name="HDPr_2" localSheetId="18">[59]makro!$C$4</definedName>
    <definedName name="HDPr_2" localSheetId="23">[61]makro!$C$4</definedName>
    <definedName name="HDPr_2">[61]makro!$C$4</definedName>
    <definedName name="HDPr_2n" localSheetId="13">[60]makro!$C$26</definedName>
    <definedName name="HDPr_2n" localSheetId="16">[59]makro!$C$26</definedName>
    <definedName name="HDPr_2n" localSheetId="18">[59]makro!$C$26</definedName>
    <definedName name="HDPr_2n" localSheetId="23">[61]makro!$C$26</definedName>
    <definedName name="HDPr_2n">[61]makro!$C$26</definedName>
    <definedName name="HDPr_3" localSheetId="13">[60]makro!$D$4</definedName>
    <definedName name="HDPr_3" localSheetId="16">[59]makro!$D$4</definedName>
    <definedName name="HDPr_3" localSheetId="18">[59]makro!$D$4</definedName>
    <definedName name="HDPr_3" localSheetId="23">[61]makro!$D$4</definedName>
    <definedName name="HDPr_3">[61]makro!$D$4</definedName>
    <definedName name="HDPr_3n" localSheetId="13">[60]makro!$D$26</definedName>
    <definedName name="HDPr_3n" localSheetId="16">[59]makro!$D$26</definedName>
    <definedName name="HDPr_3n" localSheetId="18">[59]makro!$D$26</definedName>
    <definedName name="HDPr_3n" localSheetId="23">[61]makro!$D$26</definedName>
    <definedName name="HDPr_3n">[61]makro!$D$26</definedName>
    <definedName name="HDPr_4" localSheetId="13">[60]makro!$E$4</definedName>
    <definedName name="HDPr_4" localSheetId="16">[59]makro!$E$4</definedName>
    <definedName name="HDPr_4" localSheetId="18">[59]makro!$E$4</definedName>
    <definedName name="HDPr_4" localSheetId="23">[61]makro!$E$4</definedName>
    <definedName name="HDPr_4">[61]makro!$E$4</definedName>
    <definedName name="HDPr_4n" localSheetId="13">[60]makro!$E$26</definedName>
    <definedName name="HDPr_4n" localSheetId="16">[59]makro!$E$26</definedName>
    <definedName name="HDPr_4n" localSheetId="18">[59]makro!$E$26</definedName>
    <definedName name="HDPr_4n" localSheetId="23">[61]makro!$E$26</definedName>
    <definedName name="HDPr_4n">[61]makro!$E$26</definedName>
    <definedName name="HDPr_5" localSheetId="13">[60]makro!$F$4</definedName>
    <definedName name="HDPr_5" localSheetId="16">[59]makro!$F$4</definedName>
    <definedName name="HDPr_5" localSheetId="18">[59]makro!$F$4</definedName>
    <definedName name="HDPr_5" localSheetId="23">[61]makro!$F$4</definedName>
    <definedName name="HDPr_5">[61]makro!$F$4</definedName>
    <definedName name="HDPr_5n" localSheetId="13">[60]makro!$F$26</definedName>
    <definedName name="HDPr_5n" localSheetId="16">[59]makro!$F$26</definedName>
    <definedName name="HDPr_5n" localSheetId="18">[59]makro!$F$26</definedName>
    <definedName name="HDPr_5n" localSheetId="23">[61]makro!$F$26</definedName>
    <definedName name="HDPr_5n">[61]makro!$F$26</definedName>
    <definedName name="HDPr_6" localSheetId="13">[60]makro!$G$4</definedName>
    <definedName name="HDPr_6" localSheetId="16">[59]makro!$G$4</definedName>
    <definedName name="HDPr_6" localSheetId="18">[59]makro!$G$4</definedName>
    <definedName name="HDPr_6" localSheetId="23">[61]makro!$G$4</definedName>
    <definedName name="HDPr_6">[61]makro!$G$4</definedName>
    <definedName name="HDPr_6n" localSheetId="13">[60]makro!$G$26</definedName>
    <definedName name="HDPr_6n" localSheetId="16">[59]makro!$G$26</definedName>
    <definedName name="HDPr_6n" localSheetId="18">[59]makro!$G$26</definedName>
    <definedName name="HDPr_6n" localSheetId="23">[61]makro!$G$26</definedName>
    <definedName name="HDPr_6n">[61]makro!$G$26</definedName>
    <definedName name="help" localSheetId="3" hidden="1">'[5]Time series'!#REF!</definedName>
    <definedName name="help" localSheetId="13" hidden="1">'[5]Time series'!#REF!</definedName>
    <definedName name="help" localSheetId="15" hidden="1">'[5]Time series'!#REF!</definedName>
    <definedName name="help" localSheetId="23" hidden="1">'[5]Time series'!#REF!</definedName>
    <definedName name="help" localSheetId="4" hidden="1">'[5]Time series'!#REF!</definedName>
    <definedName name="help" hidden="1">'[5]Time series'!#REF!</definedName>
    <definedName name="hgfd" localSheetId="3" hidden="1">{#N/A,#N/A,FALSE,"I";#N/A,#N/A,FALSE,"J";#N/A,#N/A,FALSE,"K";#N/A,#N/A,FALSE,"L";#N/A,#N/A,FALSE,"M";#N/A,#N/A,FALSE,"N";#N/A,#N/A,FALSE,"O"}</definedName>
    <definedName name="hgfd" localSheetId="13" hidden="1">{#N/A,#N/A,FALSE,"I";#N/A,#N/A,FALSE,"J";#N/A,#N/A,FALSE,"K";#N/A,#N/A,FALSE,"L";#N/A,#N/A,FALSE,"M";#N/A,#N/A,FALSE,"N";#N/A,#N/A,FALSE,"O"}</definedName>
    <definedName name="hgfd" localSheetId="15" hidden="1">{#N/A,#N/A,FALSE,"I";#N/A,#N/A,FALSE,"J";#N/A,#N/A,FALSE,"K";#N/A,#N/A,FALSE,"L";#N/A,#N/A,FALSE,"M";#N/A,#N/A,FALSE,"N";#N/A,#N/A,FALSE,"O"}</definedName>
    <definedName name="hgfd" localSheetId="23" hidden="1">{#N/A,#N/A,FALSE,"I";#N/A,#N/A,FALSE,"J";#N/A,#N/A,FALSE,"K";#N/A,#N/A,FALSE,"L";#N/A,#N/A,FALSE,"M";#N/A,#N/A,FALSE,"N";#N/A,#N/A,FALSE,"O"}</definedName>
    <definedName name="hgfd" localSheetId="4" hidden="1">{#N/A,#N/A,FALSE,"I";#N/A,#N/A,FALSE,"J";#N/A,#N/A,FALSE,"K";#N/A,#N/A,FALSE,"L";#N/A,#N/A,FALSE,"M";#N/A,#N/A,FALSE,"N";#N/A,#N/A,FALSE,"O"}</definedName>
    <definedName name="hgfd" localSheetId="26" hidden="1">{#N/A,#N/A,FALSE,"I";#N/A,#N/A,FALSE,"J";#N/A,#N/A,FALSE,"K";#N/A,#N/A,FALSE,"L";#N/A,#N/A,FALSE,"M";#N/A,#N/A,FALSE,"N";#N/A,#N/A,FALSE,"O"}</definedName>
    <definedName name="hgfd" localSheetId="27" hidden="1">{#N/A,#N/A,FALSE,"I";#N/A,#N/A,FALSE,"J";#N/A,#N/A,FALSE,"K";#N/A,#N/A,FALSE,"L";#N/A,#N/A,FALSE,"M";#N/A,#N/A,FALSE,"N";#N/A,#N/A,FALSE,"O"}</definedName>
    <definedName name="hgfd" localSheetId="32" hidden="1">{#N/A,#N/A,FALSE,"I";#N/A,#N/A,FALSE,"J";#N/A,#N/A,FALSE,"K";#N/A,#N/A,FALSE,"L";#N/A,#N/A,FALSE,"M";#N/A,#N/A,FALSE,"N";#N/A,#N/A,FALSE,"O"}</definedName>
    <definedName name="hgfd" localSheetId="6" hidden="1">{#N/A,#N/A,FALSE,"I";#N/A,#N/A,FALSE,"J";#N/A,#N/A,FALSE,"K";#N/A,#N/A,FALSE,"L";#N/A,#N/A,FALSE,"M";#N/A,#N/A,FALSE,"N";#N/A,#N/A,FALSE,"O"}</definedName>
    <definedName name="hgfd" hidden="1">{#N/A,#N/A,FALSE,"I";#N/A,#N/A,FALSE,"J";#N/A,#N/A,FALSE,"K";#N/A,#N/A,FALSE,"L";#N/A,#N/A,FALSE,"M";#N/A,#N/A,FALSE,"N";#N/A,#N/A,FALSE,"O"}</definedName>
    <definedName name="hhh" localSheetId="3" hidden="1">'[62]J(Priv.Cap)'!#REF!</definedName>
    <definedName name="hhh" localSheetId="13" hidden="1">'[62]J(Priv.Cap)'!#REF!</definedName>
    <definedName name="hhh" localSheetId="15" hidden="1">'[62]J(Priv.Cap)'!#REF!</definedName>
    <definedName name="hhh" localSheetId="4" hidden="1">'[62]J(Priv.Cap)'!#REF!</definedName>
    <definedName name="hhh" hidden="1">'[62]J(Priv.Cap)'!#REF!</definedName>
    <definedName name="hhhhhhh">[24]!hhhhhhh</definedName>
    <definedName name="hjjh" localSheetId="3" hidden="1">'[5]Time series'!#REF!</definedName>
    <definedName name="hjjh" localSheetId="13" hidden="1">'[5]Time series'!#REF!</definedName>
    <definedName name="hjjh" localSheetId="15" hidden="1">'[5]Time series'!#REF!</definedName>
    <definedName name="hjjh" localSheetId="4" hidden="1">'[5]Time series'!#REF!</definedName>
    <definedName name="hjjh" hidden="1">'[5]Time series'!#REF!</definedName>
    <definedName name="HTML_CodePage" hidden="1">1252</definedName>
    <definedName name="HTML_Control" localSheetId="3" hidden="1">{"'Resources'!$A$1:$W$34","'Balance Sheet'!$A$1:$W$58","'SFD'!$A$1:$J$52"}</definedName>
    <definedName name="HTML_Control" localSheetId="13" hidden="1">{"'Resources'!$A$1:$W$34","'Balance Sheet'!$A$1:$W$58","'SFD'!$A$1:$J$52"}</definedName>
    <definedName name="HTML_Control" localSheetId="15" hidden="1">{"'Resources'!$A$1:$W$34","'Balance Sheet'!$A$1:$W$58","'SFD'!$A$1:$J$52"}</definedName>
    <definedName name="HTML_Control" localSheetId="23" hidden="1">{"'Resources'!$A$1:$W$34","'Balance Sheet'!$A$1:$W$58","'SFD'!$A$1:$J$52"}</definedName>
    <definedName name="HTML_Control" localSheetId="4" hidden="1">{"'Resources'!$A$1:$W$34","'Balance Sheet'!$A$1:$W$58","'SFD'!$A$1:$J$52"}</definedName>
    <definedName name="HTML_Control" localSheetId="26" hidden="1">{"'Resources'!$A$1:$W$34","'Balance Sheet'!$A$1:$W$58","'SFD'!$A$1:$J$52"}</definedName>
    <definedName name="HTML_Control" localSheetId="27" hidden="1">{"'Resources'!$A$1:$W$34","'Balance Sheet'!$A$1:$W$58","'SFD'!$A$1:$J$52"}</definedName>
    <definedName name="HTML_Control" localSheetId="32" hidden="1">{"'Resources'!$A$1:$W$34","'Balance Sheet'!$A$1:$W$58","'SFD'!$A$1:$J$52"}</definedName>
    <definedName name="HTML_Control" localSheetId="6"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 localSheetId="13">#REF!</definedName>
    <definedName name="CHART" localSheetId="15">#REF!</definedName>
    <definedName name="CHART" localSheetId="23">#REF!</definedName>
    <definedName name="CHART">#REF!</definedName>
    <definedName name="chart4" localSheetId="3" hidden="1">{#N/A,#N/A,FALSE,"CB";#N/A,#N/A,FALSE,"CMB";#N/A,#N/A,FALSE,"NBFI"}</definedName>
    <definedName name="chart4" localSheetId="13" hidden="1">{#N/A,#N/A,FALSE,"CB";#N/A,#N/A,FALSE,"CMB";#N/A,#N/A,FALSE,"NBFI"}</definedName>
    <definedName name="chart4" localSheetId="15" hidden="1">{#N/A,#N/A,FALSE,"CB";#N/A,#N/A,FALSE,"CMB";#N/A,#N/A,FALSE,"NBFI"}</definedName>
    <definedName name="chart4" localSheetId="23" hidden="1">{#N/A,#N/A,FALSE,"CB";#N/A,#N/A,FALSE,"CMB";#N/A,#N/A,FALSE,"NBFI"}</definedName>
    <definedName name="chart4" localSheetId="4" hidden="1">{#N/A,#N/A,FALSE,"CB";#N/A,#N/A,FALSE,"CMB";#N/A,#N/A,FALSE,"NBFI"}</definedName>
    <definedName name="chart4" localSheetId="26" hidden="1">{#N/A,#N/A,FALSE,"CB";#N/A,#N/A,FALSE,"CMB";#N/A,#N/A,FALSE,"NBFI"}</definedName>
    <definedName name="chart4" localSheetId="27" hidden="1">{#N/A,#N/A,FALSE,"CB";#N/A,#N/A,FALSE,"CMB";#N/A,#N/A,FALSE,"NBFI"}</definedName>
    <definedName name="chart4" localSheetId="32" hidden="1">{#N/A,#N/A,FALSE,"CB";#N/A,#N/A,FALSE,"CMB";#N/A,#N/A,FALSE,"NBFI"}</definedName>
    <definedName name="chart4" localSheetId="6" hidden="1">{#N/A,#N/A,FALSE,"CB";#N/A,#N/A,FALSE,"CMB";#N/A,#N/A,FALSE,"NBFI"}</definedName>
    <definedName name="chart4" hidden="1">{#N/A,#N/A,FALSE,"CB";#N/A,#N/A,FALSE,"CMB";#N/A,#N/A,FALSE,"NBFI"}</definedName>
    <definedName name="CHILE" localSheetId="13">#REF!</definedName>
    <definedName name="CHILE" localSheetId="15">#REF!</definedName>
    <definedName name="CHILE" localSheetId="23">#REF!</definedName>
    <definedName name="CHILE">#REF!</definedName>
    <definedName name="CHK" localSheetId="13">#REF!</definedName>
    <definedName name="CHK" localSheetId="15">#REF!</definedName>
    <definedName name="CHK" localSheetId="23">#REF!</definedName>
    <definedName name="CHK">#REF!</definedName>
    <definedName name="i" localSheetId="13">#REF!</definedName>
    <definedName name="i" localSheetId="15">#REF!</definedName>
    <definedName name="i" localSheetId="23">#REF!</definedName>
    <definedName name="i">#REF!</definedName>
    <definedName name="IESS" localSheetId="13">#REF!</definedName>
    <definedName name="IESS" localSheetId="15">#REF!</definedName>
    <definedName name="IESS" localSheetId="23">#REF!</definedName>
    <definedName name="IESS">#REF!</definedName>
    <definedName name="ii" localSheetId="3" hidden="1">{"Tab1",#N/A,FALSE,"P";"Tab2",#N/A,FALSE,"P"}</definedName>
    <definedName name="ii" localSheetId="13" hidden="1">{"Tab1",#N/A,FALSE,"P";"Tab2",#N/A,FALSE,"P"}</definedName>
    <definedName name="ii" localSheetId="15" hidden="1">{"Tab1",#N/A,FALSE,"P";"Tab2",#N/A,FALSE,"P"}</definedName>
    <definedName name="ii" localSheetId="16" hidden="1">{"Tab1",#N/A,FALSE,"P";"Tab2",#N/A,FALSE,"P"}</definedName>
    <definedName name="ii" localSheetId="18" hidden="1">{"Tab1",#N/A,FALSE,"P";"Tab2",#N/A,FALSE,"P"}</definedName>
    <definedName name="ii" localSheetId="23" hidden="1">{"Tab1",#N/A,FALSE,"P";"Tab2",#N/A,FALSE,"P"}</definedName>
    <definedName name="ii" localSheetId="4" hidden="1">{"Tab1",#N/A,FALSE,"P";"Tab2",#N/A,FALSE,"P"}</definedName>
    <definedName name="ii" localSheetId="26" hidden="1">{"Tab1",#N/A,FALSE,"P";"Tab2",#N/A,FALSE,"P"}</definedName>
    <definedName name="ii" localSheetId="27" hidden="1">{"Tab1",#N/A,FALSE,"P";"Tab2",#N/A,FALSE,"P"}</definedName>
    <definedName name="ii" localSheetId="32" hidden="1">{"Tab1",#N/A,FALSE,"P";"Tab2",#N/A,FALSE,"P"}</definedName>
    <definedName name="ii" localSheetId="6" hidden="1">{"Tab1",#N/A,FALSE,"P";"Tab2",#N/A,FALSE,"P"}</definedName>
    <definedName name="ii" localSheetId="1" hidden="1">{"Tab1",#N/A,FALSE,"P";"Tab2",#N/A,FALSE,"P"}</definedName>
    <definedName name="ii" hidden="1">{"Tab1",#N/A,FALSE,"P";"Tab2",#N/A,FALSE,"P"}</definedName>
    <definedName name="II_pilier_2" localSheetId="13">[31]Graf14_Graf15!#REF!</definedName>
    <definedName name="II_pilier_2" localSheetId="15">[31]Graf14_Graf15!#REF!</definedName>
    <definedName name="II_pilier_2">[31]Graf14_Graf15!#REF!</definedName>
    <definedName name="II_pillar_figure" localSheetId="13">[31]Graf14_Graf15!#REF!</definedName>
    <definedName name="II_pillar_figure" localSheetId="15">[31]Graf14_Graf15!#REF!</definedName>
    <definedName name="II_pillar_figure">[31]Graf14_Graf15!#REF!</definedName>
    <definedName name="ima" localSheetId="13">#REF!</definedName>
    <definedName name="ima" localSheetId="15">#REF!</definedName>
    <definedName name="ima" localSheetId="23">#REF!</definedName>
    <definedName name="ima">#REF!</definedName>
    <definedName name="IMPn_2" localSheetId="13">[60]makro!$C$17</definedName>
    <definedName name="IMPn_2" localSheetId="16">[59]makro!$C$17</definedName>
    <definedName name="IMPn_2" localSheetId="18">[59]makro!$C$17</definedName>
    <definedName name="IMPn_2" localSheetId="23">[61]makro!$C$17</definedName>
    <definedName name="IMPn_2">[61]makro!$C$17</definedName>
    <definedName name="IMPn_2n" localSheetId="13">[60]makro!$C$39</definedName>
    <definedName name="IMPn_2n" localSheetId="16">[59]makro!$C$39</definedName>
    <definedName name="IMPn_2n" localSheetId="18">[59]makro!$C$39</definedName>
    <definedName name="IMPn_2n" localSheetId="23">[61]makro!$C$39</definedName>
    <definedName name="IMPn_2n">[61]makro!$C$39</definedName>
    <definedName name="IMPn_3" localSheetId="13">[60]makro!$D$17</definedName>
    <definedName name="IMPn_3" localSheetId="16">[59]makro!$D$17</definedName>
    <definedName name="IMPn_3" localSheetId="18">[59]makro!$D$17</definedName>
    <definedName name="IMPn_3" localSheetId="23">[61]makro!$D$17</definedName>
    <definedName name="IMPn_3">[61]makro!$D$17</definedName>
    <definedName name="IMPn_3n" localSheetId="13">[60]makro!$D$39</definedName>
    <definedName name="IMPn_3n" localSheetId="16">[59]makro!$D$39</definedName>
    <definedName name="IMPn_3n" localSheetId="18">[59]makro!$D$39</definedName>
    <definedName name="IMPn_3n" localSheetId="23">[61]makro!$D$39</definedName>
    <definedName name="IMPn_3n">[61]makro!$D$39</definedName>
    <definedName name="IMPn_4" localSheetId="13">[60]makro!$E$17</definedName>
    <definedName name="IMPn_4" localSheetId="16">[59]makro!$E$17</definedName>
    <definedName name="IMPn_4" localSheetId="18">[59]makro!$E$17</definedName>
    <definedName name="IMPn_4" localSheetId="23">[61]makro!$E$17</definedName>
    <definedName name="IMPn_4">[61]makro!$E$17</definedName>
    <definedName name="IMPn_4n" localSheetId="13">[60]makro!$E$39</definedName>
    <definedName name="IMPn_4n" localSheetId="16">[59]makro!$E$39</definedName>
    <definedName name="IMPn_4n" localSheetId="18">[59]makro!$E$39</definedName>
    <definedName name="IMPn_4n" localSheetId="23">[61]makro!$E$39</definedName>
    <definedName name="IMPn_4n">[61]makro!$E$39</definedName>
    <definedName name="IMPn_5" localSheetId="13">[60]makro!$F$17</definedName>
    <definedName name="IMPn_5" localSheetId="16">[59]makro!$F$17</definedName>
    <definedName name="IMPn_5" localSheetId="18">[59]makro!$F$17</definedName>
    <definedName name="IMPn_5" localSheetId="23">[61]makro!$F$17</definedName>
    <definedName name="IMPn_5">[61]makro!$F$17</definedName>
    <definedName name="IMPn_5n" localSheetId="13">[60]makro!$F$39</definedName>
    <definedName name="IMPn_5n" localSheetId="16">[59]makro!$F$39</definedName>
    <definedName name="IMPn_5n" localSheetId="18">[59]makro!$F$39</definedName>
    <definedName name="IMPn_5n" localSheetId="23">[61]makro!$F$39</definedName>
    <definedName name="IMPn_5n">[61]makro!$F$39</definedName>
    <definedName name="IMPn_6" localSheetId="13">[60]makro!$G$17</definedName>
    <definedName name="IMPn_6" localSheetId="16">[59]makro!$G$17</definedName>
    <definedName name="IMPn_6" localSheetId="18">[59]makro!$G$17</definedName>
    <definedName name="IMPn_6" localSheetId="23">[61]makro!$G$17</definedName>
    <definedName name="IMPn_6">[61]makro!$G$17</definedName>
    <definedName name="IMPn_6n" localSheetId="13">[60]makro!$G$39</definedName>
    <definedName name="IMPn_6n" localSheetId="16">[59]makro!$G$39</definedName>
    <definedName name="IMPn_6n" localSheetId="18">[59]makro!$G$39</definedName>
    <definedName name="IMPn_6n" localSheetId="23">[61]makro!$G$39</definedName>
    <definedName name="IMPn_6n">[61]makro!$G$39</definedName>
    <definedName name="IN1_" localSheetId="13">#REF!</definedName>
    <definedName name="IN1_" localSheetId="15">#REF!</definedName>
    <definedName name="IN1_" localSheetId="23">#REF!</definedName>
    <definedName name="IN1_">#REF!</definedName>
    <definedName name="IN2_" localSheetId="13">#REF!</definedName>
    <definedName name="IN2_" localSheetId="15">#REF!</definedName>
    <definedName name="IN2_" localSheetId="23">#REF!</definedName>
    <definedName name="IN2_">#REF!</definedName>
    <definedName name="INB">[33]B!$K$6:$T$6</definedName>
    <definedName name="INC">[33]C!$H$6:$I$6</definedName>
    <definedName name="ind" localSheetId="13">#REF!</definedName>
    <definedName name="ind" localSheetId="15">#REF!</definedName>
    <definedName name="ind" localSheetId="23">#REF!</definedName>
    <definedName name="ind">#REF!</definedName>
    <definedName name="INDGRAPH">#REF!</definedName>
    <definedName name="INDTABLE">#REF!</definedName>
    <definedName name="INDUSTRY">#REF!</definedName>
    <definedName name="INECEL" localSheetId="13">#REF!</definedName>
    <definedName name="INECEL" localSheetId="15">#REF!</definedName>
    <definedName name="INECEL" localSheetId="23">#REF!</definedName>
    <definedName name="INECEL">#REF!</definedName>
    <definedName name="inflation" localSheetId="3" hidden="1">[63]TAB34!#REF!</definedName>
    <definedName name="inflation" localSheetId="13" hidden="1">[63]TAB34!#REF!</definedName>
    <definedName name="inflation" localSheetId="15" hidden="1">[63]TAB34!#REF!</definedName>
    <definedName name="inflation" localSheetId="16" hidden="1">[64]TAB34!#REF!</definedName>
    <definedName name="inflation" localSheetId="18" hidden="1">[64]TAB34!#REF!</definedName>
    <definedName name="inflation" localSheetId="23" hidden="1">[63]TAB34!#REF!</definedName>
    <definedName name="inflation" localSheetId="4" hidden="1">[63]TAB34!#REF!</definedName>
    <definedName name="inflation" hidden="1">[63]TAB34!#REF!</definedName>
    <definedName name="INPUT_2" localSheetId="13">[1]Input!#REF!</definedName>
    <definedName name="INPUT_2" localSheetId="14">[1]Input!#REF!</definedName>
    <definedName name="INPUT_2" localSheetId="15">[1]Input!#REF!</definedName>
    <definedName name="INPUT_2" localSheetId="23">[1]Input!#REF!</definedName>
    <definedName name="INPUT_2">[1]Input!#REF!</definedName>
    <definedName name="INPUT_4" localSheetId="13">[1]Input!#REF!</definedName>
    <definedName name="INPUT_4" localSheetId="14">[1]Input!#REF!</definedName>
    <definedName name="INPUT_4" localSheetId="15">[1]Input!#REF!</definedName>
    <definedName name="INPUT_4">[1]Input!#REF!</definedName>
    <definedName name="IPee_2" localSheetId="13">[31]Graf14_Graf15!#REF!</definedName>
    <definedName name="IPee_2" localSheetId="14">[31]Graf14_Graf15!#REF!</definedName>
    <definedName name="IPee_2" localSheetId="15">[31]Graf14_Graf15!#REF!</definedName>
    <definedName name="IPee_2">[31]Graf14_Graf15!#REF!</definedName>
    <definedName name="IPer_2" localSheetId="13">[31]Graf14_Graf15!#REF!</definedName>
    <definedName name="IPer_2" localSheetId="15">[31]Graf14_Graf15!#REF!</definedName>
    <definedName name="IPer_2">[31]Graf14_Graf15!#REF!</definedName>
    <definedName name="IPROD">#REF!</definedName>
    <definedName name="IT" localSheetId="13">[31]Graf14_Graf15!#REF!</definedName>
    <definedName name="IT" localSheetId="15">[31]Graf14_Graf15!#REF!</definedName>
    <definedName name="IT">[31]Graf14_Graf15!#REF!</definedName>
    <definedName name="IT_2" localSheetId="13">[31]Graf14_Graf15!#REF!</definedName>
    <definedName name="IT_2" localSheetId="15">[31]Graf14_Graf15!#REF!</definedName>
    <definedName name="IT_2">[31]Graf14_Graf15!#REF!</definedName>
    <definedName name="IT_2_bracket_2" localSheetId="13">[31]Graf14_Graf15!#REF!</definedName>
    <definedName name="IT_2_bracket_2" localSheetId="15">[31]Graf14_Graf15!#REF!</definedName>
    <definedName name="IT_2_bracket_2">[31]Graf14_Graf15!#REF!</definedName>
    <definedName name="jhgf" localSheetId="3" hidden="1">{"MONA",#N/A,FALSE,"S"}</definedName>
    <definedName name="jhgf" localSheetId="13" hidden="1">{"MONA",#N/A,FALSE,"S"}</definedName>
    <definedName name="jhgf" localSheetId="15" hidden="1">{"MONA",#N/A,FALSE,"S"}</definedName>
    <definedName name="jhgf" localSheetId="23" hidden="1">{"MONA",#N/A,FALSE,"S"}</definedName>
    <definedName name="jhgf" localSheetId="4" hidden="1">{"MONA",#N/A,FALSE,"S"}</definedName>
    <definedName name="jhgf" localSheetId="26" hidden="1">{"MONA",#N/A,FALSE,"S"}</definedName>
    <definedName name="jhgf" localSheetId="27" hidden="1">{"MONA",#N/A,FALSE,"S"}</definedName>
    <definedName name="jhgf" localSheetId="32" hidden="1">{"MONA",#N/A,FALSE,"S"}</definedName>
    <definedName name="jhgf" localSheetId="6" hidden="1">{"MONA",#N/A,FALSE,"S"}</definedName>
    <definedName name="jhgf" hidden="1">{"MONA",#N/A,FALSE,"S"}</definedName>
    <definedName name="jhhhg" localSheetId="3" hidden="1">'[5]Time series'!#REF!</definedName>
    <definedName name="jhhhg" localSheetId="13" hidden="1">'[5]Time series'!#REF!</definedName>
    <definedName name="jhhhg" localSheetId="15" hidden="1">'[5]Time series'!#REF!</definedName>
    <definedName name="jhhhg" localSheetId="4" hidden="1">'[5]Time series'!#REF!</definedName>
    <definedName name="jhhhg" hidden="1">'[5]Time series'!#REF!</definedName>
    <definedName name="jj" localSheetId="3" hidden="1">{"Riqfin97",#N/A,FALSE,"Tran";"Riqfinpro",#N/A,FALSE,"Tran"}</definedName>
    <definedName name="jj" localSheetId="13" hidden="1">{"Riqfin97",#N/A,FALSE,"Tran";"Riqfinpro",#N/A,FALSE,"Tran"}</definedName>
    <definedName name="jj" localSheetId="15" hidden="1">{"Riqfin97",#N/A,FALSE,"Tran";"Riqfinpro",#N/A,FALSE,"Tran"}</definedName>
    <definedName name="jj" localSheetId="16" hidden="1">{"Riqfin97",#N/A,FALSE,"Tran";"Riqfinpro",#N/A,FALSE,"Tran"}</definedName>
    <definedName name="jj" localSheetId="18" hidden="1">{"Riqfin97",#N/A,FALSE,"Tran";"Riqfinpro",#N/A,FALSE,"Tran"}</definedName>
    <definedName name="jj" localSheetId="23" hidden="1">{"Riqfin97",#N/A,FALSE,"Tran";"Riqfinpro",#N/A,FALSE,"Tran"}</definedName>
    <definedName name="jj" localSheetId="4" hidden="1">{"Riqfin97",#N/A,FALSE,"Tran";"Riqfinpro",#N/A,FALSE,"Tran"}</definedName>
    <definedName name="jj" localSheetId="26" hidden="1">{"Riqfin97",#N/A,FALSE,"Tran";"Riqfinpro",#N/A,FALSE,"Tran"}</definedName>
    <definedName name="jj" localSheetId="27" hidden="1">{"Riqfin97",#N/A,FALSE,"Tran";"Riqfinpro",#N/A,FALSE,"Tran"}</definedName>
    <definedName name="jj" localSheetId="32" hidden="1">{"Riqfin97",#N/A,FALSE,"Tran";"Riqfinpro",#N/A,FALSE,"Tran"}</definedName>
    <definedName name="jj" localSheetId="6" hidden="1">{"Riqfin97",#N/A,FALSE,"Tran";"Riqfinpro",#N/A,FALSE,"Tran"}</definedName>
    <definedName name="jj" localSheetId="1" hidden="1">{"Riqfin97",#N/A,FALSE,"Tran";"Riqfinpro",#N/A,FALSE,"Tran"}</definedName>
    <definedName name="jj" hidden="1">{"Riqfin97",#N/A,FALSE,"Tran";"Riqfinpro",#N/A,FALSE,"Tran"}</definedName>
    <definedName name="jjj" localSheetId="3" hidden="1">[65]M!#REF!</definedName>
    <definedName name="jjj" localSheetId="13" hidden="1">[65]M!#REF!</definedName>
    <definedName name="jjj" localSheetId="15" hidden="1">[65]M!#REF!</definedName>
    <definedName name="jjj" localSheetId="4" hidden="1">[65]M!#REF!</definedName>
    <definedName name="jjj" hidden="1">[65]M!#REF!</definedName>
    <definedName name="jjjjjj" localSheetId="3" hidden="1">'[54]J(Priv.Cap)'!#REF!</definedName>
    <definedName name="jjjjjj" localSheetId="13" hidden="1">'[54]J(Priv.Cap)'!#REF!</definedName>
    <definedName name="jjjjjj" localSheetId="15" hidden="1">'[54]J(Priv.Cap)'!#REF!</definedName>
    <definedName name="jjjjjj" localSheetId="4" hidden="1">'[54]J(Priv.Cap)'!#REF!</definedName>
    <definedName name="jjjjjj" hidden="1">'[54]J(Priv.Cap)'!#REF!</definedName>
    <definedName name="kapr16" localSheetId="13">[66]splatnosti!#REF!</definedName>
    <definedName name="kapr16">[66]splatnosti!#REF!</definedName>
    <definedName name="kapr17" localSheetId="13">[66]splatnosti!#REF!</definedName>
    <definedName name="kapr17">[66]splatnosti!#REF!</definedName>
    <definedName name="kapr18" localSheetId="13">[67]Ardal_splatnosti!#REF!</definedName>
    <definedName name="kapr18">[68]Ardal_splatnosti!#REF!</definedName>
    <definedName name="kapr19" localSheetId="13">[67]Ardal_splatnosti!#REF!</definedName>
    <definedName name="kapr19">[68]Ardal_splatnosti!#REF!</definedName>
    <definedName name="kapr20" localSheetId="13">[67]Ardal_splatnosti!#REF!</definedName>
    <definedName name="kapr20">[68]Ardal_splatnosti!#REF!</definedName>
    <definedName name="kapr21" localSheetId="13">[67]Ardal_splatnosti!#REF!</definedName>
    <definedName name="kapr21">[68]Ardal_splatnosti!#REF!</definedName>
    <definedName name="kaug16" localSheetId="13">[66]splatnosti!#REF!</definedName>
    <definedName name="kaug16">[66]splatnosti!#REF!</definedName>
    <definedName name="kaug17" localSheetId="13">[66]splatnosti!#REF!</definedName>
    <definedName name="kaug17">[66]splatnosti!#REF!</definedName>
    <definedName name="kaug18" localSheetId="13">[67]Ardal_splatnosti!#REF!</definedName>
    <definedName name="kaug18">[68]Ardal_splatnosti!#REF!</definedName>
    <definedName name="kaug19" localSheetId="13">[67]Ardal_splatnosti!#REF!</definedName>
    <definedName name="kaug19">[68]Ardal_splatnosti!#REF!</definedName>
    <definedName name="kaug20" localSheetId="13">[67]Ardal_splatnosti!#REF!</definedName>
    <definedName name="kaug20">[68]Ardal_splatnosti!#REF!</definedName>
    <definedName name="kaug21" localSheetId="13">[67]Ardal_splatnosti!#REF!</definedName>
    <definedName name="kaug21">[68]Ardal_splatnosti!#REF!</definedName>
    <definedName name="kdec16" localSheetId="13">[66]splatnosti!#REF!</definedName>
    <definedName name="kdec16">[66]splatnosti!#REF!</definedName>
    <definedName name="kdec17" localSheetId="13">[66]splatnosti!#REF!</definedName>
    <definedName name="kdec17">[66]splatnosti!#REF!</definedName>
    <definedName name="kdec18" localSheetId="13">[67]Ardal_splatnosti!#REF!</definedName>
    <definedName name="kdec18">[68]Ardal_splatnosti!#REF!</definedName>
    <definedName name="kdec19" localSheetId="13">[67]Ardal_splatnosti!#REF!</definedName>
    <definedName name="kdec19">[68]Ardal_splatnosti!#REF!</definedName>
    <definedName name="kdec20" localSheetId="13">[67]Ardal_splatnosti!#REF!</definedName>
    <definedName name="kdec20">[68]Ardal_splatnosti!#REF!</definedName>
    <definedName name="kdec21" localSheetId="13">[67]Ardal_splatnosti!#REF!</definedName>
    <definedName name="kdec21">[68]Ardal_splatnosti!#REF!</definedName>
    <definedName name="kfeb16" localSheetId="13">[66]splatnosti!#REF!</definedName>
    <definedName name="kfeb16">[66]splatnosti!#REF!</definedName>
    <definedName name="kfeb17" localSheetId="13">[66]splatnosti!#REF!</definedName>
    <definedName name="kfeb17">[66]splatnosti!#REF!</definedName>
    <definedName name="kfeb18" localSheetId="13">[67]Ardal_splatnosti!#REF!</definedName>
    <definedName name="kfeb18">[68]Ardal_splatnosti!#REF!</definedName>
    <definedName name="kfeb19" localSheetId="13">[67]Ardal_splatnosti!#REF!</definedName>
    <definedName name="kfeb19">[68]Ardal_splatnosti!#REF!</definedName>
    <definedName name="kfeb20" localSheetId="13">[67]Ardal_splatnosti!#REF!</definedName>
    <definedName name="kfeb20">[68]Ardal_splatnosti!#REF!</definedName>
    <definedName name="kfeb21" localSheetId="13">[67]Ardal_splatnosti!#REF!</definedName>
    <definedName name="kfeb21">[68]Ardal_splatnosti!#REF!</definedName>
    <definedName name="kjan19" localSheetId="13">[67]Ardal_splatnosti!#REF!</definedName>
    <definedName name="kjan19">[68]Ardal_splatnosti!#REF!</definedName>
    <definedName name="kjan20" localSheetId="13">[67]Ardal_splatnosti!#REF!</definedName>
    <definedName name="kjan20">[68]Ardal_splatnosti!#REF!</definedName>
    <definedName name="kjan21" localSheetId="13">[67]Ardal_splatnosti!#REF!</definedName>
    <definedName name="kjan21">[68]Ardal_splatnosti!#REF!</definedName>
    <definedName name="kjg" localSheetId="3" hidden="1">{#N/A,#N/A,FALSE,"SimInp1";#N/A,#N/A,FALSE,"SimInp2";#N/A,#N/A,FALSE,"SimOut1";#N/A,#N/A,FALSE,"SimOut2";#N/A,#N/A,FALSE,"SimOut3";#N/A,#N/A,FALSE,"SimOut4";#N/A,#N/A,FALSE,"SimOut5"}</definedName>
    <definedName name="kjg" localSheetId="13" hidden="1">{#N/A,#N/A,FALSE,"SimInp1";#N/A,#N/A,FALSE,"SimInp2";#N/A,#N/A,FALSE,"SimOut1";#N/A,#N/A,FALSE,"SimOut2";#N/A,#N/A,FALSE,"SimOut3";#N/A,#N/A,FALSE,"SimOut4";#N/A,#N/A,FALSE,"SimOut5"}</definedName>
    <definedName name="kjg" localSheetId="15" hidden="1">{#N/A,#N/A,FALSE,"SimInp1";#N/A,#N/A,FALSE,"SimInp2";#N/A,#N/A,FALSE,"SimOut1";#N/A,#N/A,FALSE,"SimOut2";#N/A,#N/A,FALSE,"SimOut3";#N/A,#N/A,FALSE,"SimOut4";#N/A,#N/A,FALSE,"SimOut5"}</definedName>
    <definedName name="kjg" localSheetId="2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26" hidden="1">{#N/A,#N/A,FALSE,"SimInp1";#N/A,#N/A,FALSE,"SimInp2";#N/A,#N/A,FALSE,"SimOut1";#N/A,#N/A,FALSE,"SimOut2";#N/A,#N/A,FALSE,"SimOut3";#N/A,#N/A,FALSE,"SimOut4";#N/A,#N/A,FALSE,"SimOut5"}</definedName>
    <definedName name="kjg" localSheetId="27" hidden="1">{#N/A,#N/A,FALSE,"SimInp1";#N/A,#N/A,FALSE,"SimInp2";#N/A,#N/A,FALSE,"SimOut1";#N/A,#N/A,FALSE,"SimOut2";#N/A,#N/A,FALSE,"SimOut3";#N/A,#N/A,FALSE,"SimOut4";#N/A,#N/A,FALSE,"SimOut5"}</definedName>
    <definedName name="kjg" localSheetId="32"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localSheetId="13" hidden="1">{"BOP_TAB",#N/A,FALSE,"N";"MIDTERM_TAB",#N/A,FALSE,"O";"FUND_CRED",#N/A,FALSE,"P";"DEBT_TAB1",#N/A,FALSE,"Q";"DEBT_TAB2",#N/A,FALSE,"Q";"FORFIN_TAB1",#N/A,FALSE,"R";"FORFIN_TAB2",#N/A,FALSE,"R";"BOP_ANALY",#N/A,FALSE,"U"}</definedName>
    <definedName name="kjhg" localSheetId="15" hidden="1">{"BOP_TAB",#N/A,FALSE,"N";"MIDTERM_TAB",#N/A,FALSE,"O";"FUND_CRED",#N/A,FALSE,"P";"DEBT_TAB1",#N/A,FALSE,"Q";"DEBT_TAB2",#N/A,FALSE,"Q";"FORFIN_TAB1",#N/A,FALSE,"R";"FORFIN_TAB2",#N/A,FALSE,"R";"BOP_ANALY",#N/A,FALSE,"U"}</definedName>
    <definedName name="kjhg" localSheetId="2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26" hidden="1">{"BOP_TAB",#N/A,FALSE,"N";"MIDTERM_TAB",#N/A,FALSE,"O";"FUND_CRED",#N/A,FALSE,"P";"DEBT_TAB1",#N/A,FALSE,"Q";"DEBT_TAB2",#N/A,FALSE,"Q";"FORFIN_TAB1",#N/A,FALSE,"R";"FORFIN_TAB2",#N/A,FALSE,"R";"BOP_ANALY",#N/A,FALSE,"U"}</definedName>
    <definedName name="kjhg" localSheetId="27" hidden="1">{"BOP_TAB",#N/A,FALSE,"N";"MIDTERM_TAB",#N/A,FALSE,"O";"FUND_CRED",#N/A,FALSE,"P";"DEBT_TAB1",#N/A,FALSE,"Q";"DEBT_TAB2",#N/A,FALSE,"Q";"FORFIN_TAB1",#N/A,FALSE,"R";"FORFIN_TAB2",#N/A,FALSE,"R";"BOP_ANALY",#N/A,FALSE,"U"}</definedName>
    <definedName name="kjhg" localSheetId="32"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ul16" localSheetId="13">[66]splatnosti!#REF!</definedName>
    <definedName name="kjul16">[66]splatnosti!#REF!</definedName>
    <definedName name="kjul17" localSheetId="13">[66]splatnosti!#REF!</definedName>
    <definedName name="kjul17">[66]splatnosti!#REF!</definedName>
    <definedName name="kjul18" localSheetId="13">[67]Ardal_splatnosti!#REF!</definedName>
    <definedName name="kjul18">[68]Ardal_splatnosti!#REF!</definedName>
    <definedName name="kjul19" localSheetId="13">[67]Ardal_splatnosti!#REF!</definedName>
    <definedName name="kjul19">[68]Ardal_splatnosti!#REF!</definedName>
    <definedName name="kjul20" localSheetId="13">[67]Ardal_splatnosti!#REF!</definedName>
    <definedName name="kjul20">[68]Ardal_splatnosti!#REF!</definedName>
    <definedName name="kjul21" localSheetId="13">[67]Ardal_splatnosti!#REF!</definedName>
    <definedName name="kjul21">[68]Ardal_splatnosti!#REF!</definedName>
    <definedName name="kjun16" localSheetId="13">[66]splatnosti!#REF!</definedName>
    <definedName name="kjun16">[66]splatnosti!#REF!</definedName>
    <definedName name="kjun17" localSheetId="13">[66]splatnosti!#REF!</definedName>
    <definedName name="kjun17">[66]splatnosti!#REF!</definedName>
    <definedName name="kjun18" localSheetId="13">[67]Ardal_splatnosti!#REF!</definedName>
    <definedName name="kjun18">[68]Ardal_splatnosti!#REF!</definedName>
    <definedName name="kjun19" localSheetId="13">[67]Ardal_splatnosti!#REF!</definedName>
    <definedName name="kjun19">[68]Ardal_splatnosti!#REF!</definedName>
    <definedName name="kjun20" localSheetId="13">[67]Ardal_splatnosti!#REF!</definedName>
    <definedName name="kjun20">[68]Ardal_splatnosti!#REF!</definedName>
    <definedName name="kjun21" localSheetId="13">[67]Ardal_splatnosti!#REF!</definedName>
    <definedName name="kjun21">[68]Ardal_splatnosti!#REF!</definedName>
    <definedName name="kk" localSheetId="3" hidden="1">{"Tab1",#N/A,FALSE,"P";"Tab2",#N/A,FALSE,"P"}</definedName>
    <definedName name="kk" localSheetId="13" hidden="1">{"Tab1",#N/A,FALSE,"P";"Tab2",#N/A,FALSE,"P"}</definedName>
    <definedName name="kk" localSheetId="15" hidden="1">{"Tab1",#N/A,FALSE,"P";"Tab2",#N/A,FALSE,"P"}</definedName>
    <definedName name="kk" localSheetId="16" hidden="1">{"Tab1",#N/A,FALSE,"P";"Tab2",#N/A,FALSE,"P"}</definedName>
    <definedName name="kk" localSheetId="18" hidden="1">{"Tab1",#N/A,FALSE,"P";"Tab2",#N/A,FALSE,"P"}</definedName>
    <definedName name="kk" localSheetId="23" hidden="1">{"Tab1",#N/A,FALSE,"P";"Tab2",#N/A,FALSE,"P"}</definedName>
    <definedName name="kk" localSheetId="4" hidden="1">{"Tab1",#N/A,FALSE,"P";"Tab2",#N/A,FALSE,"P"}</definedName>
    <definedName name="kk" localSheetId="26" hidden="1">{"Tab1",#N/A,FALSE,"P";"Tab2",#N/A,FALSE,"P"}</definedName>
    <definedName name="kk" localSheetId="27" hidden="1">{"Tab1",#N/A,FALSE,"P";"Tab2",#N/A,FALSE,"P"}</definedName>
    <definedName name="kk" localSheetId="32" hidden="1">{"Tab1",#N/A,FALSE,"P";"Tab2",#N/A,FALSE,"P"}</definedName>
    <definedName name="kk" localSheetId="6" hidden="1">{"Tab1",#N/A,FALSE,"P";"Tab2",#N/A,FALSE,"P"}</definedName>
    <definedName name="kk" localSheetId="1" hidden="1">{"Tab1",#N/A,FALSE,"P";"Tab2",#N/A,FALSE,"P"}</definedName>
    <definedName name="kk" hidden="1">{"Tab1",#N/A,FALSE,"P";"Tab2",#N/A,FALSE,"P"}</definedName>
    <definedName name="kkk" localSheetId="3" hidden="1">{"Tab1",#N/A,FALSE,"P";"Tab2",#N/A,FALSE,"P"}</definedName>
    <definedName name="kkk" localSheetId="13" hidden="1">{"Tab1",#N/A,FALSE,"P";"Tab2",#N/A,FALSE,"P"}</definedName>
    <definedName name="kkk" localSheetId="15" hidden="1">{"Tab1",#N/A,FALSE,"P";"Tab2",#N/A,FALSE,"P"}</definedName>
    <definedName name="kkk" localSheetId="16" hidden="1">{"Tab1",#N/A,FALSE,"P";"Tab2",#N/A,FALSE,"P"}</definedName>
    <definedName name="kkk" localSheetId="18" hidden="1">{"Tab1",#N/A,FALSE,"P";"Tab2",#N/A,FALSE,"P"}</definedName>
    <definedName name="kkk" localSheetId="23" hidden="1">{"Tab1",#N/A,FALSE,"P";"Tab2",#N/A,FALSE,"P"}</definedName>
    <definedName name="kkk" localSheetId="4" hidden="1">{"Tab1",#N/A,FALSE,"P";"Tab2",#N/A,FALSE,"P"}</definedName>
    <definedName name="kkk" localSheetId="26" hidden="1">{"Tab1",#N/A,FALSE,"P";"Tab2",#N/A,FALSE,"P"}</definedName>
    <definedName name="kkk" localSheetId="27" hidden="1">{"Tab1",#N/A,FALSE,"P";"Tab2",#N/A,FALSE,"P"}</definedName>
    <definedName name="kkk" localSheetId="32" hidden="1">{"Tab1",#N/A,FALSE,"P";"Tab2",#N/A,FALSE,"P"}</definedName>
    <definedName name="kkk" localSheetId="6" hidden="1">{"Tab1",#N/A,FALSE,"P";"Tab2",#N/A,FALSE,"P"}</definedName>
    <definedName name="kkk" localSheetId="1" hidden="1">{"Tab1",#N/A,FALSE,"P";"Tab2",#N/A,FALSE,"P"}</definedName>
    <definedName name="kkk" hidden="1">{"Tab1",#N/A,FALSE,"P";"Tab2",#N/A,FALSE,"P"}</definedName>
    <definedName name="kkkk" localSheetId="3" hidden="1">[47]M!#REF!</definedName>
    <definedName name="kkkk" localSheetId="13" hidden="1">[47]M!#REF!</definedName>
    <definedName name="kkkk" localSheetId="15" hidden="1">[47]M!#REF!</definedName>
    <definedName name="kkkk" localSheetId="4" hidden="1">[47]M!#REF!</definedName>
    <definedName name="kkkk" hidden="1">[47]M!#REF!</definedName>
    <definedName name="kmaj16" localSheetId="13">[66]splatnosti!#REF!</definedName>
    <definedName name="kmaj16">[66]splatnosti!#REF!</definedName>
    <definedName name="kmaj17" localSheetId="13">[66]splatnosti!#REF!</definedName>
    <definedName name="kmaj17">[66]splatnosti!#REF!</definedName>
    <definedName name="kmaj18" localSheetId="13">[67]Ardal_splatnosti!#REF!</definedName>
    <definedName name="kmaj18">[68]Ardal_splatnosti!#REF!</definedName>
    <definedName name="kmaj19" localSheetId="13">[67]Ardal_splatnosti!#REF!</definedName>
    <definedName name="kmaj19">[68]Ardal_splatnosti!#REF!</definedName>
    <definedName name="kmaj20" localSheetId="13">[67]Ardal_splatnosti!#REF!</definedName>
    <definedName name="kmaj20">[68]Ardal_splatnosti!#REF!</definedName>
    <definedName name="kmaj21" localSheetId="13">[67]Ardal_splatnosti!#REF!</definedName>
    <definedName name="kmaj21">[68]Ardal_splatnosti!#REF!</definedName>
    <definedName name="kmar16" localSheetId="13">[66]splatnosti!#REF!</definedName>
    <definedName name="kmar16">[66]splatnosti!#REF!</definedName>
    <definedName name="kmar17" localSheetId="13">[66]splatnosti!#REF!</definedName>
    <definedName name="kmar17">[66]splatnosti!#REF!</definedName>
    <definedName name="kmar18" localSheetId="13">[67]Ardal_splatnosti!#REF!</definedName>
    <definedName name="kmar18">[68]Ardal_splatnosti!#REF!</definedName>
    <definedName name="kmar19" localSheetId="13">[67]Ardal_splatnosti!#REF!</definedName>
    <definedName name="kmar19">[68]Ardal_splatnosti!#REF!</definedName>
    <definedName name="kmar20" localSheetId="13">[67]Ardal_splatnosti!#REF!</definedName>
    <definedName name="kmar20">[68]Ardal_splatnosti!#REF!</definedName>
    <definedName name="kmar21" localSheetId="13">[67]Ardal_splatnosti!#REF!</definedName>
    <definedName name="kmar21">[68]Ardal_splatnosti!#REF!</definedName>
    <definedName name="knov16" localSheetId="13">[66]splatnosti!#REF!</definedName>
    <definedName name="knov16">[66]splatnosti!#REF!</definedName>
    <definedName name="knov17" localSheetId="13">[66]splatnosti!#REF!</definedName>
    <definedName name="knov17">[66]splatnosti!#REF!</definedName>
    <definedName name="knov18" localSheetId="13">[67]Ardal_splatnosti!#REF!</definedName>
    <definedName name="knov18">[68]Ardal_splatnosti!#REF!</definedName>
    <definedName name="knov19" localSheetId="13">[67]Ardal_splatnosti!#REF!</definedName>
    <definedName name="knov19">[68]Ardal_splatnosti!#REF!</definedName>
    <definedName name="knov20" localSheetId="13">[67]Ardal_splatnosti!#REF!</definedName>
    <definedName name="knov20">[68]Ardal_splatnosti!#REF!</definedName>
    <definedName name="knov21" localSheetId="13">[67]Ardal_splatnosti!#REF!</definedName>
    <definedName name="knov21">[68]Ardal_splatnosti!#REF!</definedName>
    <definedName name="kokt16" localSheetId="13">[66]splatnosti!#REF!</definedName>
    <definedName name="kokt16">[66]splatnosti!#REF!</definedName>
    <definedName name="kokt17" localSheetId="13">[66]splatnosti!#REF!</definedName>
    <definedName name="kokt17">[66]splatnosti!#REF!</definedName>
    <definedName name="kokt18" localSheetId="13">[67]Ardal_splatnosti!#REF!</definedName>
    <definedName name="kokt18">[68]Ardal_splatnosti!#REF!</definedName>
    <definedName name="kokt19" localSheetId="13">[67]Ardal_splatnosti!#REF!</definedName>
    <definedName name="kokt19">[68]Ardal_splatnosti!#REF!</definedName>
    <definedName name="kokt20" localSheetId="13">[67]Ardal_splatnosti!#REF!</definedName>
    <definedName name="kokt20">[68]Ardal_splatnosti!#REF!</definedName>
    <definedName name="kokt21" localSheetId="13">[67]Ardal_splatnosti!#REF!</definedName>
    <definedName name="kokt21">[68]Ardal_splatnosti!#REF!</definedName>
    <definedName name="Konto" localSheetId="13">#REF!</definedName>
    <definedName name="Konto" localSheetId="15">#REF!</definedName>
    <definedName name="Konto" localSheetId="23">#REF!</definedName>
    <definedName name="Konto">#REF!</definedName>
    <definedName name="KSDn_2" localSheetId="13">[60]makro!$C$7</definedName>
    <definedName name="KSDn_2" localSheetId="16">[59]makro!$C$7</definedName>
    <definedName name="KSDn_2" localSheetId="18">[59]makro!$C$7</definedName>
    <definedName name="KSDn_2" localSheetId="23">[61]makro!$C$7</definedName>
    <definedName name="KSDn_2">[61]makro!$C$7</definedName>
    <definedName name="KSDn_2_up" localSheetId="13">[60]makro!$C$8</definedName>
    <definedName name="KSDn_2_up" localSheetId="16">[59]makro!$C$8</definedName>
    <definedName name="KSDn_2_up" localSheetId="18">[59]makro!$C$8</definedName>
    <definedName name="KSDn_2_up" localSheetId="23">[61]makro!$C$8</definedName>
    <definedName name="KSDn_2_up">[61]makro!$C$8</definedName>
    <definedName name="KSDn_2n" localSheetId="13">[60]makro!$C$29</definedName>
    <definedName name="KSDn_2n" localSheetId="16">[59]makro!$C$29</definedName>
    <definedName name="KSDn_2n" localSheetId="18">[59]makro!$C$29</definedName>
    <definedName name="KSDn_2n" localSheetId="23">[61]makro!$C$29</definedName>
    <definedName name="KSDn_2n">[61]makro!$C$29</definedName>
    <definedName name="KSDn_2n_up" localSheetId="13">[60]makro!$C$30</definedName>
    <definedName name="KSDn_2n_up" localSheetId="16">[59]makro!$C$30</definedName>
    <definedName name="KSDn_2n_up" localSheetId="18">[59]makro!$C$30</definedName>
    <definedName name="KSDn_2n_up" localSheetId="23">[61]makro!$C$30</definedName>
    <definedName name="KSDn_2n_up">[61]makro!$C$30</definedName>
    <definedName name="KSDn_3" localSheetId="13">[60]makro!$D$7</definedName>
    <definedName name="KSDn_3" localSheetId="16">[59]makro!$D$7</definedName>
    <definedName name="KSDn_3" localSheetId="18">[59]makro!$D$7</definedName>
    <definedName name="KSDn_3" localSheetId="23">[61]makro!$D$7</definedName>
    <definedName name="KSDn_3">[61]makro!$D$7</definedName>
    <definedName name="KSDn_3_up" localSheetId="13">[60]makro!$D$8</definedName>
    <definedName name="KSDn_3_up" localSheetId="16">[59]makro!$D$8</definedName>
    <definedName name="KSDn_3_up" localSheetId="18">[59]makro!$D$8</definedName>
    <definedName name="KSDn_3_up" localSheetId="23">[61]makro!$D$8</definedName>
    <definedName name="KSDn_3_up">[61]makro!$D$8</definedName>
    <definedName name="KSDn_3n" localSheetId="13">[60]makro!$D$29</definedName>
    <definedName name="KSDn_3n" localSheetId="16">[59]makro!$D$29</definedName>
    <definedName name="KSDn_3n" localSheetId="18">[59]makro!$D$29</definedName>
    <definedName name="KSDn_3n" localSheetId="23">[61]makro!$D$29</definedName>
    <definedName name="KSDn_3n">[61]makro!$D$29</definedName>
    <definedName name="KSDn_3n_up" localSheetId="13">[60]makro!$D$30</definedName>
    <definedName name="KSDn_3n_up" localSheetId="16">[59]makro!$D$30</definedName>
    <definedName name="KSDn_3n_up" localSheetId="18">[59]makro!$D$30</definedName>
    <definedName name="KSDn_3n_up" localSheetId="23">[61]makro!$D$30</definedName>
    <definedName name="KSDn_3n_up">[61]makro!$D$30</definedName>
    <definedName name="KSDn_4" localSheetId="13">[60]makro!$E$7</definedName>
    <definedName name="KSDn_4" localSheetId="16">[59]makro!$E$7</definedName>
    <definedName name="KSDn_4" localSheetId="18">[59]makro!$E$7</definedName>
    <definedName name="KSDn_4" localSheetId="23">[61]makro!$E$7</definedName>
    <definedName name="KSDn_4">[61]makro!$E$7</definedName>
    <definedName name="KSDn_4_up" localSheetId="13">[60]makro!$E$8</definedName>
    <definedName name="KSDn_4_up" localSheetId="16">[59]makro!$E$8</definedName>
    <definedName name="KSDn_4_up" localSheetId="18">[59]makro!$E$8</definedName>
    <definedName name="KSDn_4_up" localSheetId="23">[61]makro!$E$8</definedName>
    <definedName name="KSDn_4_up">[61]makro!$E$8</definedName>
    <definedName name="KSDn_4n" localSheetId="13">[60]makro!$E$29</definedName>
    <definedName name="KSDn_4n" localSheetId="16">[59]makro!$E$29</definedName>
    <definedName name="KSDn_4n" localSheetId="18">[59]makro!$E$29</definedName>
    <definedName name="KSDn_4n" localSheetId="23">[61]makro!$E$29</definedName>
    <definedName name="KSDn_4n">[61]makro!$E$29</definedName>
    <definedName name="KSDn_4n_up" localSheetId="13">[60]makro!$E$30</definedName>
    <definedName name="KSDn_4n_up" localSheetId="16">[59]makro!$E$30</definedName>
    <definedName name="KSDn_4n_up" localSheetId="18">[59]makro!$E$30</definedName>
    <definedName name="KSDn_4n_up" localSheetId="23">[61]makro!$E$30</definedName>
    <definedName name="KSDn_4n_up">[61]makro!$E$30</definedName>
    <definedName name="KSDn_5" localSheetId="13">[60]makro!$F$7</definedName>
    <definedName name="KSDn_5" localSheetId="16">[59]makro!$F$7</definedName>
    <definedName name="KSDn_5" localSheetId="18">[59]makro!$F$7</definedName>
    <definedName name="KSDn_5" localSheetId="23">[61]makro!$F$7</definedName>
    <definedName name="KSDn_5">[61]makro!$F$7</definedName>
    <definedName name="KSDn_5_up" localSheetId="13">[60]makro!$F$8</definedName>
    <definedName name="KSDn_5_up" localSheetId="16">[59]makro!$F$8</definedName>
    <definedName name="KSDn_5_up" localSheetId="18">[59]makro!$F$8</definedName>
    <definedName name="KSDn_5_up" localSheetId="23">[61]makro!$F$8</definedName>
    <definedName name="KSDn_5_up">[61]makro!$F$8</definedName>
    <definedName name="KSDn_5n" localSheetId="13">[60]makro!$F$29</definedName>
    <definedName name="KSDn_5n" localSheetId="16">[59]makro!$F$29</definedName>
    <definedName name="KSDn_5n" localSheetId="18">[59]makro!$F$29</definedName>
    <definedName name="KSDn_5n" localSheetId="23">[61]makro!$F$29</definedName>
    <definedName name="KSDn_5n">[61]makro!$F$29</definedName>
    <definedName name="KSDn_5n_up" localSheetId="13">[60]makro!$F$30</definedName>
    <definedName name="KSDn_5n_up" localSheetId="16">[59]makro!$F$30</definedName>
    <definedName name="KSDn_5n_up" localSheetId="18">[59]makro!$F$30</definedName>
    <definedName name="KSDn_5n_up" localSheetId="23">[61]makro!$F$30</definedName>
    <definedName name="KSDn_5n_up">[61]makro!$F$30</definedName>
    <definedName name="KSDn_6" localSheetId="13">[60]makro!$G$7</definedName>
    <definedName name="KSDn_6" localSheetId="16">[59]makro!$G$7</definedName>
    <definedName name="KSDn_6" localSheetId="18">[59]makro!$G$7</definedName>
    <definedName name="KSDn_6" localSheetId="23">[61]makro!$G$7</definedName>
    <definedName name="KSDn_6">[61]makro!$G$7</definedName>
    <definedName name="KSDn_6_up" localSheetId="13">[60]makro!$G$8</definedName>
    <definedName name="KSDn_6_up" localSheetId="16">[59]makro!$G$8</definedName>
    <definedName name="KSDn_6_up" localSheetId="18">[59]makro!$G$8</definedName>
    <definedName name="KSDn_6_up" localSheetId="23">[61]makro!$G$8</definedName>
    <definedName name="KSDn_6_up">[61]makro!$G$8</definedName>
    <definedName name="KSDn_6n" localSheetId="13">[60]makro!$G$29</definedName>
    <definedName name="KSDn_6n" localSheetId="16">[59]makro!$G$29</definedName>
    <definedName name="KSDn_6n" localSheetId="18">[59]makro!$G$29</definedName>
    <definedName name="KSDn_6n" localSheetId="23">[61]makro!$G$29</definedName>
    <definedName name="KSDn_6n">[61]makro!$G$29</definedName>
    <definedName name="KSDn_6n_up" localSheetId="13">[60]makro!$G$30</definedName>
    <definedName name="KSDn_6n_up" localSheetId="16">[59]makro!$G$30</definedName>
    <definedName name="KSDn_6n_up" localSheetId="18">[59]makro!$G$30</definedName>
    <definedName name="KSDn_6n_up" localSheetId="23">[61]makro!$G$30</definedName>
    <definedName name="KSDn_6n_up">[61]makro!$G$30</definedName>
    <definedName name="KSDr_2" localSheetId="13">[60]makro!$C$6</definedName>
    <definedName name="KSDr_2" localSheetId="16">[59]makro!$C$6</definedName>
    <definedName name="KSDr_2" localSheetId="18">[59]makro!$C$6</definedName>
    <definedName name="KSDr_2" localSheetId="23">[61]makro!$C$6</definedName>
    <definedName name="KSDr_2">[61]makro!$C$6</definedName>
    <definedName name="KSDr_2n" localSheetId="13">[60]makro!$C$28</definedName>
    <definedName name="KSDr_2n" localSheetId="16">[59]makro!$C$28</definedName>
    <definedName name="KSDr_2n" localSheetId="18">[59]makro!$C$28</definedName>
    <definedName name="KSDr_2n" localSheetId="23">[61]makro!$C$28</definedName>
    <definedName name="KSDr_2n">[61]makro!$C$28</definedName>
    <definedName name="KSDr_3" localSheetId="13">[60]makro!$D$6</definedName>
    <definedName name="KSDr_3" localSheetId="16">[59]makro!$D$6</definedName>
    <definedName name="KSDr_3" localSheetId="18">[59]makro!$D$6</definedName>
    <definedName name="KSDr_3" localSheetId="23">[61]makro!$D$6</definedName>
    <definedName name="KSDr_3">[61]makro!$D$6</definedName>
    <definedName name="KSDr_3n" localSheetId="13">[60]makro!$D$28</definedName>
    <definedName name="KSDr_3n" localSheetId="16">[59]makro!$D$28</definedName>
    <definedName name="KSDr_3n" localSheetId="18">[59]makro!$D$28</definedName>
    <definedName name="KSDr_3n" localSheetId="23">[61]makro!$D$28</definedName>
    <definedName name="KSDr_3n">[61]makro!$D$28</definedName>
    <definedName name="KSDr_4" localSheetId="13">[60]makro!$E$6</definedName>
    <definedName name="KSDr_4" localSheetId="16">[59]makro!$E$6</definedName>
    <definedName name="KSDr_4" localSheetId="18">[59]makro!$E$6</definedName>
    <definedName name="KSDr_4" localSheetId="23">[61]makro!$E$6</definedName>
    <definedName name="KSDr_4">[61]makro!$E$6</definedName>
    <definedName name="KSDr_4n" localSheetId="13">[60]makro!$E$28</definedName>
    <definedName name="KSDr_4n" localSheetId="16">[59]makro!$E$28</definedName>
    <definedName name="KSDr_4n" localSheetId="18">[59]makro!$E$28</definedName>
    <definedName name="KSDr_4n" localSheetId="23">[61]makro!$E$28</definedName>
    <definedName name="KSDr_4n">[61]makro!$E$28</definedName>
    <definedName name="KSDr_5" localSheetId="13">[60]makro!$F$6</definedName>
    <definedName name="KSDr_5" localSheetId="16">[59]makro!$F$6</definedName>
    <definedName name="KSDr_5" localSheetId="18">[59]makro!$F$6</definedName>
    <definedName name="KSDr_5" localSheetId="23">[61]makro!$F$6</definedName>
    <definedName name="KSDr_5">[61]makro!$F$6</definedName>
    <definedName name="KSDr_5n" localSheetId="13">[60]makro!$F$28</definedName>
    <definedName name="KSDr_5n" localSheetId="16">[59]makro!$F$28</definedName>
    <definedName name="KSDr_5n" localSheetId="18">[59]makro!$F$28</definedName>
    <definedName name="KSDr_5n" localSheetId="23">[61]makro!$F$28</definedName>
    <definedName name="KSDr_5n">[61]makro!$F$28</definedName>
    <definedName name="KSDr_6" localSheetId="13">[60]makro!$G$6</definedName>
    <definedName name="KSDr_6" localSheetId="16">[59]makro!$G$6</definedName>
    <definedName name="KSDr_6" localSheetId="18">[59]makro!$G$6</definedName>
    <definedName name="KSDr_6" localSheetId="23">[61]makro!$G$6</definedName>
    <definedName name="KSDr_6">[61]makro!$G$6</definedName>
    <definedName name="KSDr_6n" localSheetId="13">[60]makro!$G$28</definedName>
    <definedName name="KSDr_6n" localSheetId="16">[59]makro!$G$28</definedName>
    <definedName name="KSDr_6n" localSheetId="18">[59]makro!$G$28</definedName>
    <definedName name="KSDr_6n" localSheetId="23">[61]makro!$G$28</definedName>
    <definedName name="KSDr_6n">[61]makro!$G$28</definedName>
    <definedName name="ksep16" localSheetId="13">[66]splatnosti!#REF!</definedName>
    <definedName name="ksep16" localSheetId="15">[66]splatnosti!#REF!</definedName>
    <definedName name="ksep16">[66]splatnosti!#REF!</definedName>
    <definedName name="ksep17" localSheetId="13">[66]splatnosti!#REF!</definedName>
    <definedName name="ksep17" localSheetId="15">[66]splatnosti!#REF!</definedName>
    <definedName name="ksep17">[66]splatnosti!#REF!</definedName>
    <definedName name="ksep18" localSheetId="13">[67]Ardal_splatnosti!#REF!</definedName>
    <definedName name="ksep18">[68]Ardal_splatnosti!#REF!</definedName>
    <definedName name="ksep19" localSheetId="13">[67]Ardal_splatnosti!#REF!</definedName>
    <definedName name="ksep19">[68]Ardal_splatnosti!#REF!</definedName>
    <definedName name="ksep20" localSheetId="13">[67]Ardal_splatnosti!#REF!</definedName>
    <definedName name="ksep20">[68]Ardal_splatnosti!#REF!</definedName>
    <definedName name="ksep21" localSheetId="13">[67]Ardal_splatnosti!#REF!</definedName>
    <definedName name="ksep21">[68]Ardal_splatnosti!#REF!</definedName>
    <definedName name="kumul1" localSheetId="13">#REF!</definedName>
    <definedName name="kumul1" localSheetId="15">#REF!</definedName>
    <definedName name="kumul1" localSheetId="23">#REF!</definedName>
    <definedName name="kumul1">#REF!</definedName>
    <definedName name="kumul2" localSheetId="13">#REF!</definedName>
    <definedName name="kumul2" localSheetId="15">#REF!</definedName>
    <definedName name="kumul2" localSheetId="23">#REF!</definedName>
    <definedName name="kumul2">#REF!</definedName>
    <definedName name="kvart1" localSheetId="13">#REF!</definedName>
    <definedName name="kvart1" localSheetId="14">#REF!</definedName>
    <definedName name="kvart1" localSheetId="15">#REF!</definedName>
    <definedName name="kvart1" localSheetId="23">#REF!</definedName>
    <definedName name="kvart1">#REF!</definedName>
    <definedName name="kvart2" localSheetId="13">#REF!</definedName>
    <definedName name="kvart2" localSheetId="15">#REF!</definedName>
    <definedName name="kvart2" localSheetId="23">#REF!</definedName>
    <definedName name="kvart2">#REF!</definedName>
    <definedName name="kvart3" localSheetId="13">#REF!</definedName>
    <definedName name="kvart3" localSheetId="15">#REF!</definedName>
    <definedName name="kvart3" localSheetId="23">#REF!</definedName>
    <definedName name="kvart3">#REF!</definedName>
    <definedName name="kvart4" localSheetId="13">#REF!</definedName>
    <definedName name="kvart4" localSheetId="15">#REF!</definedName>
    <definedName name="kvart4" localSheetId="23">#REF!</definedName>
    <definedName name="kvart4">#REF!</definedName>
    <definedName name="ll" localSheetId="3" hidden="1">{"Tab1",#N/A,FALSE,"P";"Tab2",#N/A,FALSE,"P"}</definedName>
    <definedName name="ll" localSheetId="13" hidden="1">{"Tab1",#N/A,FALSE,"P";"Tab2",#N/A,FALSE,"P"}</definedName>
    <definedName name="ll" localSheetId="15" hidden="1">{"Tab1",#N/A,FALSE,"P";"Tab2",#N/A,FALSE,"P"}</definedName>
    <definedName name="ll" localSheetId="16" hidden="1">{"Tab1",#N/A,FALSE,"P";"Tab2",#N/A,FALSE,"P"}</definedName>
    <definedName name="ll" localSheetId="18" hidden="1">{"Tab1",#N/A,FALSE,"P";"Tab2",#N/A,FALSE,"P"}</definedName>
    <definedName name="ll" localSheetId="23" hidden="1">{"Tab1",#N/A,FALSE,"P";"Tab2",#N/A,FALSE,"P"}</definedName>
    <definedName name="ll" localSheetId="4" hidden="1">{"Tab1",#N/A,FALSE,"P";"Tab2",#N/A,FALSE,"P"}</definedName>
    <definedName name="ll" localSheetId="26" hidden="1">{"Tab1",#N/A,FALSE,"P";"Tab2",#N/A,FALSE,"P"}</definedName>
    <definedName name="ll" localSheetId="27" hidden="1">{"Tab1",#N/A,FALSE,"P";"Tab2",#N/A,FALSE,"P"}</definedName>
    <definedName name="ll" localSheetId="32" hidden="1">{"Tab1",#N/A,FALSE,"P";"Tab2",#N/A,FALSE,"P"}</definedName>
    <definedName name="ll" localSheetId="6" hidden="1">{"Tab1",#N/A,FALSE,"P";"Tab2",#N/A,FALSE,"P"}</definedName>
    <definedName name="ll" localSheetId="1" hidden="1">{"Tab1",#N/A,FALSE,"P";"Tab2",#N/A,FALSE,"P"}</definedName>
    <definedName name="ll" hidden="1">{"Tab1",#N/A,FALSE,"P";"Tab2",#N/A,FALSE,"P"}</definedName>
    <definedName name="lll" localSheetId="3" hidden="1">{"Riqfin97",#N/A,FALSE,"Tran";"Riqfinpro",#N/A,FALSE,"Tran"}</definedName>
    <definedName name="lll" localSheetId="13" hidden="1">{"Riqfin97",#N/A,FALSE,"Tran";"Riqfinpro",#N/A,FALSE,"Tran"}</definedName>
    <definedName name="lll" localSheetId="15" hidden="1">{"Riqfin97",#N/A,FALSE,"Tran";"Riqfinpro",#N/A,FALSE,"Tran"}</definedName>
    <definedName name="lll" localSheetId="16" hidden="1">{"Riqfin97",#N/A,FALSE,"Tran";"Riqfinpro",#N/A,FALSE,"Tran"}</definedName>
    <definedName name="lll" localSheetId="18" hidden="1">{"Riqfin97",#N/A,FALSE,"Tran";"Riqfinpro",#N/A,FALSE,"Tran"}</definedName>
    <definedName name="lll" localSheetId="23" hidden="1">{"Riqfin97",#N/A,FALSE,"Tran";"Riqfinpro",#N/A,FALSE,"Tran"}</definedName>
    <definedName name="lll" localSheetId="4" hidden="1">{"Riqfin97",#N/A,FALSE,"Tran";"Riqfinpro",#N/A,FALSE,"Tran"}</definedName>
    <definedName name="lll" localSheetId="26" hidden="1">{"Riqfin97",#N/A,FALSE,"Tran";"Riqfinpro",#N/A,FALSE,"Tran"}</definedName>
    <definedName name="lll" localSheetId="27" hidden="1">{"Riqfin97",#N/A,FALSE,"Tran";"Riqfinpro",#N/A,FALSE,"Tran"}</definedName>
    <definedName name="lll" localSheetId="32" hidden="1">{"Riqfin97",#N/A,FALSE,"Tran";"Riqfinpro",#N/A,FALSE,"Tran"}</definedName>
    <definedName name="lll" localSheetId="6" hidden="1">{"Riqfin97",#N/A,FALSE,"Tran";"Riqfinpro",#N/A,FALSE,"Tran"}</definedName>
    <definedName name="lll" localSheetId="1" hidden="1">{"Riqfin97",#N/A,FALSE,"Tran";"Riqfinpro",#N/A,FALSE,"Tran"}</definedName>
    <definedName name="lll" hidden="1">{"Riqfin97",#N/A,FALSE,"Tran";"Riqfinpro",#N/A,FALSE,"Tran"}</definedName>
    <definedName name="llll" localSheetId="3" hidden="1">[65]M!#REF!</definedName>
    <definedName name="llll" localSheetId="13" hidden="1">[65]M!#REF!</definedName>
    <definedName name="llll" localSheetId="15" hidden="1">[65]M!#REF!</definedName>
    <definedName name="llll" localSheetId="4" hidden="1">[65]M!#REF!</definedName>
    <definedName name="llll" hidden="1">[65]M!#REF!</definedName>
    <definedName name="ls">[46]LS!$A$1:$E$65536</definedName>
    <definedName name="LUR">#N/A</definedName>
    <definedName name="Macrobond_Object1" localSheetId="9">'Graf 7'!$Q$3:$W$49</definedName>
    <definedName name="Malaysia" localSheetId="13">#REF!</definedName>
    <definedName name="Malaysia" localSheetId="15">#REF!</definedName>
    <definedName name="Malaysia" localSheetId="23">#REF!</definedName>
    <definedName name="Malaysia">#REF!</definedName>
    <definedName name="MB_2" localSheetId="13">[60]makro!$C$11</definedName>
    <definedName name="MB_2" localSheetId="16">[59]makro!$C$11</definedName>
    <definedName name="MB_2" localSheetId="18">[59]makro!$C$11</definedName>
    <definedName name="MB_2" localSheetId="23">[61]makro!$C$11</definedName>
    <definedName name="MB_2">[61]makro!$C$11</definedName>
    <definedName name="MB_2n" localSheetId="13">[60]makro!$C$33</definedName>
    <definedName name="MB_2n" localSheetId="16">[59]makro!$C$33</definedName>
    <definedName name="MB_2n" localSheetId="18">[59]makro!$C$33</definedName>
    <definedName name="MB_2n" localSheetId="23">[61]makro!$C$33</definedName>
    <definedName name="MB_2n">[61]makro!$C$33</definedName>
    <definedName name="MB_3" localSheetId="13">[60]makro!$D$11</definedName>
    <definedName name="MB_3" localSheetId="16">[59]makro!$D$11</definedName>
    <definedName name="MB_3" localSheetId="18">[59]makro!$D$11</definedName>
    <definedName name="MB_3" localSheetId="23">[61]makro!$D$11</definedName>
    <definedName name="MB_3">[61]makro!$D$11</definedName>
    <definedName name="MB_3n" localSheetId="13">[60]makro!$D$33</definedName>
    <definedName name="MB_3n" localSheetId="16">[59]makro!$D$33</definedName>
    <definedName name="MB_3n" localSheetId="18">[59]makro!$D$33</definedName>
    <definedName name="MB_3n" localSheetId="23">[61]makro!$D$33</definedName>
    <definedName name="MB_3n">[61]makro!$D$33</definedName>
    <definedName name="MB_4" localSheetId="13">[60]makro!$E$11</definedName>
    <definedName name="MB_4" localSheetId="16">[59]makro!$E$11</definedName>
    <definedName name="MB_4" localSheetId="18">[59]makro!$E$11</definedName>
    <definedName name="MB_4" localSheetId="23">[61]makro!$E$11</definedName>
    <definedName name="MB_4">[61]makro!$E$11</definedName>
    <definedName name="MB_4n" localSheetId="13">[60]makro!$E$33</definedName>
    <definedName name="MB_4n" localSheetId="16">[59]makro!$E$33</definedName>
    <definedName name="MB_4n" localSheetId="18">[59]makro!$E$33</definedName>
    <definedName name="MB_4n" localSheetId="23">[61]makro!$E$33</definedName>
    <definedName name="MB_4n">[61]makro!$E$33</definedName>
    <definedName name="MB_5" localSheetId="13">[60]makro!$F$11</definedName>
    <definedName name="MB_5" localSheetId="16">[59]makro!$F$11</definedName>
    <definedName name="MB_5" localSheetId="18">[59]makro!$F$11</definedName>
    <definedName name="MB_5" localSheetId="23">[61]makro!$F$11</definedName>
    <definedName name="MB_5">[61]makro!$F$11</definedName>
    <definedName name="MB_5n" localSheetId="13">[60]makro!$F$33</definedName>
    <definedName name="MB_5n" localSheetId="16">[59]makro!$F$33</definedName>
    <definedName name="MB_5n" localSheetId="18">[59]makro!$F$33</definedName>
    <definedName name="MB_5n" localSheetId="23">[61]makro!$F$33</definedName>
    <definedName name="MB_5n">[61]makro!$F$33</definedName>
    <definedName name="MB_6" localSheetId="13">[60]makro!$G$11</definedName>
    <definedName name="MB_6" localSheetId="16">[59]makro!$G$11</definedName>
    <definedName name="MB_6" localSheetId="18">[59]makro!$G$11</definedName>
    <definedName name="MB_6" localSheetId="23">[61]makro!$G$11</definedName>
    <definedName name="MB_6">[61]makro!$G$11</definedName>
    <definedName name="MB_6n" localSheetId="13">[60]makro!$G$33</definedName>
    <definedName name="MB_6n" localSheetId="16">[59]makro!$G$33</definedName>
    <definedName name="MB_6n" localSheetId="18">[59]makro!$G$33</definedName>
    <definedName name="MB_6n" localSheetId="23">[61]makro!$G$33</definedName>
    <definedName name="MB_6n">[61]makro!$G$33</definedName>
    <definedName name="MCV">#N/A</definedName>
    <definedName name="MCV_B">#N/A</definedName>
    <definedName name="MCV_B1" localSheetId="13">'[29]WEO-BOP'!#REF!</definedName>
    <definedName name="MCV_B1" localSheetId="14">'[29]WEO-BOP'!#REF!</definedName>
    <definedName name="MCV_B1" localSheetId="15">'[29]WEO-BOP'!#REF!</definedName>
    <definedName name="MCV_B1">'[29]WEO-BOP'!#REF!</definedName>
    <definedName name="MCV_D">#N/A</definedName>
    <definedName name="MCV_N">#N/A</definedName>
    <definedName name="MCV_T">#N/A</definedName>
    <definedName name="MENORES" localSheetId="13">#REF!</definedName>
    <definedName name="MENORES" localSheetId="15">#REF!</definedName>
    <definedName name="MENORES" localSheetId="23">#REF!</definedName>
    <definedName name="MENORES">#REF!</definedName>
    <definedName name="mesec1" localSheetId="13">#REF!</definedName>
    <definedName name="mesec1" localSheetId="15">#REF!</definedName>
    <definedName name="mesec1" localSheetId="23">#REF!</definedName>
    <definedName name="mesec1">#REF!</definedName>
    <definedName name="mesec2" localSheetId="13">#REF!</definedName>
    <definedName name="mesec2" localSheetId="15">#REF!</definedName>
    <definedName name="mesec2" localSheetId="23">#REF!</definedName>
    <definedName name="mesec2">#REF!</definedName>
    <definedName name="mf" localSheetId="3" hidden="1">{"Tab1",#N/A,FALSE,"P";"Tab2",#N/A,FALSE,"P"}</definedName>
    <definedName name="mf" localSheetId="13" hidden="1">{"Tab1",#N/A,FALSE,"P";"Tab2",#N/A,FALSE,"P"}</definedName>
    <definedName name="mf" localSheetId="15" hidden="1">{"Tab1",#N/A,FALSE,"P";"Tab2",#N/A,FALSE,"P"}</definedName>
    <definedName name="mf" localSheetId="16" hidden="1">{"Tab1",#N/A,FALSE,"P";"Tab2",#N/A,FALSE,"P"}</definedName>
    <definedName name="mf" localSheetId="18" hidden="1">{"Tab1",#N/A,FALSE,"P";"Tab2",#N/A,FALSE,"P"}</definedName>
    <definedName name="mf" localSheetId="23" hidden="1">{"Tab1",#N/A,FALSE,"P";"Tab2",#N/A,FALSE,"P"}</definedName>
    <definedName name="mf" localSheetId="4" hidden="1">{"Tab1",#N/A,FALSE,"P";"Tab2",#N/A,FALSE,"P"}</definedName>
    <definedName name="mf" localSheetId="26" hidden="1">{"Tab1",#N/A,FALSE,"P";"Tab2",#N/A,FALSE,"P"}</definedName>
    <definedName name="mf" localSheetId="27" hidden="1">{"Tab1",#N/A,FALSE,"P";"Tab2",#N/A,FALSE,"P"}</definedName>
    <definedName name="mf" localSheetId="32" hidden="1">{"Tab1",#N/A,FALSE,"P";"Tab2",#N/A,FALSE,"P"}</definedName>
    <definedName name="mf" localSheetId="6" hidden="1">{"Tab1",#N/A,FALSE,"P";"Tab2",#N/A,FALSE,"P"}</definedName>
    <definedName name="mf" localSheetId="1" hidden="1">{"Tab1",#N/A,FALSE,"P";"Tab2",#N/A,FALSE,"P"}</definedName>
    <definedName name="mf" hidden="1">{"Tab1",#N/A,FALSE,"P";"Tab2",#N/A,FALSE,"P"}</definedName>
    <definedName name="MFISCAL" localSheetId="13">'[3]Annual Raw Data'!#REF!</definedName>
    <definedName name="MFISCAL" localSheetId="15">'[3]Annual Raw Data'!#REF!</definedName>
    <definedName name="MFISCAL">'[3]Annual Raw Data'!#REF!</definedName>
    <definedName name="mflowsa" localSheetId="15">[18]!mflowsa</definedName>
    <definedName name="mflowsa" localSheetId="18">[18]!mflowsa</definedName>
    <definedName name="mflowsa" localSheetId="17">[18]!mflowsa</definedName>
    <definedName name="mflowsa" localSheetId="19">[18]!mflowsa</definedName>
    <definedName name="mflowsa" localSheetId="20">[18]!mflowsa</definedName>
    <definedName name="mflowsa">[18]!mflowsa</definedName>
    <definedName name="mflowsq" localSheetId="15">[18]!mflowsq</definedName>
    <definedName name="mflowsq" localSheetId="18">[18]!mflowsq</definedName>
    <definedName name="mflowsq" localSheetId="17">[18]!mflowsq</definedName>
    <definedName name="mflowsq" localSheetId="19">[18]!mflowsq</definedName>
    <definedName name="mflowsq" localSheetId="20">[18]!mflowsq</definedName>
    <definedName name="mflowsq">[18]!mflowsq</definedName>
    <definedName name="MICRO" localSheetId="13">#REF!</definedName>
    <definedName name="MICRO" localSheetId="15">#REF!</definedName>
    <definedName name="MICRO" localSheetId="23">#REF!</definedName>
    <definedName name="MICRO">#REF!</definedName>
    <definedName name="min_VZ" localSheetId="13">[31]Graf14_Graf15!#REF!</definedName>
    <definedName name="min_VZ" localSheetId="15">[31]Graf14_Graf15!#REF!</definedName>
    <definedName name="min_VZ" localSheetId="23">[31]Graf14_Graf15!#REF!</definedName>
    <definedName name="min_VZ">[31]Graf14_Graf15!#REF!</definedName>
    <definedName name="MISC3" localSheetId="13">#REF!</definedName>
    <definedName name="MISC3" localSheetId="15">#REF!</definedName>
    <definedName name="MISC3" localSheetId="23">#REF!</definedName>
    <definedName name="MISC3">#REF!</definedName>
    <definedName name="MISC4" localSheetId="13">[1]OUTPUT!#REF!</definedName>
    <definedName name="MISC4" localSheetId="15">[1]OUTPUT!#REF!</definedName>
    <definedName name="MISC4" localSheetId="23">[1]OUTPUT!#REF!</definedName>
    <definedName name="MISC4">[1]OUTPUT!#REF!</definedName>
    <definedName name="mmm" localSheetId="3" hidden="1">{"Riqfin97",#N/A,FALSE,"Tran";"Riqfinpro",#N/A,FALSE,"Tran"}</definedName>
    <definedName name="mmm" localSheetId="13" hidden="1">{"Riqfin97",#N/A,FALSE,"Tran";"Riqfinpro",#N/A,FALSE,"Tran"}</definedName>
    <definedName name="mmm" localSheetId="15" hidden="1">{"Riqfin97",#N/A,FALSE,"Tran";"Riqfinpro",#N/A,FALSE,"Tran"}</definedName>
    <definedName name="mmm" localSheetId="16" hidden="1">{"Riqfin97",#N/A,FALSE,"Tran";"Riqfinpro",#N/A,FALSE,"Tran"}</definedName>
    <definedName name="mmm" localSheetId="18" hidden="1">{"Riqfin97",#N/A,FALSE,"Tran";"Riqfinpro",#N/A,FALSE,"Tran"}</definedName>
    <definedName name="mmm" localSheetId="23" hidden="1">{"Riqfin97",#N/A,FALSE,"Tran";"Riqfinpro",#N/A,FALSE,"Tran"}</definedName>
    <definedName name="mmm" localSheetId="4" hidden="1">{"Riqfin97",#N/A,FALSE,"Tran";"Riqfinpro",#N/A,FALSE,"Tran"}</definedName>
    <definedName name="mmm" localSheetId="26" hidden="1">{"Riqfin97",#N/A,FALSE,"Tran";"Riqfinpro",#N/A,FALSE,"Tran"}</definedName>
    <definedName name="mmm" localSheetId="27" hidden="1">{"Riqfin97",#N/A,FALSE,"Tran";"Riqfinpro",#N/A,FALSE,"Tran"}</definedName>
    <definedName name="mmm" localSheetId="32" hidden="1">{"Riqfin97",#N/A,FALSE,"Tran";"Riqfinpro",#N/A,FALSE,"Tran"}</definedName>
    <definedName name="mmm" localSheetId="6" hidden="1">{"Riqfin97",#N/A,FALSE,"Tran";"Riqfinpro",#N/A,FALSE,"Tran"}</definedName>
    <definedName name="mmm" localSheetId="1" hidden="1">{"Riqfin97",#N/A,FALSE,"Tran";"Riqfinpro",#N/A,FALSE,"Tran"}</definedName>
    <definedName name="mmm" hidden="1">{"Riqfin97",#N/A,FALSE,"Tran";"Riqfinpro",#N/A,FALSE,"Tran"}</definedName>
    <definedName name="mmmm" localSheetId="3" hidden="1">{"Tab1",#N/A,FALSE,"P";"Tab2",#N/A,FALSE,"P"}</definedName>
    <definedName name="mmmm" localSheetId="13" hidden="1">{"Tab1",#N/A,FALSE,"P";"Tab2",#N/A,FALSE,"P"}</definedName>
    <definedName name="mmmm" localSheetId="15" hidden="1">{"Tab1",#N/A,FALSE,"P";"Tab2",#N/A,FALSE,"P"}</definedName>
    <definedName name="mmmm" localSheetId="16" hidden="1">{"Tab1",#N/A,FALSE,"P";"Tab2",#N/A,FALSE,"P"}</definedName>
    <definedName name="mmmm" localSheetId="18" hidden="1">{"Tab1",#N/A,FALSE,"P";"Tab2",#N/A,FALSE,"P"}</definedName>
    <definedName name="mmmm" localSheetId="23" hidden="1">{"Tab1",#N/A,FALSE,"P";"Tab2",#N/A,FALSE,"P"}</definedName>
    <definedName name="mmmm" localSheetId="4" hidden="1">{"Tab1",#N/A,FALSE,"P";"Tab2",#N/A,FALSE,"P"}</definedName>
    <definedName name="mmmm" localSheetId="26" hidden="1">{"Tab1",#N/A,FALSE,"P";"Tab2",#N/A,FALSE,"P"}</definedName>
    <definedName name="mmmm" localSheetId="27" hidden="1">{"Tab1",#N/A,FALSE,"P";"Tab2",#N/A,FALSE,"P"}</definedName>
    <definedName name="mmmm" localSheetId="32" hidden="1">{"Tab1",#N/A,FALSE,"P";"Tab2",#N/A,FALSE,"P"}</definedName>
    <definedName name="mmmm" localSheetId="6" hidden="1">{"Tab1",#N/A,FALSE,"P";"Tab2",#N/A,FALSE,"P"}</definedName>
    <definedName name="mmmm" localSheetId="1" hidden="1">{"Tab1",#N/A,FALSE,"P";"Tab2",#N/A,FALSE,"P"}</definedName>
    <definedName name="mmmm" hidden="1">{"Tab1",#N/A,FALSE,"P";"Tab2",#N/A,FALSE,"P"}</definedName>
    <definedName name="MOMSAFA">#REF!</definedName>
    <definedName name="MOMSUSRALL">#REF!</definedName>
    <definedName name="MON_SM" localSheetId="13">#REF!</definedName>
    <definedName name="MON_SM" localSheetId="15">#REF!</definedName>
    <definedName name="MON_SM" localSheetId="23">#REF!</definedName>
    <definedName name="MON_SM">#REF!</definedName>
    <definedName name="MONF_SM" localSheetId="13">#REF!</definedName>
    <definedName name="MONF_SM" localSheetId="15">#REF!</definedName>
    <definedName name="MONF_SM" localSheetId="23">#REF!</definedName>
    <definedName name="MONF_SM">#REF!</definedName>
    <definedName name="MONTH">[23]REER!$D$140:$E$199</definedName>
    <definedName name="mstocksa" localSheetId="15">[18]!mstocksa</definedName>
    <definedName name="mstocksa" localSheetId="18">[18]!mstocksa</definedName>
    <definedName name="mstocksa" localSheetId="17">[18]!mstocksa</definedName>
    <definedName name="mstocksa" localSheetId="19">[18]!mstocksa</definedName>
    <definedName name="mstocksa" localSheetId="20">[18]!mstocksa</definedName>
    <definedName name="mstocksa">[18]!mstocksa</definedName>
    <definedName name="mstocksq" localSheetId="15">[18]!mstocksq</definedName>
    <definedName name="mstocksq" localSheetId="18">[18]!mstocksq</definedName>
    <definedName name="mstocksq" localSheetId="17">[18]!mstocksq</definedName>
    <definedName name="mstocksq" localSheetId="19">[18]!mstocksq</definedName>
    <definedName name="mstocksq" localSheetId="20">[18]!mstocksq</definedName>
    <definedName name="mstocksq">[18]!mstocksq</definedName>
    <definedName name="MTO" localSheetId="13">#REF!</definedName>
    <definedName name="MTO" localSheetId="15">#REF!</definedName>
    <definedName name="MTO" localSheetId="23">#REF!</definedName>
    <definedName name="MTO">#REF!</definedName>
    <definedName name="Municipios" localSheetId="13">#REF!</definedName>
    <definedName name="Municipios" localSheetId="15">#REF!</definedName>
    <definedName name="Municipios" localSheetId="23">#REF!</definedName>
    <definedName name="Municipios">#REF!</definedName>
    <definedName name="MVZ_1.5x" localSheetId="13">[31]Graf14_Graf15!#REF!</definedName>
    <definedName name="MVZ_1.5x" localSheetId="15">[31]Graf14_Graf15!#REF!</definedName>
    <definedName name="MVZ_1.5x" localSheetId="23">[31]Graf14_Graf15!#REF!</definedName>
    <definedName name="MVZ_1.5x">[31]Graf14_Graf15!#REF!</definedName>
    <definedName name="MVZ_4x" localSheetId="13">[31]Graf14_Graf15!#REF!</definedName>
    <definedName name="MVZ_4x" localSheetId="15">[31]Graf14_Graf15!#REF!</definedName>
    <definedName name="MVZ_4x">[31]Graf14_Graf15!#REF!</definedName>
    <definedName name="MVZ_5x" localSheetId="13">[31]Graf14_Graf15!#REF!</definedName>
    <definedName name="MVZ_5x" localSheetId="15">[31]Graf14_Graf15!#REF!</definedName>
    <definedName name="MVZ_5x">[31]Graf14_Graf15!#REF!</definedName>
    <definedName name="MW" localSheetId="13">[31]Graf14_Graf15!#REF!</definedName>
    <definedName name="MW" localSheetId="15">[31]Graf14_Graf15!#REF!</definedName>
    <definedName name="MW">[31]Graf14_Graf15!#REF!</definedName>
    <definedName name="MW_2" localSheetId="13">[31]Graf14_Graf15!#REF!</definedName>
    <definedName name="MW_2" localSheetId="15">[31]Graf14_Graf15!#REF!</definedName>
    <definedName name="MW_2">[31]Graf14_Graf15!#REF!</definedName>
    <definedName name="NACTCURRENT" localSheetId="13">#REF!</definedName>
    <definedName name="NACTCURRENT" localSheetId="15">#REF!</definedName>
    <definedName name="NACTCURRENT" localSheetId="23">#REF!</definedName>
    <definedName name="NACTCURRENT">#REF!</definedName>
    <definedName name="nam1out" localSheetId="13">#REF!</definedName>
    <definedName name="nam1out" localSheetId="15">#REF!</definedName>
    <definedName name="nam1out" localSheetId="23">#REF!</definedName>
    <definedName name="nam1out">#REF!</definedName>
    <definedName name="nam2in" localSheetId="13">#REF!</definedName>
    <definedName name="nam2in" localSheetId="15">#REF!</definedName>
    <definedName name="nam2in" localSheetId="23">#REF!</definedName>
    <definedName name="nam2in">#REF!</definedName>
    <definedName name="nam2out" localSheetId="13">#REF!</definedName>
    <definedName name="nam2out" localSheetId="15">#REF!</definedName>
    <definedName name="nam2out" localSheetId="23">#REF!</definedName>
    <definedName name="nam2out">#REF!</definedName>
    <definedName name="NAMB">[23]REER!$AY$143:$BB$143</definedName>
    <definedName name="namcr" localSheetId="13">'[2]Tab ann curr'!#REF!</definedName>
    <definedName name="namcr" localSheetId="15">'[2]Tab ann curr'!#REF!</definedName>
    <definedName name="namcr" localSheetId="32">'[2]Tab ann curr'!#REF!</definedName>
    <definedName name="namcr">'[2]Tab ann curr'!#REF!</definedName>
    <definedName name="namcs" localSheetId="13">'[2]Tab ann cst'!#REF!</definedName>
    <definedName name="namcs" localSheetId="15">'[2]Tab ann cst'!#REF!</definedName>
    <definedName name="namcs">'[2]Tab ann cst'!#REF!</definedName>
    <definedName name="name_AD">[39]Sheet1!$A$20</definedName>
    <definedName name="name_EXP">[39]Sheet1!$N$54:$N$71</definedName>
    <definedName name="name_FISC" localSheetId="13">#REF!</definedName>
    <definedName name="name_FISC" localSheetId="15">#REF!</definedName>
    <definedName name="name_FISC" localSheetId="23">#REF!</definedName>
    <definedName name="name_FISC">#REF!</definedName>
    <definedName name="nameIntLiq" localSheetId="13">#REF!</definedName>
    <definedName name="nameIntLiq" localSheetId="15">#REF!</definedName>
    <definedName name="nameIntLiq" localSheetId="23">#REF!</definedName>
    <definedName name="nameIntLiq">#REF!</definedName>
    <definedName name="nameMoney" localSheetId="13">#REF!</definedName>
    <definedName name="nameMoney" localSheetId="15">#REF!</definedName>
    <definedName name="nameMoney" localSheetId="23">#REF!</definedName>
    <definedName name="nameMoney">#REF!</definedName>
    <definedName name="nameRATES" localSheetId="13">#REF!</definedName>
    <definedName name="nameRATES" localSheetId="15">#REF!</definedName>
    <definedName name="nameRATES" localSheetId="23">#REF!</definedName>
    <definedName name="nameRATES">#REF!</definedName>
    <definedName name="nameRAWQ" localSheetId="13">'[40]Raw Data'!#REF!</definedName>
    <definedName name="nameRAWQ" localSheetId="15">'[40]Raw Data'!#REF!</definedName>
    <definedName name="nameRAWQ" localSheetId="23">'[40]Raw Data'!#REF!</definedName>
    <definedName name="nameRAWQ">'[40]Raw Data'!#REF!</definedName>
    <definedName name="nameReal" localSheetId="13">#REF!</definedName>
    <definedName name="nameReal" localSheetId="15">#REF!</definedName>
    <definedName name="nameReal" localSheetId="23">#REF!</definedName>
    <definedName name="nameReal">#REF!</definedName>
    <definedName name="names" localSheetId="13">#REF!</definedName>
    <definedName name="names" localSheetId="15">#REF!</definedName>
    <definedName name="names" localSheetId="23">#REF!</definedName>
    <definedName name="names">#REF!</definedName>
    <definedName name="NAMES_fidr_r" localSheetId="13">[38]monthly!#REF!</definedName>
    <definedName name="NAMES_fidr_r" localSheetId="15">[38]monthly!#REF!</definedName>
    <definedName name="NAMES_fidr_r" localSheetId="23">[38]monthly!#REF!</definedName>
    <definedName name="NAMES_fidr_r">[38]monthly!#REF!</definedName>
    <definedName name="names_figb_r" localSheetId="13">[38]monthly!#REF!</definedName>
    <definedName name="names_figb_r" localSheetId="15">[38]monthly!#REF!</definedName>
    <definedName name="names_figb_r">[38]monthly!#REF!</definedName>
    <definedName name="names_w" localSheetId="13">#REF!</definedName>
    <definedName name="names_w" localSheetId="15">#REF!</definedName>
    <definedName name="names_w" localSheetId="23">#REF!</definedName>
    <definedName name="names_w">#REF!</definedName>
    <definedName name="names1in" localSheetId="13">#REF!</definedName>
    <definedName name="names1in" localSheetId="15">#REF!</definedName>
    <definedName name="names1in" localSheetId="23">#REF!</definedName>
    <definedName name="names1in">#REF!</definedName>
    <definedName name="NAMESB" localSheetId="13">#REF!</definedName>
    <definedName name="NAMESB" localSheetId="15">#REF!</definedName>
    <definedName name="NAMESB" localSheetId="23">#REF!</definedName>
    <definedName name="NAMESB">#REF!</definedName>
    <definedName name="namesc" localSheetId="13">#REF!</definedName>
    <definedName name="namesc" localSheetId="15">#REF!</definedName>
    <definedName name="namesc" localSheetId="23">#REF!</definedName>
    <definedName name="namesc">#REF!</definedName>
    <definedName name="NAMESG" localSheetId="13">#REF!</definedName>
    <definedName name="NAMESG" localSheetId="15">#REF!</definedName>
    <definedName name="NAMESG" localSheetId="23">#REF!</definedName>
    <definedName name="NAMESG">#REF!</definedName>
    <definedName name="namesm" localSheetId="13">#REF!</definedName>
    <definedName name="namesm" localSheetId="15">#REF!</definedName>
    <definedName name="namesm" localSheetId="23">#REF!</definedName>
    <definedName name="namesm">#REF!</definedName>
    <definedName name="NAMESQ" localSheetId="13">#REF!</definedName>
    <definedName name="NAMESQ" localSheetId="15">#REF!</definedName>
    <definedName name="NAMESQ" localSheetId="23">#REF!</definedName>
    <definedName name="NAMESQ">#REF!</definedName>
    <definedName name="namesr" localSheetId="13">#REF!</definedName>
    <definedName name="namesr" localSheetId="15">#REF!</definedName>
    <definedName name="namesr" localSheetId="23">#REF!</definedName>
    <definedName name="namesr">#REF!</definedName>
    <definedName name="namestran">[33]transfer!$C$1:$O$1</definedName>
    <definedName name="namgdp" localSheetId="13">#REF!</definedName>
    <definedName name="namgdp" localSheetId="15">#REF!</definedName>
    <definedName name="namgdp" localSheetId="23">#REF!</definedName>
    <definedName name="namgdp">#REF!</definedName>
    <definedName name="NAMIN" localSheetId="13">#REF!</definedName>
    <definedName name="NAMIN" localSheetId="15">#REF!</definedName>
    <definedName name="NAMIN" localSheetId="23">#REF!</definedName>
    <definedName name="NAMIN">#REF!</definedName>
    <definedName name="namin1">[23]REER!$F$1:$BP$1</definedName>
    <definedName name="namin2">[23]REER!$F$138:$AA$138</definedName>
    <definedName name="namind" localSheetId="13">'[2]work Q real'!#REF!</definedName>
    <definedName name="namind" localSheetId="15">'[2]work Q real'!#REF!</definedName>
    <definedName name="namind" localSheetId="32">'[2]work Q real'!#REF!</definedName>
    <definedName name="namind">'[2]work Q real'!#REF!</definedName>
    <definedName name="naminm" localSheetId="13">#REF!</definedName>
    <definedName name="naminm" localSheetId="15">#REF!</definedName>
    <definedName name="naminm" localSheetId="23">#REF!</definedName>
    <definedName name="naminm">#REF!</definedName>
    <definedName name="naminq" localSheetId="13">#REF!</definedName>
    <definedName name="naminq" localSheetId="15">#REF!</definedName>
    <definedName name="naminq" localSheetId="23">#REF!</definedName>
    <definedName name="naminq">#REF!</definedName>
    <definedName name="namm" localSheetId="13">#REF!</definedName>
    <definedName name="namm" localSheetId="15">#REF!</definedName>
    <definedName name="namm" localSheetId="23">#REF!</definedName>
    <definedName name="namm">#REF!</definedName>
    <definedName name="NAMOUT" localSheetId="13">#REF!</definedName>
    <definedName name="NAMOUT" localSheetId="15">#REF!</definedName>
    <definedName name="NAMOUT" localSheetId="23">#REF!</definedName>
    <definedName name="NAMOUT">#REF!</definedName>
    <definedName name="namout1">[23]REER!$F$2:$AA$2</definedName>
    <definedName name="namoutm" localSheetId="13">#REF!</definedName>
    <definedName name="namoutm" localSheetId="15">#REF!</definedName>
    <definedName name="namoutm" localSheetId="23">#REF!</definedName>
    <definedName name="namoutm">#REF!</definedName>
    <definedName name="namoutq" localSheetId="13">#REF!</definedName>
    <definedName name="namoutq" localSheetId="15">#REF!</definedName>
    <definedName name="namoutq" localSheetId="23">#REF!</definedName>
    <definedName name="namoutq">#REF!</definedName>
    <definedName name="namprofit">[23]C!$O$1:$Z$1</definedName>
    <definedName name="namq" localSheetId="13">#REF!</definedName>
    <definedName name="namq" localSheetId="15">#REF!</definedName>
    <definedName name="namq" localSheetId="23">#REF!</definedName>
    <definedName name="namq">#REF!</definedName>
    <definedName name="namq1" localSheetId="13">#REF!</definedName>
    <definedName name="namq1" localSheetId="15">#REF!</definedName>
    <definedName name="namq1" localSheetId="23">#REF!</definedName>
    <definedName name="namq1">#REF!</definedName>
    <definedName name="namq2" localSheetId="13">#REF!</definedName>
    <definedName name="namq2" localSheetId="15">#REF!</definedName>
    <definedName name="namq2" localSheetId="23">#REF!</definedName>
    <definedName name="namq2">#REF!</definedName>
    <definedName name="namreer">[23]REER!$AY$143:$BF$143</definedName>
    <definedName name="namsgdp" localSheetId="13">#REF!</definedName>
    <definedName name="namsgdp" localSheetId="15">#REF!</definedName>
    <definedName name="namsgdp" localSheetId="23">#REF!</definedName>
    <definedName name="namsgdp">#REF!</definedName>
    <definedName name="namtin" localSheetId="13">#REF!</definedName>
    <definedName name="namtin" localSheetId="15">#REF!</definedName>
    <definedName name="namtin" localSheetId="23">#REF!</definedName>
    <definedName name="namtin">#REF!</definedName>
    <definedName name="namtout" localSheetId="13">#REF!</definedName>
    <definedName name="namtout" localSheetId="15">#REF!</definedName>
    <definedName name="namtout" localSheetId="23">#REF!</definedName>
    <definedName name="namtout">#REF!</definedName>
    <definedName name="namulc">[23]REER!$BI$1:$BP$1</definedName>
    <definedName name="_xlnm.Print_Titles" localSheetId="13">#REF!,#REF!</definedName>
    <definedName name="_xlnm.Print_Titles" localSheetId="14">#REF!,#REF!</definedName>
    <definedName name="_xlnm.Print_Titles" localSheetId="15">#REF!,#REF!</definedName>
    <definedName name="_xlnm.Print_Titles" localSheetId="23">#REF!,#REF!</definedName>
    <definedName name="_xlnm.Print_Titles">#REF!,#REF!</definedName>
    <definedName name="NCG">#N/A</definedName>
    <definedName name="NCG_R">#N/A</definedName>
    <definedName name="NCP">#N/A</definedName>
    <definedName name="NCP_R">#N/A</definedName>
    <definedName name="NCZD" localSheetId="13">[31]Graf14_Graf15!#REF!</definedName>
    <definedName name="NCZD" localSheetId="15">[31]Graf14_Graf15!#REF!</definedName>
    <definedName name="NCZD" localSheetId="23">[31]Graf14_Graf15!#REF!</definedName>
    <definedName name="NCZD" localSheetId="32">[31]Graf14_Graf15!#REF!</definedName>
    <definedName name="NCZD">[31]Graf14_Graf15!#REF!</definedName>
    <definedName name="NCZD_2" localSheetId="13">[31]Graf14_Graf15!#REF!</definedName>
    <definedName name="NCZD_2" localSheetId="15">[31]Graf14_Graf15!#REF!</definedName>
    <definedName name="NCZD_2" localSheetId="23">[31]Graf14_Graf15!#REF!</definedName>
    <definedName name="NCZD_2">[31]Graf14_Graf15!#REF!</definedName>
    <definedName name="NEER">[23]REER!$AY$144:$AY$206</definedName>
    <definedName name="NFI">#N/A</definedName>
    <definedName name="NFI_R">#N/A</definedName>
    <definedName name="NGDP">#N/A</definedName>
    <definedName name="NGDP_DG">#N/A</definedName>
    <definedName name="NGDP_R">#N/A</definedName>
    <definedName name="NGDP_RG">#N/A</definedName>
    <definedName name="NGDPA" localSheetId="13">#REF!</definedName>
    <definedName name="NGDPA" localSheetId="15">#REF!</definedName>
    <definedName name="NGDPA" localSheetId="23">#REF!</definedName>
    <definedName name="NGDPA">#REF!</definedName>
    <definedName name="NGS_NGDP">#N/A</definedName>
    <definedName name="NINV">#N/A</definedName>
    <definedName name="NINV_R">#N/A</definedName>
    <definedName name="NM">#N/A</definedName>
    <definedName name="NM_R">#N/A</definedName>
    <definedName name="NMG_RG">#N/A</definedName>
    <definedName name="nn" localSheetId="3" hidden="1">{"Riqfin97",#N/A,FALSE,"Tran";"Riqfinpro",#N/A,FALSE,"Tran"}</definedName>
    <definedName name="nn" localSheetId="13" hidden="1">{"Riqfin97",#N/A,FALSE,"Tran";"Riqfinpro",#N/A,FALSE,"Tran"}</definedName>
    <definedName name="nn" localSheetId="15" hidden="1">{"Riqfin97",#N/A,FALSE,"Tran";"Riqfinpro",#N/A,FALSE,"Tran"}</definedName>
    <definedName name="nn" localSheetId="16" hidden="1">{"Riqfin97",#N/A,FALSE,"Tran";"Riqfinpro",#N/A,FALSE,"Tran"}</definedName>
    <definedName name="nn" localSheetId="18" hidden="1">{"Riqfin97",#N/A,FALSE,"Tran";"Riqfinpro",#N/A,FALSE,"Tran"}</definedName>
    <definedName name="nn" localSheetId="23" hidden="1">{"Riqfin97",#N/A,FALSE,"Tran";"Riqfinpro",#N/A,FALSE,"Tran"}</definedName>
    <definedName name="nn" localSheetId="4" hidden="1">{"Riqfin97",#N/A,FALSE,"Tran";"Riqfinpro",#N/A,FALSE,"Tran"}</definedName>
    <definedName name="nn" localSheetId="26" hidden="1">{"Riqfin97",#N/A,FALSE,"Tran";"Riqfinpro",#N/A,FALSE,"Tran"}</definedName>
    <definedName name="nn" localSheetId="27" hidden="1">{"Riqfin97",#N/A,FALSE,"Tran";"Riqfinpro",#N/A,FALSE,"Tran"}</definedName>
    <definedName name="nn" localSheetId="32" hidden="1">{"Riqfin97",#N/A,FALSE,"Tran";"Riqfinpro",#N/A,FALSE,"Tran"}</definedName>
    <definedName name="nn" localSheetId="6" hidden="1">{"Riqfin97",#N/A,FALSE,"Tran";"Riqfinpro",#N/A,FALSE,"Tran"}</definedName>
    <definedName name="nn" localSheetId="1" hidden="1">{"Riqfin97",#N/A,FALSE,"Tran";"Riqfinpro",#N/A,FALSE,"Tran"}</definedName>
    <definedName name="nn" hidden="1">{"Riqfin97",#N/A,FALSE,"Tran";"Riqfinpro",#N/A,FALSE,"Tran"}</definedName>
    <definedName name="nnn" localSheetId="3" hidden="1">{"Tab1",#N/A,FALSE,"P";"Tab2",#N/A,FALSE,"P"}</definedName>
    <definedName name="nnn" localSheetId="13" hidden="1">{"Tab1",#N/A,FALSE,"P";"Tab2",#N/A,FALSE,"P"}</definedName>
    <definedName name="nnn" localSheetId="15" hidden="1">{"Tab1",#N/A,FALSE,"P";"Tab2",#N/A,FALSE,"P"}</definedName>
    <definedName name="nnn" localSheetId="16" hidden="1">{"Tab1",#N/A,FALSE,"P";"Tab2",#N/A,FALSE,"P"}</definedName>
    <definedName name="nnn" localSheetId="18" hidden="1">{"Tab1",#N/A,FALSE,"P";"Tab2",#N/A,FALSE,"P"}</definedName>
    <definedName name="nnn" localSheetId="23" hidden="1">{"Tab1",#N/A,FALSE,"P";"Tab2",#N/A,FALSE,"P"}</definedName>
    <definedName name="nnn" localSheetId="4" hidden="1">{"Tab1",#N/A,FALSE,"P";"Tab2",#N/A,FALSE,"P"}</definedName>
    <definedName name="nnn" localSheetId="26" hidden="1">{"Tab1",#N/A,FALSE,"P";"Tab2",#N/A,FALSE,"P"}</definedName>
    <definedName name="nnn" localSheetId="27" hidden="1">{"Tab1",#N/A,FALSE,"P";"Tab2",#N/A,FALSE,"P"}</definedName>
    <definedName name="nnn" localSheetId="32" hidden="1">{"Tab1",#N/A,FALSE,"P";"Tab2",#N/A,FALSE,"P"}</definedName>
    <definedName name="nnn" localSheetId="6" hidden="1">{"Tab1",#N/A,FALSE,"P";"Tab2",#N/A,FALSE,"P"}</definedName>
    <definedName name="nnn" localSheetId="1" hidden="1">{"Tab1",#N/A,FALSE,"P";"Tab2",#N/A,FALSE,"P"}</definedName>
    <definedName name="nnn" hidden="1">{"Tab1",#N/A,FALSE,"P";"Tab2",#N/A,FALSE,"P"}</definedName>
    <definedName name="NOMINAL" localSheetId="13">#REF!</definedName>
    <definedName name="NOMINAL" localSheetId="15">#REF!</definedName>
    <definedName name="NOMINAL" localSheetId="23">#REF!</definedName>
    <definedName name="NOMINAL">#REF!</definedName>
    <definedName name="NPee_2" localSheetId="13">[31]Graf14_Graf15!#REF!</definedName>
    <definedName name="NPee_2" localSheetId="15">[31]Graf14_Graf15!#REF!</definedName>
    <definedName name="NPee_2" localSheetId="23">[31]Graf14_Graf15!#REF!</definedName>
    <definedName name="NPee_2">[31]Graf14_Graf15!#REF!</definedName>
    <definedName name="NPer_2" localSheetId="13">[31]Graf14_Graf15!#REF!</definedName>
    <definedName name="NPer_2" localSheetId="15">[31]Graf14_Graf15!#REF!</definedName>
    <definedName name="NPer_2">[31]Graf14_Graf15!#REF!</definedName>
    <definedName name="NTDD_RG">[24]!NTDD_RG</definedName>
    <definedName name="NX">#N/A</definedName>
    <definedName name="NX_R">#N/A</definedName>
    <definedName name="NXG_RG">#N/A</definedName>
    <definedName name="oblast">[28]tab!$A$1:$C$52</definedName>
    <definedName name="_xlnm.Print_Area">#N/A</definedName>
    <definedName name="Obs_conf_code">'[26]0102_QN_V'!$A$520:$A$524</definedName>
    <definedName name="Obs_status_code">'[26]0102_QN_V'!$A$505:$A$517</definedName>
    <definedName name="Odh" localSheetId="13">#REF!</definedName>
    <definedName name="Odh" localSheetId="15">#REF!</definedName>
    <definedName name="Odh" localSheetId="23">#REF!</definedName>
    <definedName name="Odh">#REF!</definedName>
    <definedName name="oliu" localSheetId="3" hidden="1">{"WEO",#N/A,FALSE,"T"}</definedName>
    <definedName name="oliu" localSheetId="13" hidden="1">{"WEO",#N/A,FALSE,"T"}</definedName>
    <definedName name="oliu" localSheetId="15" hidden="1">{"WEO",#N/A,FALSE,"T"}</definedName>
    <definedName name="oliu" localSheetId="23" hidden="1">{"WEO",#N/A,FALSE,"T"}</definedName>
    <definedName name="oliu" localSheetId="4" hidden="1">{"WEO",#N/A,FALSE,"T"}</definedName>
    <definedName name="oliu" localSheetId="26" hidden="1">{"WEO",#N/A,FALSE,"T"}</definedName>
    <definedName name="oliu" localSheetId="27" hidden="1">{"WEO",#N/A,FALSE,"T"}</definedName>
    <definedName name="oliu" localSheetId="32" hidden="1">{"WEO",#N/A,FALSE,"T"}</definedName>
    <definedName name="oliu" localSheetId="6" hidden="1">{"WEO",#N/A,FALSE,"T"}</definedName>
    <definedName name="oliu" hidden="1">{"WEO",#N/A,FALSE,"T"}</definedName>
    <definedName name="oo" localSheetId="3" hidden="1">{"Riqfin97",#N/A,FALSE,"Tran";"Riqfinpro",#N/A,FALSE,"Tran"}</definedName>
    <definedName name="oo" localSheetId="13" hidden="1">{"Riqfin97",#N/A,FALSE,"Tran";"Riqfinpro",#N/A,FALSE,"Tran"}</definedName>
    <definedName name="oo" localSheetId="15" hidden="1">{"Riqfin97",#N/A,FALSE,"Tran";"Riqfinpro",#N/A,FALSE,"Tran"}</definedName>
    <definedName name="oo" localSheetId="16" hidden="1">{"Riqfin97",#N/A,FALSE,"Tran";"Riqfinpro",#N/A,FALSE,"Tran"}</definedName>
    <definedName name="oo" localSheetId="18" hidden="1">{"Riqfin97",#N/A,FALSE,"Tran";"Riqfinpro",#N/A,FALSE,"Tran"}</definedName>
    <definedName name="oo" localSheetId="23" hidden="1">{"Riqfin97",#N/A,FALSE,"Tran";"Riqfinpro",#N/A,FALSE,"Tran"}</definedName>
    <definedName name="oo" localSheetId="4" hidden="1">{"Riqfin97",#N/A,FALSE,"Tran";"Riqfinpro",#N/A,FALSE,"Tran"}</definedName>
    <definedName name="oo" localSheetId="26" hidden="1">{"Riqfin97",#N/A,FALSE,"Tran";"Riqfinpro",#N/A,FALSE,"Tran"}</definedName>
    <definedName name="oo" localSheetId="27" hidden="1">{"Riqfin97",#N/A,FALSE,"Tran";"Riqfinpro",#N/A,FALSE,"Tran"}</definedName>
    <definedName name="oo" localSheetId="32" hidden="1">{"Riqfin97",#N/A,FALSE,"Tran";"Riqfinpro",#N/A,FALSE,"Tran"}</definedName>
    <definedName name="oo" localSheetId="6" hidden="1">{"Riqfin97",#N/A,FALSE,"Tran";"Riqfinpro",#N/A,FALSE,"Tran"}</definedName>
    <definedName name="oo" localSheetId="1" hidden="1">{"Riqfin97",#N/A,FALSE,"Tran";"Riqfinpro",#N/A,FALSE,"Tran"}</definedName>
    <definedName name="oo" hidden="1">{"Riqfin97",#N/A,FALSE,"Tran";"Riqfinpro",#N/A,FALSE,"Tran"}</definedName>
    <definedName name="ooo" localSheetId="3" hidden="1">{"Tab1",#N/A,FALSE,"P";"Tab2",#N/A,FALSE,"P"}</definedName>
    <definedName name="ooo" localSheetId="13" hidden="1">{"Tab1",#N/A,FALSE,"P";"Tab2",#N/A,FALSE,"P"}</definedName>
    <definedName name="ooo" localSheetId="15" hidden="1">{"Tab1",#N/A,FALSE,"P";"Tab2",#N/A,FALSE,"P"}</definedName>
    <definedName name="ooo" localSheetId="16" hidden="1">{"Tab1",#N/A,FALSE,"P";"Tab2",#N/A,FALSE,"P"}</definedName>
    <definedName name="ooo" localSheetId="18" hidden="1">{"Tab1",#N/A,FALSE,"P";"Tab2",#N/A,FALSE,"P"}</definedName>
    <definedName name="ooo" localSheetId="23" hidden="1">{"Tab1",#N/A,FALSE,"P";"Tab2",#N/A,FALSE,"P"}</definedName>
    <definedName name="ooo" localSheetId="4" hidden="1">{"Tab1",#N/A,FALSE,"P";"Tab2",#N/A,FALSE,"P"}</definedName>
    <definedName name="ooo" localSheetId="26" hidden="1">{"Tab1",#N/A,FALSE,"P";"Tab2",#N/A,FALSE,"P"}</definedName>
    <definedName name="ooo" localSheetId="27" hidden="1">{"Tab1",#N/A,FALSE,"P";"Tab2",#N/A,FALSE,"P"}</definedName>
    <definedName name="ooo" localSheetId="32" hidden="1">{"Tab1",#N/A,FALSE,"P";"Tab2",#N/A,FALSE,"P"}</definedName>
    <definedName name="ooo" localSheetId="6" hidden="1">{"Tab1",#N/A,FALSE,"P";"Tab2",#N/A,FALSE,"P"}</definedName>
    <definedName name="ooo" localSheetId="1" hidden="1">{"Tab1",#N/A,FALSE,"P";"Tab2",#N/A,FALSE,"P"}</definedName>
    <definedName name="ooo" hidden="1">{"Tab1",#N/A,FALSE,"P";"Tab2",#N/A,FALSE,"P"}</definedName>
    <definedName name="OS2015_new" localSheetId="13">#REF!</definedName>
    <definedName name="OS2015_new" localSheetId="14">#REF!</definedName>
    <definedName name="OS2015_new" localSheetId="15">#REF!</definedName>
    <definedName name="OS2015_new" localSheetId="23">#REF!</definedName>
    <definedName name="OS2015_new">#REF!</definedName>
    <definedName name="other" localSheetId="13">#REF!</definedName>
    <definedName name="other" localSheetId="15">#REF!</definedName>
    <definedName name="other" localSheetId="23">#REF!</definedName>
    <definedName name="other">#REF!</definedName>
    <definedName name="Otras_Residuales" localSheetId="13">#REF!</definedName>
    <definedName name="Otras_Residuales" localSheetId="15">#REF!</definedName>
    <definedName name="Otras_Residuales" localSheetId="23">#REF!</definedName>
    <definedName name="Otras_Residuales">#REF!</definedName>
    <definedName name="out">[69]output!$A$3:$P$128</definedName>
    <definedName name="OUTB">[33]B!$D$6:$H$6</definedName>
    <definedName name="outc">[33]C!$C$6:$D$6</definedName>
    <definedName name="output" localSheetId="13">#REF!</definedName>
    <definedName name="output" localSheetId="15">#REF!</definedName>
    <definedName name="output" localSheetId="23">#REF!</definedName>
    <definedName name="output">#REF!</definedName>
    <definedName name="output_projections">[70]projections!$A$3:$R$108</definedName>
    <definedName name="output1">[27]output!$A$1:$J$122</definedName>
    <definedName name="p" localSheetId="3" hidden="1">{"Riqfin97",#N/A,FALSE,"Tran";"Riqfinpro",#N/A,FALSE,"Tran"}</definedName>
    <definedName name="p" localSheetId="13" hidden="1">{"Riqfin97",#N/A,FALSE,"Tran";"Riqfinpro",#N/A,FALSE,"Tran"}</definedName>
    <definedName name="p" localSheetId="15" hidden="1">{"Riqfin97",#N/A,FALSE,"Tran";"Riqfinpro",#N/A,FALSE,"Tran"}</definedName>
    <definedName name="p" localSheetId="16" hidden="1">{"Riqfin97",#N/A,FALSE,"Tran";"Riqfinpro",#N/A,FALSE,"Tran"}</definedName>
    <definedName name="p" localSheetId="18" hidden="1">{"Riqfin97",#N/A,FALSE,"Tran";"Riqfinpro",#N/A,FALSE,"Tran"}</definedName>
    <definedName name="p" localSheetId="23" hidden="1">{"Riqfin97",#N/A,FALSE,"Tran";"Riqfinpro",#N/A,FALSE,"Tran"}</definedName>
    <definedName name="p" localSheetId="4" hidden="1">{"Riqfin97",#N/A,FALSE,"Tran";"Riqfinpro",#N/A,FALSE,"Tran"}</definedName>
    <definedName name="p" localSheetId="26" hidden="1">{"Riqfin97",#N/A,FALSE,"Tran";"Riqfinpro",#N/A,FALSE,"Tran"}</definedName>
    <definedName name="p" localSheetId="27" hidden="1">{"Riqfin97",#N/A,FALSE,"Tran";"Riqfinpro",#N/A,FALSE,"Tran"}</definedName>
    <definedName name="p" localSheetId="32" hidden="1">{"Riqfin97",#N/A,FALSE,"Tran";"Riqfinpro",#N/A,FALSE,"Tran"}</definedName>
    <definedName name="p" localSheetId="6" hidden="1">{"Riqfin97",#N/A,FALSE,"Tran";"Riqfinpro",#N/A,FALSE,"Tran"}</definedName>
    <definedName name="p" localSheetId="1" hidden="1">{"Riqfin97",#N/A,FALSE,"Tran";"Riqfinpro",#N/A,FALSE,"Tran"}</definedName>
    <definedName name="p" hidden="1">{"Riqfin97",#N/A,FALSE,"Tran";"Riqfinpro",#N/A,FALSE,"Tran"}</definedName>
    <definedName name="Page_4" localSheetId="13">#REF!</definedName>
    <definedName name="Page_4" localSheetId="15">#REF!</definedName>
    <definedName name="Page_4" localSheetId="23">#REF!</definedName>
    <definedName name="Page_4">#REF!</definedName>
    <definedName name="page2" localSheetId="13">#REF!</definedName>
    <definedName name="page2" localSheetId="15">#REF!</definedName>
    <definedName name="page2" localSheetId="23">#REF!</definedName>
    <definedName name="page2">#REF!</definedName>
    <definedName name="pat" hidden="1">[65]M!#REF!</definedName>
    <definedName name="pata" localSheetId="3" hidden="1">{"Tab1",#N/A,FALSE,"P";"Tab2",#N/A,FALSE,"P"}</definedName>
    <definedName name="pata" localSheetId="13" hidden="1">{"Tab1",#N/A,FALSE,"P";"Tab2",#N/A,FALSE,"P"}</definedName>
    <definedName name="pata" localSheetId="15" hidden="1">{"Tab1",#N/A,FALSE,"P";"Tab2",#N/A,FALSE,"P"}</definedName>
    <definedName name="pata" localSheetId="16" hidden="1">{"Tab1",#N/A,FALSE,"P";"Tab2",#N/A,FALSE,"P"}</definedName>
    <definedName name="pata" localSheetId="18" hidden="1">{"Tab1",#N/A,FALSE,"P";"Tab2",#N/A,FALSE,"P"}</definedName>
    <definedName name="pata" localSheetId="23" hidden="1">{"Tab1",#N/A,FALSE,"P";"Tab2",#N/A,FALSE,"P"}</definedName>
    <definedName name="pata" localSheetId="4" hidden="1">{"Tab1",#N/A,FALSE,"P";"Tab2",#N/A,FALSE,"P"}</definedName>
    <definedName name="pata" localSheetId="26" hidden="1">{"Tab1",#N/A,FALSE,"P";"Tab2",#N/A,FALSE,"P"}</definedName>
    <definedName name="pata" localSheetId="27" hidden="1">{"Tab1",#N/A,FALSE,"P";"Tab2",#N/A,FALSE,"P"}</definedName>
    <definedName name="pata" localSheetId="32" hidden="1">{"Tab1",#N/A,FALSE,"P";"Tab2",#N/A,FALSE,"P"}</definedName>
    <definedName name="pata" localSheetId="6" hidden="1">{"Tab1",#N/A,FALSE,"P";"Tab2",#N/A,FALSE,"P"}</definedName>
    <definedName name="pata" localSheetId="1" hidden="1">{"Tab1",#N/A,FALSE,"P";"Tab2",#N/A,FALSE,"P"}</definedName>
    <definedName name="pata" hidden="1">{"Tab1",#N/A,FALSE,"P";"Tab2",#N/A,FALSE,"P"}</definedName>
    <definedName name="PCPIG">#N/A</definedName>
    <definedName name="Petroecuador" localSheetId="13">#REF!</definedName>
    <definedName name="Petroecuador" localSheetId="15">#REF!</definedName>
    <definedName name="Petroecuador" localSheetId="23">#REF!</definedName>
    <definedName name="Petroecuador">#REF!</definedName>
    <definedName name="pchar00memu.m" localSheetId="13">[38]monthly!#REF!</definedName>
    <definedName name="pchar00memu.m" localSheetId="14">[38]monthly!#REF!</definedName>
    <definedName name="pchar00memu.m" localSheetId="15">[38]monthly!#REF!</definedName>
    <definedName name="pchar00memu.m" localSheetId="23">[38]monthly!#REF!</definedName>
    <definedName name="pchar00memu.m">[38]monthly!#REF!</definedName>
    <definedName name="podatki" localSheetId="13">#REF!</definedName>
    <definedName name="podatki" localSheetId="15">#REF!</definedName>
    <definedName name="podatki" localSheetId="23">#REF!</definedName>
    <definedName name="podatki">#REF!</definedName>
    <definedName name="Ports" localSheetId="13">#REF!</definedName>
    <definedName name="Ports" localSheetId="15">#REF!</definedName>
    <definedName name="Ports" localSheetId="23">#REF!</definedName>
    <definedName name="Ports">#REF!</definedName>
    <definedName name="pp" localSheetId="3" hidden="1">{"Riqfin97",#N/A,FALSE,"Tran";"Riqfinpro",#N/A,FALSE,"Tran"}</definedName>
    <definedName name="pp" localSheetId="13" hidden="1">{"Riqfin97",#N/A,FALSE,"Tran";"Riqfinpro",#N/A,FALSE,"Tran"}</definedName>
    <definedName name="pp" localSheetId="15" hidden="1">{"Riqfin97",#N/A,FALSE,"Tran";"Riqfinpro",#N/A,FALSE,"Tran"}</definedName>
    <definedName name="pp" localSheetId="16" hidden="1">{"Riqfin97",#N/A,FALSE,"Tran";"Riqfinpro",#N/A,FALSE,"Tran"}</definedName>
    <definedName name="pp" localSheetId="18" hidden="1">{"Riqfin97",#N/A,FALSE,"Tran";"Riqfinpro",#N/A,FALSE,"Tran"}</definedName>
    <definedName name="pp" localSheetId="23" hidden="1">{"Riqfin97",#N/A,FALSE,"Tran";"Riqfinpro",#N/A,FALSE,"Tran"}</definedName>
    <definedName name="pp" localSheetId="4" hidden="1">{"Riqfin97",#N/A,FALSE,"Tran";"Riqfinpro",#N/A,FALSE,"Tran"}</definedName>
    <definedName name="pp" localSheetId="26" hidden="1">{"Riqfin97",#N/A,FALSE,"Tran";"Riqfinpro",#N/A,FALSE,"Tran"}</definedName>
    <definedName name="pp" localSheetId="27" hidden="1">{"Riqfin97",#N/A,FALSE,"Tran";"Riqfinpro",#N/A,FALSE,"Tran"}</definedName>
    <definedName name="pp" localSheetId="32" hidden="1">{"Riqfin97",#N/A,FALSE,"Tran";"Riqfinpro",#N/A,FALSE,"Tran"}</definedName>
    <definedName name="pp" localSheetId="6" hidden="1">{"Riqfin97",#N/A,FALSE,"Tran";"Riqfinpro",#N/A,FALSE,"Tran"}</definedName>
    <definedName name="pp" localSheetId="1" hidden="1">{"Riqfin97",#N/A,FALSE,"Tran";"Riqfinpro",#N/A,FALSE,"Tran"}</definedName>
    <definedName name="pp" hidden="1">{"Riqfin97",#N/A,FALSE,"Tran";"Riqfinpro",#N/A,FALSE,"Tran"}</definedName>
    <definedName name="ppp" localSheetId="3" hidden="1">{"Riqfin97",#N/A,FALSE,"Tran";"Riqfinpro",#N/A,FALSE,"Tran"}</definedName>
    <definedName name="ppp" localSheetId="13" hidden="1">{"Riqfin97",#N/A,FALSE,"Tran";"Riqfinpro",#N/A,FALSE,"Tran"}</definedName>
    <definedName name="ppp" localSheetId="15" hidden="1">{"Riqfin97",#N/A,FALSE,"Tran";"Riqfinpro",#N/A,FALSE,"Tran"}</definedName>
    <definedName name="ppp" localSheetId="16" hidden="1">{"Riqfin97",#N/A,FALSE,"Tran";"Riqfinpro",#N/A,FALSE,"Tran"}</definedName>
    <definedName name="ppp" localSheetId="18" hidden="1">{"Riqfin97",#N/A,FALSE,"Tran";"Riqfinpro",#N/A,FALSE,"Tran"}</definedName>
    <definedName name="ppp" localSheetId="23" hidden="1">{"Riqfin97",#N/A,FALSE,"Tran";"Riqfinpro",#N/A,FALSE,"Tran"}</definedName>
    <definedName name="ppp" localSheetId="4" hidden="1">{"Riqfin97",#N/A,FALSE,"Tran";"Riqfinpro",#N/A,FALSE,"Tran"}</definedName>
    <definedName name="ppp" localSheetId="26" hidden="1">{"Riqfin97",#N/A,FALSE,"Tran";"Riqfinpro",#N/A,FALSE,"Tran"}</definedName>
    <definedName name="ppp" localSheetId="27" hidden="1">{"Riqfin97",#N/A,FALSE,"Tran";"Riqfinpro",#N/A,FALSE,"Tran"}</definedName>
    <definedName name="ppp" localSheetId="32" hidden="1">{"Riqfin97",#N/A,FALSE,"Tran";"Riqfinpro",#N/A,FALSE,"Tran"}</definedName>
    <definedName name="ppp" localSheetId="6" hidden="1">{"Riqfin97",#N/A,FALSE,"Tran";"Riqfinpro",#N/A,FALSE,"Tran"}</definedName>
    <definedName name="ppp" localSheetId="1" hidden="1">{"Riqfin97",#N/A,FALSE,"Tran";"Riqfinpro",#N/A,FALSE,"Tran"}</definedName>
    <definedName name="ppp" hidden="1">{"Riqfin97",#N/A,FALSE,"Tran";"Riqfinpro",#N/A,FALSE,"Tran"}</definedName>
    <definedName name="PPPWGT">#N/A</definedName>
    <definedName name="pri" localSheetId="13">#REF!</definedName>
    <definedName name="pri" localSheetId="15">#REF!</definedName>
    <definedName name="pri" localSheetId="23">#REF!</definedName>
    <definedName name="pri">#REF!</definedName>
    <definedName name="Prices_codes">'[26]0102_QN_V'!$A$534:$A$537</definedName>
    <definedName name="Print" localSheetId="13">#REF!</definedName>
    <definedName name="Print" localSheetId="15">#REF!</definedName>
    <definedName name="Print" localSheetId="23">#REF!</definedName>
    <definedName name="Print">#REF!</definedName>
    <definedName name="PRINT1" localSheetId="13">[71]Index!#REF!</definedName>
    <definedName name="PRINT1" localSheetId="15">[71]Index!#REF!</definedName>
    <definedName name="PRINT1" localSheetId="23">[71]Index!#REF!</definedName>
    <definedName name="PRINT1">[71]Index!#REF!</definedName>
    <definedName name="PRINT2" localSheetId="13">[71]Index!#REF!</definedName>
    <definedName name="PRINT2" localSheetId="15">[71]Index!#REF!</definedName>
    <definedName name="PRINT2">[71]Index!#REF!</definedName>
    <definedName name="PRINT3" localSheetId="13">[71]Index!#REF!</definedName>
    <definedName name="PRINT3" localSheetId="15">[71]Index!#REF!</definedName>
    <definedName name="PRINT3">[71]Index!#REF!</definedName>
    <definedName name="PrintThis_Links">[50]Links!$A$1:$F$33</definedName>
    <definedName name="profit">[23]C!$O$1:$T$1</definedName>
    <definedName name="prorač">[72]Prorač!$A:$IV</definedName>
    <definedName name="PvNee_2" localSheetId="13">[31]Graf14_Graf15!#REF!</definedName>
    <definedName name="PvNee_2" localSheetId="14">[31]Graf14_Graf15!#REF!</definedName>
    <definedName name="PvNee_2" localSheetId="15">[31]Graf14_Graf15!#REF!</definedName>
    <definedName name="PvNee_2">[31]Graf14_Graf15!#REF!</definedName>
    <definedName name="PvNer_2" localSheetId="13">[31]Graf14_Graf15!#REF!</definedName>
    <definedName name="PvNer_2" localSheetId="14">[31]Graf14_Graf15!#REF!</definedName>
    <definedName name="PvNer_2" localSheetId="15">[31]Graf14_Graf15!#REF!</definedName>
    <definedName name="PvNer_2">[31]Graf14_Graf15!#REF!</definedName>
    <definedName name="Q6_" localSheetId="13">#REF!</definedName>
    <definedName name="Q6_" localSheetId="15">#REF!</definedName>
    <definedName name="Q6_" localSheetId="23">#REF!</definedName>
    <definedName name="Q6_">#REF!</definedName>
    <definedName name="QFISCAL" localSheetId="13">'[3]Quarterly Raw Data'!#REF!</definedName>
    <definedName name="QFISCAL" localSheetId="15">'[3]Quarterly Raw Data'!#REF!</definedName>
    <definedName name="QFISCAL" localSheetId="23">'[3]Quarterly Raw Data'!#REF!</definedName>
    <definedName name="QFISCAL" localSheetId="32">'[3]Quarterly Raw Data'!#REF!</definedName>
    <definedName name="QFISCAL">'[3]Quarterly Raw Data'!#REF!</definedName>
    <definedName name="qq" localSheetId="3" hidden="1">'[62]J(Priv.Cap)'!#REF!</definedName>
    <definedName name="qq" localSheetId="13" hidden="1">'[62]J(Priv.Cap)'!#REF!</definedName>
    <definedName name="qq" localSheetId="15" hidden="1">'[62]J(Priv.Cap)'!#REF!</definedName>
    <definedName name="qq" localSheetId="16" hidden="1">'[62]J(Priv.Cap)'!#REF!</definedName>
    <definedName name="qq" localSheetId="18" hidden="1">'[62]J(Priv.Cap)'!#REF!</definedName>
    <definedName name="qq" localSheetId="4" hidden="1">'[62]J(Priv.Cap)'!#REF!</definedName>
    <definedName name="qq" localSheetId="1" hidden="1">'[62]J(Priv.Cap)'!#REF!</definedName>
    <definedName name="qq" hidden="1">'[62]J(Priv.Cap)'!#REF!</definedName>
    <definedName name="qrqer" hidden="1">'[10]i2-KA'!#REF!</definedName>
    <definedName name="qtab_35" localSheetId="13">'[73]i1-CA'!#REF!</definedName>
    <definedName name="qtab_35" localSheetId="14">'[73]i1-CA'!#REF!</definedName>
    <definedName name="qtab_35" localSheetId="15">'[73]i1-CA'!#REF!</definedName>
    <definedName name="qtab_35">'[73]i1-CA'!#REF!</definedName>
    <definedName name="QTAB7" localSheetId="13">'[3]Quarterly MacroFlow'!#REF!</definedName>
    <definedName name="QTAB7" localSheetId="14">'[3]Quarterly MacroFlow'!#REF!</definedName>
    <definedName name="QTAB7" localSheetId="15">'[3]Quarterly MacroFlow'!#REF!</definedName>
    <definedName name="QTAB7">'[3]Quarterly MacroFlow'!#REF!</definedName>
    <definedName name="QTAB7A" localSheetId="13">'[3]Quarterly MacroFlow'!#REF!</definedName>
    <definedName name="QTAB7A" localSheetId="14">'[3]Quarterly MacroFlow'!#REF!</definedName>
    <definedName name="QTAB7A" localSheetId="15">'[3]Quarterly MacroFlow'!#REF!</definedName>
    <definedName name="QTAB7A">'[3]Quarterly MacroFlow'!#REF!</definedName>
    <definedName name="quest1" localSheetId="13">#REF!</definedName>
    <definedName name="quest1" localSheetId="15">#REF!</definedName>
    <definedName name="quest1" localSheetId="23">#REF!</definedName>
    <definedName name="quest1">#REF!</definedName>
    <definedName name="quest2" localSheetId="13">#REF!</definedName>
    <definedName name="quest2" localSheetId="15">#REF!</definedName>
    <definedName name="quest2" localSheetId="23">#REF!</definedName>
    <definedName name="quest2">#REF!</definedName>
    <definedName name="quest3" localSheetId="13">#REF!</definedName>
    <definedName name="quest3" localSheetId="15">#REF!</definedName>
    <definedName name="quest3" localSheetId="23">#REF!</definedName>
    <definedName name="quest3">#REF!</definedName>
    <definedName name="quest4" localSheetId="13">#REF!</definedName>
    <definedName name="quest4" localSheetId="15">#REF!</definedName>
    <definedName name="quest4" localSheetId="23">#REF!</definedName>
    <definedName name="quest4">#REF!</definedName>
    <definedName name="quest5" localSheetId="13">#REF!</definedName>
    <definedName name="quest5" localSheetId="15">#REF!</definedName>
    <definedName name="quest5" localSheetId="23">#REF!</definedName>
    <definedName name="quest5">#REF!</definedName>
    <definedName name="quest6" localSheetId="13">#REF!</definedName>
    <definedName name="quest6" localSheetId="15">#REF!</definedName>
    <definedName name="quest6" localSheetId="23">#REF!</definedName>
    <definedName name="quest6">#REF!</definedName>
    <definedName name="quest7" localSheetId="13">#REF!</definedName>
    <definedName name="quest7" localSheetId="15">#REF!</definedName>
    <definedName name="quest7" localSheetId="23">#REF!</definedName>
    <definedName name="quest7">#REF!</definedName>
    <definedName name="QW" localSheetId="13">#REF!</definedName>
    <definedName name="QW" localSheetId="15">#REF!</definedName>
    <definedName name="qw" localSheetId="16" hidden="1">[8]G!#REF!</definedName>
    <definedName name="qw" localSheetId="18" hidden="1">[8]G!#REF!</definedName>
    <definedName name="QW" localSheetId="23">#REF!</definedName>
    <definedName name="QW">#REF!</definedName>
    <definedName name="qwqwr" hidden="1">#REF!</definedName>
    <definedName name="qwr" hidden="1">'[10]i2-KA'!#REF!</definedName>
    <definedName name="qwrerq" hidden="1">#REF!</definedName>
    <definedName name="qwrq" hidden="1">#REF!</definedName>
    <definedName name="qwrqrw" hidden="1">#REF!</definedName>
    <definedName name="qwrqwr" hidden="1">#REF!</definedName>
    <definedName name="REAL" localSheetId="13">#REF!</definedName>
    <definedName name="REAL" localSheetId="15">#REF!</definedName>
    <definedName name="REAL" localSheetId="23">#REF!</definedName>
    <definedName name="REAL">#REF!</definedName>
    <definedName name="REALANNUAL" localSheetId="13">#REF!</definedName>
    <definedName name="REALANNUAL" localSheetId="15">#REF!</definedName>
    <definedName name="REALANNUAL" localSheetId="23">#REF!</definedName>
    <definedName name="REALANNUAL">#REF!</definedName>
    <definedName name="realizacia">[74]Sheet1!$A$1:$I$406</definedName>
    <definedName name="realizacija">[74]Sheet1!$A$1:$I$406</definedName>
    <definedName name="REALNACT" localSheetId="13">#REF!</definedName>
    <definedName name="REALNACT" localSheetId="15">#REF!</definedName>
    <definedName name="REALNACT" localSheetId="23">#REF!</definedName>
    <definedName name="REALNACT">#REF!</definedName>
    <definedName name="red_26" localSheetId="13">#REF!</definedName>
    <definedName name="red_26" localSheetId="15">#REF!</definedName>
    <definedName name="red_26" localSheetId="23">#REF!</definedName>
    <definedName name="red_26">#REF!</definedName>
    <definedName name="red_33" localSheetId="13">#REF!</definedName>
    <definedName name="red_33" localSheetId="15">#REF!</definedName>
    <definedName name="red_33" localSheetId="23">#REF!</definedName>
    <definedName name="red_33">#REF!</definedName>
    <definedName name="red_34" localSheetId="13">#REF!</definedName>
    <definedName name="red_34" localSheetId="15">#REF!</definedName>
    <definedName name="red_34" localSheetId="23">#REF!</definedName>
    <definedName name="red_34">#REF!</definedName>
    <definedName name="red_35" localSheetId="13">#REF!</definedName>
    <definedName name="red_35" localSheetId="15">#REF!</definedName>
    <definedName name="red_35" localSheetId="23">#REF!</definedName>
    <definedName name="red_35">#REF!</definedName>
    <definedName name="REDTbl3" localSheetId="13">#REF!</definedName>
    <definedName name="REDTbl3" localSheetId="15">#REF!</definedName>
    <definedName name="REDTbl3" localSheetId="23">#REF!</definedName>
    <definedName name="REDTbl3">#REF!</definedName>
    <definedName name="REDTbl4" localSheetId="13">#REF!</definedName>
    <definedName name="REDTbl4" localSheetId="15">#REF!</definedName>
    <definedName name="REDTbl4" localSheetId="23">#REF!</definedName>
    <definedName name="REDTbl4">#REF!</definedName>
    <definedName name="REDTbl5" localSheetId="13">#REF!</definedName>
    <definedName name="REDTbl5" localSheetId="15">#REF!</definedName>
    <definedName name="REDTbl5" localSheetId="23">#REF!</definedName>
    <definedName name="REDTbl5">#REF!</definedName>
    <definedName name="REDTbl6" localSheetId="13">#REF!</definedName>
    <definedName name="REDTbl6" localSheetId="15">#REF!</definedName>
    <definedName name="REDTbl6" localSheetId="23">#REF!</definedName>
    <definedName name="REDTbl6">#REF!</definedName>
    <definedName name="REDTbl7" localSheetId="13">#REF!</definedName>
    <definedName name="REDTbl7" localSheetId="15">#REF!</definedName>
    <definedName name="REDTbl7" localSheetId="23">#REF!</definedName>
    <definedName name="REDTbl7">#REF!</definedName>
    <definedName name="REERCPI">[23]REER!$AZ$144:$AZ$206</definedName>
    <definedName name="REERPPI">[23]REER!$BB$144:$BB$206</definedName>
    <definedName name="RefVintage">[36]readme!$B$4</definedName>
    <definedName name="REGISTERALL" localSheetId="13">#REF!</definedName>
    <definedName name="REGISTERALL" localSheetId="15">#REF!</definedName>
    <definedName name="REGISTERALL" localSheetId="23">#REF!</definedName>
    <definedName name="REGISTERALL">#REF!</definedName>
    <definedName name="RETSAL">'[32]Real ec'!#REF!</definedName>
    <definedName name="RFSee_2" localSheetId="13">[31]Graf14_Graf15!#REF!</definedName>
    <definedName name="RFSee_2" localSheetId="15">[31]Graf14_Graf15!#REF!</definedName>
    <definedName name="RFSee_2" localSheetId="23">[31]Graf14_Graf15!#REF!</definedName>
    <definedName name="RFSee_2">[31]Graf14_Graf15!#REF!</definedName>
    <definedName name="RFSer_2" localSheetId="13">[31]Graf14_Graf15!#REF!</definedName>
    <definedName name="RFSer_2" localSheetId="15">[31]Graf14_Graf15!#REF!</definedName>
    <definedName name="RFSer_2">[31]Graf14_Graf15!#REF!</definedName>
    <definedName name="RGDPA" localSheetId="13">#REF!</definedName>
    <definedName name="RGDPA" localSheetId="15">#REF!</definedName>
    <definedName name="RGDPA" localSheetId="23">#REF!</definedName>
    <definedName name="RGDPA">#REF!</definedName>
    <definedName name="RgFdPartCsource" localSheetId="13">#REF!</definedName>
    <definedName name="RgFdPartCsource" localSheetId="15">#REF!</definedName>
    <definedName name="RgFdPartCsource" localSheetId="23">#REF!</definedName>
    <definedName name="RgFdPartCsource">#REF!</definedName>
    <definedName name="RgFdPartEseries" localSheetId="13">#REF!</definedName>
    <definedName name="RgFdPartEseries" localSheetId="15">#REF!</definedName>
    <definedName name="RgFdPartEseries" localSheetId="23">#REF!</definedName>
    <definedName name="RgFdPartEseries">#REF!</definedName>
    <definedName name="RgFdPartEsource" localSheetId="13">#REF!</definedName>
    <definedName name="RgFdPartEsource" localSheetId="15">#REF!</definedName>
    <definedName name="RgFdPartEsource" localSheetId="23">#REF!</definedName>
    <definedName name="RgFdPartEsource">#REF!</definedName>
    <definedName name="RgFdReptCSeries" localSheetId="13">#REF!</definedName>
    <definedName name="RgFdReptCSeries" localSheetId="15">#REF!</definedName>
    <definedName name="RgFdReptCSeries" localSheetId="23">#REF!</definedName>
    <definedName name="RgFdReptCSeries">#REF!</definedName>
    <definedName name="RgFdReptCsource" localSheetId="13">#REF!</definedName>
    <definedName name="RgFdReptCsource" localSheetId="15">#REF!</definedName>
    <definedName name="RgFdReptCsource" localSheetId="23">#REF!</definedName>
    <definedName name="RgFdReptCsource">#REF!</definedName>
    <definedName name="RgFdReptEseries" localSheetId="13">#REF!</definedName>
    <definedName name="RgFdReptEseries" localSheetId="15">#REF!</definedName>
    <definedName name="RgFdReptEseries" localSheetId="23">#REF!</definedName>
    <definedName name="RgFdReptEseries">#REF!</definedName>
    <definedName name="RgFdReptEsource" localSheetId="13">#REF!</definedName>
    <definedName name="RgFdReptEsource" localSheetId="15">#REF!</definedName>
    <definedName name="RgFdReptEsource" localSheetId="23">#REF!</definedName>
    <definedName name="RgFdReptEsource">#REF!</definedName>
    <definedName name="RgFdSAMethod" localSheetId="13">#REF!</definedName>
    <definedName name="RgFdSAMethod" localSheetId="15">#REF!</definedName>
    <definedName name="RgFdSAMethod" localSheetId="23">#REF!</definedName>
    <definedName name="RgFdSAMethod">#REF!</definedName>
    <definedName name="RgFdTbBper" localSheetId="13">#REF!</definedName>
    <definedName name="RgFdTbBper" localSheetId="15">#REF!</definedName>
    <definedName name="RgFdTbBper" localSheetId="23">#REF!</definedName>
    <definedName name="RgFdTbBper">#REF!</definedName>
    <definedName name="RgFdTbCreate" localSheetId="13">#REF!</definedName>
    <definedName name="RgFdTbCreate" localSheetId="15">#REF!</definedName>
    <definedName name="RgFdTbCreate" localSheetId="23">#REF!</definedName>
    <definedName name="RgFdTbCreate">#REF!</definedName>
    <definedName name="RgFdTbEper" localSheetId="13">#REF!</definedName>
    <definedName name="RgFdTbEper" localSheetId="15">#REF!</definedName>
    <definedName name="RgFdTbEper" localSheetId="23">#REF!</definedName>
    <definedName name="RgFdTbEper">#REF!</definedName>
    <definedName name="RGFdTbFoot" localSheetId="13">#REF!</definedName>
    <definedName name="RGFdTbFoot" localSheetId="15">#REF!</definedName>
    <definedName name="RGFdTbFoot" localSheetId="23">#REF!</definedName>
    <definedName name="RGFdTbFoot">#REF!</definedName>
    <definedName name="RgFdTbFreq" localSheetId="13">#REF!</definedName>
    <definedName name="RgFdTbFreq" localSheetId="15">#REF!</definedName>
    <definedName name="RgFdTbFreq" localSheetId="23">#REF!</definedName>
    <definedName name="RgFdTbFreq">#REF!</definedName>
    <definedName name="RgFdTbFreqVal" localSheetId="13">#REF!</definedName>
    <definedName name="RgFdTbFreqVal" localSheetId="15">#REF!</definedName>
    <definedName name="RgFdTbFreqVal" localSheetId="23">#REF!</definedName>
    <definedName name="RgFdTbFreqVal">#REF!</definedName>
    <definedName name="RgFdTbSendto" localSheetId="13">#REF!</definedName>
    <definedName name="RgFdTbSendto" localSheetId="15">#REF!</definedName>
    <definedName name="RgFdTbSendto" localSheetId="23">#REF!</definedName>
    <definedName name="RgFdTbSendto">#REF!</definedName>
    <definedName name="RgFdWgtMethod" localSheetId="13">#REF!</definedName>
    <definedName name="RgFdWgtMethod" localSheetId="15">#REF!</definedName>
    <definedName name="RgFdWgtMethod" localSheetId="23">#REF!</definedName>
    <definedName name="RgFdWgtMethod">#REF!</definedName>
    <definedName name="RGSPA" localSheetId="13">#REF!</definedName>
    <definedName name="RGSPA" localSheetId="15">#REF!</definedName>
    <definedName name="RGSPA" localSheetId="23">#REF!</definedName>
    <definedName name="RGSPA">#REF!</definedName>
    <definedName name="rngBefore">[50]Main!$AB$26</definedName>
    <definedName name="rngDepartmentDrive">[50]Main!$AB$23</definedName>
    <definedName name="rngEMailAddress">[50]Main!$AB$20</definedName>
    <definedName name="rngErrorSort">[50]ErrCheck!$A$4</definedName>
    <definedName name="rngLastSave">[50]Main!$G$19</definedName>
    <definedName name="rngLastSent">[50]Main!$G$18</definedName>
    <definedName name="rngLastUpdate">[50]Links!$D$2</definedName>
    <definedName name="rngNeedsUpdate">[50]Links!$E$2</definedName>
    <definedName name="rngNews">[50]Main!$AB$27</definedName>
    <definedName name="rngQuestChecked">[50]ErrCheck!$A$3</definedName>
    <definedName name="rounding" localSheetId="13">[31]Graf14_Graf15!#REF!</definedName>
    <definedName name="rounding" localSheetId="15">[31]Graf14_Graf15!#REF!</definedName>
    <definedName name="rounding">[31]Graf14_Graf15!#REF!</definedName>
    <definedName name="rr" localSheetId="3" hidden="1">{"Riqfin97",#N/A,FALSE,"Tran";"Riqfinpro",#N/A,FALSE,"Tran"}</definedName>
    <definedName name="rr" localSheetId="13" hidden="1">{"Riqfin97",#N/A,FALSE,"Tran";"Riqfinpro",#N/A,FALSE,"Tran"}</definedName>
    <definedName name="rr" localSheetId="15" hidden="1">{"Riqfin97",#N/A,FALSE,"Tran";"Riqfinpro",#N/A,FALSE,"Tran"}</definedName>
    <definedName name="rr" localSheetId="16" hidden="1">{"Riqfin97",#N/A,FALSE,"Tran";"Riqfinpro",#N/A,FALSE,"Tran"}</definedName>
    <definedName name="rr" localSheetId="18" hidden="1">{"Riqfin97",#N/A,FALSE,"Tran";"Riqfinpro",#N/A,FALSE,"Tran"}</definedName>
    <definedName name="rr" localSheetId="23" hidden="1">{"Riqfin97",#N/A,FALSE,"Tran";"Riqfinpro",#N/A,FALSE,"Tran"}</definedName>
    <definedName name="rr" localSheetId="4" hidden="1">{"Riqfin97",#N/A,FALSE,"Tran";"Riqfinpro",#N/A,FALSE,"Tran"}</definedName>
    <definedName name="rr" localSheetId="26" hidden="1">{"Riqfin97",#N/A,FALSE,"Tran";"Riqfinpro",#N/A,FALSE,"Tran"}</definedName>
    <definedName name="rr" localSheetId="27" hidden="1">{"Riqfin97",#N/A,FALSE,"Tran";"Riqfinpro",#N/A,FALSE,"Tran"}</definedName>
    <definedName name="rr" localSheetId="32" hidden="1">{"Riqfin97",#N/A,FALSE,"Tran";"Riqfinpro",#N/A,FALSE,"Tran"}</definedName>
    <definedName name="rr" localSheetId="6" hidden="1">{"Riqfin97",#N/A,FALSE,"Tran";"Riqfinpro",#N/A,FALSE,"Tran"}</definedName>
    <definedName name="rr" localSheetId="1" hidden="1">{"Riqfin97",#N/A,FALSE,"Tran";"Riqfinpro",#N/A,FALSE,"Tran"}</definedName>
    <definedName name="rr" hidden="1">{"Riqfin97",#N/A,FALSE,"Tran";"Riqfinpro",#N/A,FALSE,"Tran"}</definedName>
    <definedName name="rrr" localSheetId="3" hidden="1">{"Riqfin97",#N/A,FALSE,"Tran";"Riqfinpro",#N/A,FALSE,"Tran"}</definedName>
    <definedName name="rrr" localSheetId="13" hidden="1">{"Riqfin97",#N/A,FALSE,"Tran";"Riqfinpro",#N/A,FALSE,"Tran"}</definedName>
    <definedName name="rrr" localSheetId="15" hidden="1">{"Riqfin97",#N/A,FALSE,"Tran";"Riqfinpro",#N/A,FALSE,"Tran"}</definedName>
    <definedName name="rrr" localSheetId="16" hidden="1">{"Riqfin97",#N/A,FALSE,"Tran";"Riqfinpro",#N/A,FALSE,"Tran"}</definedName>
    <definedName name="rrr" localSheetId="18" hidden="1">{"Riqfin97",#N/A,FALSE,"Tran";"Riqfinpro",#N/A,FALSE,"Tran"}</definedName>
    <definedName name="rrr" localSheetId="23" hidden="1">{"Riqfin97",#N/A,FALSE,"Tran";"Riqfinpro",#N/A,FALSE,"Tran"}</definedName>
    <definedName name="rrr" localSheetId="4" hidden="1">{"Riqfin97",#N/A,FALSE,"Tran";"Riqfinpro",#N/A,FALSE,"Tran"}</definedName>
    <definedName name="rrr" localSheetId="26" hidden="1">{"Riqfin97",#N/A,FALSE,"Tran";"Riqfinpro",#N/A,FALSE,"Tran"}</definedName>
    <definedName name="rrr" localSheetId="27" hidden="1">{"Riqfin97",#N/A,FALSE,"Tran";"Riqfinpro",#N/A,FALSE,"Tran"}</definedName>
    <definedName name="rrr" localSheetId="32" hidden="1">{"Riqfin97",#N/A,FALSE,"Tran";"Riqfinpro",#N/A,FALSE,"Tran"}</definedName>
    <definedName name="rrr" localSheetId="6" hidden="1">{"Riqfin97",#N/A,FALSE,"Tran";"Riqfinpro",#N/A,FALSE,"Tran"}</definedName>
    <definedName name="rrr" localSheetId="1" hidden="1">{"Riqfin97",#N/A,FALSE,"Tran";"Riqfinpro",#N/A,FALSE,"Tran"}</definedName>
    <definedName name="rrr" hidden="1">{"Riqfin97",#N/A,FALSE,"Tran";"Riqfinpro",#N/A,FALSE,"Tran"}</definedName>
    <definedName name="RULCPPI">[23]C!$O$9:$O$71</definedName>
    <definedName name="SAPBEXrevision" hidden="1">38</definedName>
    <definedName name="SAPBEXsysID" hidden="1">"BSP"</definedName>
    <definedName name="SAPBEXwbID" hidden="1">"4GPMQGOE6GBN721YXH4DRY8ES"</definedName>
    <definedName name="sdakjkjsad" localSheetId="3" hidden="1">'[5]Time series'!#REF!</definedName>
    <definedName name="sdakjkjsad" localSheetId="13" hidden="1">'[5]Time series'!#REF!</definedName>
    <definedName name="sdakjkjsad" localSheetId="15" hidden="1">'[5]Time series'!#REF!</definedName>
    <definedName name="sdakjkjsad" localSheetId="23" hidden="1">'[5]Time series'!#REF!</definedName>
    <definedName name="sdakjkjsad" localSheetId="4" hidden="1">'[5]Time series'!#REF!</definedName>
    <definedName name="sdakjkjsad" hidden="1">'[5]Time series'!#REF!</definedName>
    <definedName name="sdffds" hidden="1">#REF!</definedName>
    <definedName name="sdfsdf">#REF!</definedName>
    <definedName name="sdfsfd" hidden="1">#REF!</definedName>
    <definedName name="SECTORS" localSheetId="13">#REF!</definedName>
    <definedName name="SECTORS" localSheetId="15">#REF!</definedName>
    <definedName name="SECTORS" localSheetId="23">#REF!</definedName>
    <definedName name="SECTORS">#REF!</definedName>
    <definedName name="seitable">'[75]Sel. Ind. Tbl'!$A$3:$G$75</definedName>
    <definedName name="sencount" hidden="1">2</definedName>
    <definedName name="SENTIM">'[32]Real ec'!#REF!</definedName>
    <definedName name="SPee_2" localSheetId="13">[31]Graf14_Graf15!#REF!</definedName>
    <definedName name="SPee_2" localSheetId="15">[31]Graf14_Graf15!#REF!</definedName>
    <definedName name="SPee_2" localSheetId="32">[31]Graf14_Graf15!#REF!</definedName>
    <definedName name="SPee_2">[31]Graf14_Graf15!#REF!</definedName>
    <definedName name="SPer_2" localSheetId="13">[31]Graf14_Graf15!#REF!</definedName>
    <definedName name="SPer_2" localSheetId="15">[31]Graf14_Graf15!#REF!</definedName>
    <definedName name="SPer_2">[31]Graf14_Graf15!#REF!</definedName>
    <definedName name="SPPY15" localSheetId="13">#REF!</definedName>
    <definedName name="SPPY15" localSheetId="15">#REF!</definedName>
    <definedName name="SPPY15">#REF!</definedName>
    <definedName name="SPPY16" localSheetId="13">#REF!</definedName>
    <definedName name="SPPY16">#REF!</definedName>
    <definedName name="SPPY17" localSheetId="13">#REF!</definedName>
    <definedName name="SPPY17">#REF!</definedName>
    <definedName name="SPPY18" localSheetId="13">#REF!</definedName>
    <definedName name="SPPY18">#REF!</definedName>
    <definedName name="SPPY19" localSheetId="13">#REF!</definedName>
    <definedName name="SPPY19">#REF!</definedName>
    <definedName name="SPPY20" localSheetId="13">#REF!</definedName>
    <definedName name="SPPY20">#REF!</definedName>
    <definedName name="SprejetiProracun" localSheetId="13">#REF!</definedName>
    <definedName name="SprejetiProracun" localSheetId="15">#REF!</definedName>
    <definedName name="SprejetiProracun" localSheetId="23">#REF!</definedName>
    <definedName name="SprejetiProracun">#REF!</definedName>
    <definedName name="SR_3" localSheetId="13">#REF!</definedName>
    <definedName name="SR_3" localSheetId="15">#REF!</definedName>
    <definedName name="SR_3" localSheetId="23">#REF!</definedName>
    <definedName name="SR_3">#REF!</definedName>
    <definedName name="SR_5" localSheetId="13">#REF!</definedName>
    <definedName name="SR_5" localSheetId="15">#REF!</definedName>
    <definedName name="SR_5" localSheetId="23">#REF!</definedName>
    <definedName name="SR_5">#REF!</definedName>
    <definedName name="ss" localSheetId="7">'[49]VCP!H1@ 4'!#REF!</definedName>
    <definedName name="ss" localSheetId="8">'[49]VCP!H1@ 4'!#REF!</definedName>
    <definedName name="ss" localSheetId="9">'[49]VCP!H1@ 4'!#REF!</definedName>
    <definedName name="ss" localSheetId="10">'[49]VCP!H1@ 4'!#REF!</definedName>
    <definedName name="ss" localSheetId="11">'[49]VCP!H1@ 4'!#REF!</definedName>
    <definedName name="SS">[76]IMATA!$B$45:$B$108</definedName>
    <definedName name="sss" hidden="1">#REF!</definedName>
    <definedName name="StatusTable">[36]readme!$A$12:$B$21</definedName>
    <definedName name="T1.13" localSheetId="13">#REF!</definedName>
    <definedName name="T1.13" localSheetId="15">#REF!</definedName>
    <definedName name="T1.13" localSheetId="23">#REF!</definedName>
    <definedName name="T1.13">#REF!</definedName>
    <definedName name="t2q" localSheetId="13">#REF!</definedName>
    <definedName name="t2q" localSheetId="15">#REF!</definedName>
    <definedName name="t2q" localSheetId="23">#REF!</definedName>
    <definedName name="t2q">#REF!</definedName>
    <definedName name="TAB1A" localSheetId="13">#REF!</definedName>
    <definedName name="TAB1A" localSheetId="15">#REF!</definedName>
    <definedName name="TAB1A" localSheetId="23">#REF!</definedName>
    <definedName name="TAB1A">#REF!</definedName>
    <definedName name="TAB1CK" localSheetId="13">#REF!</definedName>
    <definedName name="TAB1CK" localSheetId="15">#REF!</definedName>
    <definedName name="TAB1CK" localSheetId="23">#REF!</definedName>
    <definedName name="TAB1CK">#REF!</definedName>
    <definedName name="Tab25a" localSheetId="13">#REF!</definedName>
    <definedName name="Tab25a" localSheetId="15">#REF!</definedName>
    <definedName name="Tab25a" localSheetId="23">#REF!</definedName>
    <definedName name="Tab25a">#REF!</definedName>
    <definedName name="Tab25b" localSheetId="13">#REF!</definedName>
    <definedName name="Tab25b" localSheetId="15">#REF!</definedName>
    <definedName name="Tab25b" localSheetId="23">#REF!</definedName>
    <definedName name="Tab25b">#REF!</definedName>
    <definedName name="TAB2A" localSheetId="13">#REF!</definedName>
    <definedName name="TAB2A" localSheetId="15">#REF!</definedName>
    <definedName name="TAB2A" localSheetId="23">#REF!</definedName>
    <definedName name="TAB2A">#REF!</definedName>
    <definedName name="TAB5A" localSheetId="13">#REF!</definedName>
    <definedName name="TAB5A" localSheetId="15">#REF!</definedName>
    <definedName name="TAB5A" localSheetId="23">#REF!</definedName>
    <definedName name="TAB5A">#REF!</definedName>
    <definedName name="TAB6A" localSheetId="13">'[3]Annual Tables'!#REF!</definedName>
    <definedName name="TAB6A" localSheetId="15">'[3]Annual Tables'!#REF!</definedName>
    <definedName name="TAB6A" localSheetId="23">'[3]Annual Tables'!#REF!</definedName>
    <definedName name="TAB6A">'[3]Annual Tables'!#REF!</definedName>
    <definedName name="TAB6B" localSheetId="13">'[3]Annual Tables'!#REF!</definedName>
    <definedName name="TAB6B" localSheetId="15">'[3]Annual Tables'!#REF!</definedName>
    <definedName name="TAB6B" localSheetId="23">'[3]Annual Tables'!#REF!</definedName>
    <definedName name="TAB6B">'[3]Annual Tables'!#REF!</definedName>
    <definedName name="TAB6C" localSheetId="13">#REF!</definedName>
    <definedName name="TAB6C" localSheetId="15">#REF!</definedName>
    <definedName name="TAB6C" localSheetId="23">#REF!</definedName>
    <definedName name="TAB6C">#REF!</definedName>
    <definedName name="TAB7A" localSheetId="13">#REF!</definedName>
    <definedName name="TAB7A" localSheetId="15">#REF!</definedName>
    <definedName name="TAB7A" localSheetId="23">#REF!</definedName>
    <definedName name="TAB7A">#REF!</definedName>
    <definedName name="tabC1" localSheetId="13">#REF!</definedName>
    <definedName name="tabC1" localSheetId="15">#REF!</definedName>
    <definedName name="tabC1" localSheetId="23">#REF!</definedName>
    <definedName name="tabC1">#REF!</definedName>
    <definedName name="tabC2" localSheetId="13">#REF!</definedName>
    <definedName name="tabC2" localSheetId="15">#REF!</definedName>
    <definedName name="tabC2" localSheetId="23">#REF!</definedName>
    <definedName name="tabC2">#REF!</definedName>
    <definedName name="Tabela_6a" localSheetId="13">#REF!</definedName>
    <definedName name="Tabela_6a" localSheetId="15">#REF!</definedName>
    <definedName name="Tabela_6a" localSheetId="23">#REF!</definedName>
    <definedName name="Tabela_6a">#REF!</definedName>
    <definedName name="tabela3a" localSheetId="13">'[77]Table 1'!#REF!</definedName>
    <definedName name="tabela3a" localSheetId="15">'[77]Table 1'!#REF!</definedName>
    <definedName name="tabela3a" localSheetId="23">'[77]Table 1'!#REF!</definedName>
    <definedName name="tabela3a">'[77]Table 1'!#REF!</definedName>
    <definedName name="Tabelaxx" localSheetId="13">#REF!</definedName>
    <definedName name="Tabelaxx" localSheetId="15">#REF!</definedName>
    <definedName name="Tabelaxx" localSheetId="23">#REF!</definedName>
    <definedName name="Tabelaxx">#REF!</definedName>
    <definedName name="tabF" localSheetId="13">#REF!</definedName>
    <definedName name="tabF" localSheetId="15">#REF!</definedName>
    <definedName name="tabF" localSheetId="23">#REF!</definedName>
    <definedName name="tabF">#REF!</definedName>
    <definedName name="tabH" localSheetId="13">#REF!</definedName>
    <definedName name="tabH" localSheetId="15">#REF!</definedName>
    <definedName name="tabH" localSheetId="23">#REF!</definedName>
    <definedName name="tabH">#REF!</definedName>
    <definedName name="tabI" localSheetId="13">#REF!</definedName>
    <definedName name="tabI" localSheetId="15">#REF!</definedName>
    <definedName name="tabI" localSheetId="23">#REF!</definedName>
    <definedName name="tabI">#REF!</definedName>
    <definedName name="Table__47">[78]RED47!$A$1:$I$53</definedName>
    <definedName name="Table_2._Country_X___Public_Sector_Financing_1" localSheetId="13">#REF!</definedName>
    <definedName name="Table_2._Country_X___Public_Sector_Financing_1" localSheetId="15">#REF!</definedName>
    <definedName name="Table_2._Country_X___Public_Sector_Financing_1" localSheetId="23">#REF!</definedName>
    <definedName name="Table_2._Country_X___Public_Sector_Financing_1">#REF!</definedName>
    <definedName name="Table_4SR" localSheetId="13">#REF!</definedName>
    <definedName name="Table_4SR" localSheetId="15">#REF!</definedName>
    <definedName name="Table_4SR" localSheetId="23">#REF!</definedName>
    <definedName name="Table_4SR">#REF!</definedName>
    <definedName name="Table_debt">[79]Table!$A$3:$AB$73</definedName>
    <definedName name="TABLE1" localSheetId="13">#REF!</definedName>
    <definedName name="TABLE1" localSheetId="15">#REF!</definedName>
    <definedName name="TABLE1" localSheetId="23">#REF!</definedName>
    <definedName name="TABLE1">#REF!</definedName>
    <definedName name="Table1printarea" localSheetId="13">#REF!</definedName>
    <definedName name="Table1printarea" localSheetId="15">#REF!</definedName>
    <definedName name="Table1printarea" localSheetId="23">#REF!</definedName>
    <definedName name="Table1printarea">#REF!</definedName>
    <definedName name="table30" localSheetId="13">#REF!</definedName>
    <definedName name="table30" localSheetId="15">#REF!</definedName>
    <definedName name="table30" localSheetId="23">#REF!</definedName>
    <definedName name="table30">#REF!</definedName>
    <definedName name="TABLE31" localSheetId="13">#REF!</definedName>
    <definedName name="TABLE31" localSheetId="15">#REF!</definedName>
    <definedName name="TABLE31" localSheetId="23">#REF!</definedName>
    <definedName name="TABLE31">#REF!</definedName>
    <definedName name="TABLE32" localSheetId="13">#REF!</definedName>
    <definedName name="TABLE32" localSheetId="15">#REF!</definedName>
    <definedName name="TABLE32" localSheetId="23">#REF!</definedName>
    <definedName name="TABLE32">#REF!</definedName>
    <definedName name="TABLE33" localSheetId="13">#REF!</definedName>
    <definedName name="TABLE33" localSheetId="15">#REF!</definedName>
    <definedName name="TABLE33" localSheetId="23">#REF!</definedName>
    <definedName name="TABLE33">#REF!</definedName>
    <definedName name="TABLE4" localSheetId="13">#REF!</definedName>
    <definedName name="TABLE4" localSheetId="15">#REF!</definedName>
    <definedName name="TABLE4" localSheetId="23">#REF!</definedName>
    <definedName name="TABLE4">#REF!</definedName>
    <definedName name="table6" localSheetId="13">#REF!</definedName>
    <definedName name="table6" localSheetId="15">#REF!</definedName>
    <definedName name="table6" localSheetId="23">#REF!</definedName>
    <definedName name="table6">#REF!</definedName>
    <definedName name="table9" localSheetId="13">#REF!</definedName>
    <definedName name="table9" localSheetId="15">#REF!</definedName>
    <definedName name="table9" localSheetId="23">#REF!</definedName>
    <definedName name="table9">#REF!</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26" hidden="1">{"g95_96m1",#N/A,FALSE,"Graf(95+96)M";"g95_96m2",#N/A,FALSE,"Graf(95+96)M";"g95_96mb1",#N/A,FALSE,"Graf(95+96)Mb";"g95_96mb2",#N/A,FALSE,"Graf(95+96)Mb";"g95_96f1",#N/A,FALSE,"Graf(95+96)F";"g95_96f2",#N/A,FALSE,"Graf(95+96)F";"g95_96fb1",#N/A,FALSE,"Graf(95+96)Fb";"g95_96fb2",#N/A,FALSE,"Graf(95+96)Fb"}</definedName>
    <definedName name="tabx" localSheetId="27"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ME" localSheetId="13">#REF!</definedName>
    <definedName name="TAME" localSheetId="14">#REF!</definedName>
    <definedName name="TAME" localSheetId="15">#REF!</definedName>
    <definedName name="TAME" localSheetId="23">#REF!</definedName>
    <definedName name="TAME">#REF!</definedName>
    <definedName name="Tbl_GFN">[79]Table_GEF!$B$2:$T$53</definedName>
    <definedName name="tblChecks">[50]ErrCheck!$A$3:$E$5</definedName>
    <definedName name="tblLinks">[50]Links!$A$4:$F$33</definedName>
    <definedName name="TEMP" localSheetId="13">[80]Data!#REF!</definedName>
    <definedName name="TEMP" localSheetId="15">[80]Data!#REF!</definedName>
    <definedName name="TEMP" localSheetId="32">[80]Data!#REF!</definedName>
    <definedName name="TEMP">[80]Data!#REF!</definedName>
    <definedName name="tempo_kles" localSheetId="13">[31]Graf14_Graf15!#REF!</definedName>
    <definedName name="tempo_kles" localSheetId="15">[31]Graf14_Graf15!#REF!</definedName>
    <definedName name="tempo_kles">[31]Graf14_Graf15!#REF!</definedName>
    <definedName name="tempo_kles_2" localSheetId="13">[31]Graf14_Graf15!#REF!</definedName>
    <definedName name="tempo_kles_2" localSheetId="15">[31]Graf14_Graf15!#REF!</definedName>
    <definedName name="tempo_kles_2">[31]Graf14_Graf15!#REF!</definedName>
    <definedName name="text" localSheetId="3" hidden="1">{#N/A,#N/A,FALSE,"CB";#N/A,#N/A,FALSE,"CMB";#N/A,#N/A,FALSE,"BSYS";#N/A,#N/A,FALSE,"NBFI";#N/A,#N/A,FALSE,"FSYS"}</definedName>
    <definedName name="text" localSheetId="13" hidden="1">{#N/A,#N/A,FALSE,"CB";#N/A,#N/A,FALSE,"CMB";#N/A,#N/A,FALSE,"BSYS";#N/A,#N/A,FALSE,"NBFI";#N/A,#N/A,FALSE,"FSYS"}</definedName>
    <definedName name="text" localSheetId="15" hidden="1">{#N/A,#N/A,FALSE,"CB";#N/A,#N/A,FALSE,"CMB";#N/A,#N/A,FALSE,"BSYS";#N/A,#N/A,FALSE,"NBFI";#N/A,#N/A,FALSE,"FSYS"}</definedName>
    <definedName name="text" localSheetId="23" hidden="1">{#N/A,#N/A,FALSE,"CB";#N/A,#N/A,FALSE,"CMB";#N/A,#N/A,FALSE,"BSYS";#N/A,#N/A,FALSE,"NBFI";#N/A,#N/A,FALSE,"FSYS"}</definedName>
    <definedName name="text" localSheetId="4" hidden="1">{#N/A,#N/A,FALSE,"CB";#N/A,#N/A,FALSE,"CMB";#N/A,#N/A,FALSE,"BSYS";#N/A,#N/A,FALSE,"NBFI";#N/A,#N/A,FALSE,"FSYS"}</definedName>
    <definedName name="text" localSheetId="26" hidden="1">{#N/A,#N/A,FALSE,"CB";#N/A,#N/A,FALSE,"CMB";#N/A,#N/A,FALSE,"BSYS";#N/A,#N/A,FALSE,"NBFI";#N/A,#N/A,FALSE,"FSYS"}</definedName>
    <definedName name="text" localSheetId="27" hidden="1">{#N/A,#N/A,FALSE,"CB";#N/A,#N/A,FALSE,"CMB";#N/A,#N/A,FALSE,"BSYS";#N/A,#N/A,FALSE,"NBFI";#N/A,#N/A,FALSE,"FSYS"}</definedName>
    <definedName name="text" localSheetId="32" hidden="1">{#N/A,#N/A,FALSE,"CB";#N/A,#N/A,FALSE,"CMB";#N/A,#N/A,FALSE,"BSYS";#N/A,#N/A,FALSE,"NBFI";#N/A,#N/A,FALSE,"FSYS"}</definedName>
    <definedName name="text" localSheetId="6" hidden="1">{#N/A,#N/A,FALSE,"CB";#N/A,#N/A,FALSE,"CMB";#N/A,#N/A,FALSE,"BSYS";#N/A,#N/A,FALSE,"NBFI";#N/A,#N/A,FALSE,"FSYS"}</definedName>
    <definedName name="text" hidden="1">{#N/A,#N/A,FALSE,"CB";#N/A,#N/A,FALSE,"CMB";#N/A,#N/A,FALSE,"BSYS";#N/A,#N/A,FALSE,"NBFI";#N/A,#N/A,FALSE,"FSYS"}</definedName>
    <definedName name="TMG_D">[30]Q5!$E$23:$AH$23</definedName>
    <definedName name="TMGO">#N/A</definedName>
    <definedName name="TOWEO" localSheetId="13">#REF!</definedName>
    <definedName name="TOWEO" localSheetId="15">#REF!</definedName>
    <definedName name="TOWEO" localSheetId="23">#REF!</definedName>
    <definedName name="TOWEO">#REF!</definedName>
    <definedName name="TRADE3" localSheetId="13">[1]Trade!#REF!</definedName>
    <definedName name="TRADE3" localSheetId="14">[1]Trade!#REF!</definedName>
    <definedName name="TRADE3" localSheetId="15">[1]Trade!#REF!</definedName>
    <definedName name="TRADE3" localSheetId="23">[1]Trade!#REF!</definedName>
    <definedName name="TRADE3">[1]Trade!#REF!</definedName>
    <definedName name="trans" localSheetId="13">#REF!</definedName>
    <definedName name="trans" localSheetId="15">#REF!</definedName>
    <definedName name="trans" localSheetId="23">#REF!</definedName>
    <definedName name="trans">#REF!</definedName>
    <definedName name="Transfer_check" localSheetId="13">#REF!</definedName>
    <definedName name="Transfer_check" localSheetId="15">#REF!</definedName>
    <definedName name="Transfer_check" localSheetId="23">#REF!</definedName>
    <definedName name="Transfer_check">#REF!</definedName>
    <definedName name="Transformation_codes">'[26]0102_QN_V'!$A$540:$A$542</definedName>
    <definedName name="TRANSNAVE" localSheetId="13">#REF!</definedName>
    <definedName name="TRANSNAVE" localSheetId="15">#REF!</definedName>
    <definedName name="TRANSNAVE" localSheetId="23">#REF!</definedName>
    <definedName name="TRANSNAVE">#REF!</definedName>
    <definedName name="TRNR_047ad6496ad7458c9be195054d469f3c_23_4" hidden="1">#REF!</definedName>
    <definedName name="TRNR_47f1de811b7543e98b32a56e7866739d_256_4" hidden="1">#REF!</definedName>
    <definedName name="TRNR_4b1135490df14bad9723170c2a0f8545_112_2" hidden="1">#REF!</definedName>
    <definedName name="TRNR_6cff38ff8b5b4acfa37c9e28b86d4ea6_2_1" hidden="1">#REF!</definedName>
    <definedName name="TRNR_6f53b788e2ad4f8c938a0ed06c0dc4fd_16_40" hidden="1">#REF!</definedName>
    <definedName name="TRNR_9be68cbf9ee54bdf936aaadfba77fb3d_16_40" hidden="1">#REF!</definedName>
    <definedName name="TRNR_ada98ea2320a4aec9fc7527bfae5b47a_16_40" hidden="1">#REF!</definedName>
    <definedName name="TRNR_cefc18270ee34a6186d764a58f992abe_2_127" hidden="1">[81]Byvanie!#REF!</definedName>
    <definedName name="tt" localSheetId="3" hidden="1">{"Tab1",#N/A,FALSE,"P";"Tab2",#N/A,FALSE,"P"}</definedName>
    <definedName name="tt" localSheetId="13" hidden="1">{"Tab1",#N/A,FALSE,"P";"Tab2",#N/A,FALSE,"P"}</definedName>
    <definedName name="tt" localSheetId="15" hidden="1">{"Tab1",#N/A,FALSE,"P";"Tab2",#N/A,FALSE,"P"}</definedName>
    <definedName name="tt" localSheetId="16" hidden="1">{"Tab1",#N/A,FALSE,"P";"Tab2",#N/A,FALSE,"P"}</definedName>
    <definedName name="tt" localSheetId="18" hidden="1">{"Tab1",#N/A,FALSE,"P";"Tab2",#N/A,FALSE,"P"}</definedName>
    <definedName name="tt" localSheetId="23" hidden="1">{"Tab1",#N/A,FALSE,"P";"Tab2",#N/A,FALSE,"P"}</definedName>
    <definedName name="tt" localSheetId="4" hidden="1">{"Tab1",#N/A,FALSE,"P";"Tab2",#N/A,FALSE,"P"}</definedName>
    <definedName name="tt" localSheetId="26" hidden="1">{"Tab1",#N/A,FALSE,"P";"Tab2",#N/A,FALSE,"P"}</definedName>
    <definedName name="tt" localSheetId="27" hidden="1">{"Tab1",#N/A,FALSE,"P";"Tab2",#N/A,FALSE,"P"}</definedName>
    <definedName name="tt" localSheetId="32" hidden="1">{"Tab1",#N/A,FALSE,"P";"Tab2",#N/A,FALSE,"P"}</definedName>
    <definedName name="tt" localSheetId="6" hidden="1">{"Tab1",#N/A,FALSE,"P";"Tab2",#N/A,FALSE,"P"}</definedName>
    <definedName name="tt" localSheetId="1" hidden="1">{"Tab1",#N/A,FALSE,"P";"Tab2",#N/A,FALSE,"P"}</definedName>
    <definedName name="tt" hidden="1">{"Tab1",#N/A,FALSE,"P";"Tab2",#N/A,FALSE,"P"}</definedName>
    <definedName name="ttt" localSheetId="3" hidden="1">{"Tab1",#N/A,FALSE,"P";"Tab2",#N/A,FALSE,"P"}</definedName>
    <definedName name="ttt" localSheetId="13" hidden="1">{"Tab1",#N/A,FALSE,"P";"Tab2",#N/A,FALSE,"P"}</definedName>
    <definedName name="ttt" localSheetId="15" hidden="1">{"Tab1",#N/A,FALSE,"P";"Tab2",#N/A,FALSE,"P"}</definedName>
    <definedName name="ttt" localSheetId="16" hidden="1">{"Tab1",#N/A,FALSE,"P";"Tab2",#N/A,FALSE,"P"}</definedName>
    <definedName name="ttt" localSheetId="18" hidden="1">{"Tab1",#N/A,FALSE,"P";"Tab2",#N/A,FALSE,"P"}</definedName>
    <definedName name="ttt" localSheetId="23" hidden="1">{"Tab1",#N/A,FALSE,"P";"Tab2",#N/A,FALSE,"P"}</definedName>
    <definedName name="ttt" localSheetId="4" hidden="1">{"Tab1",#N/A,FALSE,"P";"Tab2",#N/A,FALSE,"P"}</definedName>
    <definedName name="ttt" localSheetId="26" hidden="1">{"Tab1",#N/A,FALSE,"P";"Tab2",#N/A,FALSE,"P"}</definedName>
    <definedName name="ttt" localSheetId="27" hidden="1">{"Tab1",#N/A,FALSE,"P";"Tab2",#N/A,FALSE,"P"}</definedName>
    <definedName name="ttt" localSheetId="32" hidden="1">{"Tab1",#N/A,FALSE,"P";"Tab2",#N/A,FALSE,"P"}</definedName>
    <definedName name="ttt" localSheetId="6" hidden="1">{"Tab1",#N/A,FALSE,"P";"Tab2",#N/A,FALSE,"P"}</definedName>
    <definedName name="ttt" localSheetId="1" hidden="1">{"Tab1",#N/A,FALSE,"P";"Tab2",#N/A,FALSE,"P"}</definedName>
    <definedName name="ttt" hidden="1">{"Tab1",#N/A,FALSE,"P";"Tab2",#N/A,FALSE,"P"}</definedName>
    <definedName name="ttttt" localSheetId="3" hidden="1">[65]M!#REF!</definedName>
    <definedName name="ttttt" localSheetId="13" hidden="1">[65]M!#REF!</definedName>
    <definedName name="ttttt" localSheetId="15" hidden="1">[65]M!#REF!</definedName>
    <definedName name="ttttt" localSheetId="4" hidden="1">[65]M!#REF!</definedName>
    <definedName name="ttttt" hidden="1">[65]M!#REF!</definedName>
    <definedName name="TTTTTTTTTTTT">[24]!TTTTTTTTTTTT</definedName>
    <definedName name="TXG_D">#N/A</definedName>
    <definedName name="TXGO">#N/A</definedName>
    <definedName name="u163lnulcm_x_et.m" localSheetId="13">[38]monthly!#REF!</definedName>
    <definedName name="u163lnulcm_x_et.m" localSheetId="15">[38]monthly!#REF!</definedName>
    <definedName name="u163lnulcm_x_et.m">[38]monthly!#REF!</definedName>
    <definedName name="UB_2" localSheetId="13">[60]makro!$C$14</definedName>
    <definedName name="UB_2" localSheetId="16">[59]makro!$C$14</definedName>
    <definedName name="UB_2" localSheetId="18">[59]makro!$C$14</definedName>
    <definedName name="UB_2" localSheetId="23">[61]makro!$C$14</definedName>
    <definedName name="UB_2">[61]makro!$C$14</definedName>
    <definedName name="UB_2n" localSheetId="13">[60]makro!$C$36</definedName>
    <definedName name="UB_2n" localSheetId="16">[59]makro!$C$36</definedName>
    <definedName name="UB_2n" localSheetId="18">[59]makro!$C$36</definedName>
    <definedName name="UB_2n" localSheetId="23">[61]makro!$C$36</definedName>
    <definedName name="UB_2n">[61]makro!$C$36</definedName>
    <definedName name="UB_3" localSheetId="13">[60]makro!$D$14</definedName>
    <definedName name="UB_3" localSheetId="16">[59]makro!$D$14</definedName>
    <definedName name="UB_3" localSheetId="18">[59]makro!$D$14</definedName>
    <definedName name="UB_3" localSheetId="23">[61]makro!$D$14</definedName>
    <definedName name="UB_3">[61]makro!$D$14</definedName>
    <definedName name="UB_3n" localSheetId="13">[60]makro!$D$36</definedName>
    <definedName name="UB_3n" localSheetId="16">[59]makro!$D$36</definedName>
    <definedName name="UB_3n" localSheetId="18">[59]makro!$D$36</definedName>
    <definedName name="UB_3n" localSheetId="23">[61]makro!$D$36</definedName>
    <definedName name="UB_3n">[61]makro!$D$36</definedName>
    <definedName name="UB_4" localSheetId="13">[60]makro!$E$14</definedName>
    <definedName name="UB_4" localSheetId="16">[59]makro!$E$14</definedName>
    <definedName name="UB_4" localSheetId="18">[59]makro!$E$14</definedName>
    <definedName name="UB_4" localSheetId="23">[61]makro!$E$14</definedName>
    <definedName name="UB_4">[61]makro!$E$14</definedName>
    <definedName name="UB_4n" localSheetId="13">[60]makro!$E$36</definedName>
    <definedName name="UB_4n" localSheetId="16">[59]makro!$E$36</definedName>
    <definedName name="UB_4n" localSheetId="18">[59]makro!$E$36</definedName>
    <definedName name="UB_4n" localSheetId="23">[61]makro!$E$36</definedName>
    <definedName name="UB_4n">[61]makro!$E$36</definedName>
    <definedName name="UB_5" localSheetId="13">[60]makro!$F$14</definedName>
    <definedName name="UB_5" localSheetId="16">[59]makro!$F$14</definedName>
    <definedName name="UB_5" localSheetId="18">[59]makro!$F$14</definedName>
    <definedName name="UB_5" localSheetId="23">[61]makro!$F$14</definedName>
    <definedName name="UB_5">[61]makro!$F$14</definedName>
    <definedName name="UB_5n" localSheetId="13">[60]makro!$F$36</definedName>
    <definedName name="UB_5n" localSheetId="16">[59]makro!$F$36</definedName>
    <definedName name="UB_5n" localSheetId="18">[59]makro!$F$36</definedName>
    <definedName name="UB_5n" localSheetId="23">[61]makro!$F$36</definedName>
    <definedName name="UB_5n">[61]makro!$F$36</definedName>
    <definedName name="UB_6" localSheetId="13">[60]makro!$G$14</definedName>
    <definedName name="UB_6" localSheetId="16">[59]makro!$G$14</definedName>
    <definedName name="UB_6" localSheetId="18">[59]makro!$G$14</definedName>
    <definedName name="UB_6" localSheetId="23">[61]makro!$G$14</definedName>
    <definedName name="UB_6">[61]makro!$G$14</definedName>
    <definedName name="UB_6n" localSheetId="13">[60]makro!$G$36</definedName>
    <definedName name="UB_6n" localSheetId="16">[59]makro!$G$36</definedName>
    <definedName name="UB_6n" localSheetId="18">[59]makro!$G$36</definedName>
    <definedName name="UB_6n" localSheetId="23">[61]makro!$G$36</definedName>
    <definedName name="UB_6n">[61]makro!$G$36</definedName>
    <definedName name="ULC_CZ">[23]REER!$BU$144:$BU$206</definedName>
    <definedName name="ULC_PART">[23]REER!$BR$144:$BR$206</definedName>
    <definedName name="Universities" localSheetId="13">#REF!</definedName>
    <definedName name="Universities" localSheetId="15">#REF!</definedName>
    <definedName name="Universities" localSheetId="23">#REF!</definedName>
    <definedName name="Universities">#REF!</definedName>
    <definedName name="UPee_2" localSheetId="13">[31]Graf14_Graf15!#REF!</definedName>
    <definedName name="UPee_2" localSheetId="15">[31]Graf14_Graf15!#REF!</definedName>
    <definedName name="UPee_2" localSheetId="23">[31]Graf14_Graf15!#REF!</definedName>
    <definedName name="UPee_2">[31]Graf14_Graf15!#REF!</definedName>
    <definedName name="UPer_2" localSheetId="13">[31]Graf14_Graf15!#REF!</definedName>
    <definedName name="UPer_2" localSheetId="15">[31]Graf14_Graf15!#REF!</definedName>
    <definedName name="UPer_2">[31]Graf14_Graf15!#REF!</definedName>
    <definedName name="Uruguay">'[82]PDR vulnerability table'!$A$3:$E$65</definedName>
    <definedName name="USERNAME" localSheetId="13">#REF!</definedName>
    <definedName name="USERNAME" localSheetId="15">#REF!</definedName>
    <definedName name="USERNAME" localSheetId="23">#REF!</definedName>
    <definedName name="USERNAME">#REF!</definedName>
    <definedName name="uu" localSheetId="3" hidden="1">{"Riqfin97",#N/A,FALSE,"Tran";"Riqfinpro",#N/A,FALSE,"Tran"}</definedName>
    <definedName name="uu" localSheetId="13" hidden="1">{"Riqfin97",#N/A,FALSE,"Tran";"Riqfinpro",#N/A,FALSE,"Tran"}</definedName>
    <definedName name="uu" localSheetId="15" hidden="1">{"Riqfin97",#N/A,FALSE,"Tran";"Riqfinpro",#N/A,FALSE,"Tran"}</definedName>
    <definedName name="uu" localSheetId="16" hidden="1">{"Riqfin97",#N/A,FALSE,"Tran";"Riqfinpro",#N/A,FALSE,"Tran"}</definedName>
    <definedName name="uu" localSheetId="18" hidden="1">{"Riqfin97",#N/A,FALSE,"Tran";"Riqfinpro",#N/A,FALSE,"Tran"}</definedName>
    <definedName name="uu" localSheetId="23" hidden="1">{"Riqfin97",#N/A,FALSE,"Tran";"Riqfinpro",#N/A,FALSE,"Tran"}</definedName>
    <definedName name="uu" localSheetId="4" hidden="1">{"Riqfin97",#N/A,FALSE,"Tran";"Riqfinpro",#N/A,FALSE,"Tran"}</definedName>
    <definedName name="uu" localSheetId="26" hidden="1">{"Riqfin97",#N/A,FALSE,"Tran";"Riqfinpro",#N/A,FALSE,"Tran"}</definedName>
    <definedName name="uu" localSheetId="27" hidden="1">{"Riqfin97",#N/A,FALSE,"Tran";"Riqfinpro",#N/A,FALSE,"Tran"}</definedName>
    <definedName name="uu" localSheetId="32" hidden="1">{"Riqfin97",#N/A,FALSE,"Tran";"Riqfinpro",#N/A,FALSE,"Tran"}</definedName>
    <definedName name="uu" localSheetId="6" hidden="1">{"Riqfin97",#N/A,FALSE,"Tran";"Riqfinpro",#N/A,FALSE,"Tran"}</definedName>
    <definedName name="uu" localSheetId="1" hidden="1">{"Riqfin97",#N/A,FALSE,"Tran";"Riqfinpro",#N/A,FALSE,"Tran"}</definedName>
    <definedName name="uu" hidden="1">{"Riqfin97",#N/A,FALSE,"Tran";"Riqfinpro",#N/A,FALSE,"Tran"}</definedName>
    <definedName name="uuu" localSheetId="3" hidden="1">{"Riqfin97",#N/A,FALSE,"Tran";"Riqfinpro",#N/A,FALSE,"Tran"}</definedName>
    <definedName name="uuu" localSheetId="13" hidden="1">{"Riqfin97",#N/A,FALSE,"Tran";"Riqfinpro",#N/A,FALSE,"Tran"}</definedName>
    <definedName name="uuu" localSheetId="15" hidden="1">{"Riqfin97",#N/A,FALSE,"Tran";"Riqfinpro",#N/A,FALSE,"Tran"}</definedName>
    <definedName name="uuu" localSheetId="16" hidden="1">{"Riqfin97",#N/A,FALSE,"Tran";"Riqfinpro",#N/A,FALSE,"Tran"}</definedName>
    <definedName name="uuu" localSheetId="18" hidden="1">{"Riqfin97",#N/A,FALSE,"Tran";"Riqfinpro",#N/A,FALSE,"Tran"}</definedName>
    <definedName name="uuu" localSheetId="23" hidden="1">{"Riqfin97",#N/A,FALSE,"Tran";"Riqfinpro",#N/A,FALSE,"Tran"}</definedName>
    <definedName name="uuu" localSheetId="4" hidden="1">{"Riqfin97",#N/A,FALSE,"Tran";"Riqfinpro",#N/A,FALSE,"Tran"}</definedName>
    <definedName name="uuu" localSheetId="26" hidden="1">{"Riqfin97",#N/A,FALSE,"Tran";"Riqfinpro",#N/A,FALSE,"Tran"}</definedName>
    <definedName name="uuu" localSheetId="27" hidden="1">{"Riqfin97",#N/A,FALSE,"Tran";"Riqfinpro",#N/A,FALSE,"Tran"}</definedName>
    <definedName name="uuu" localSheetId="32" hidden="1">{"Riqfin97",#N/A,FALSE,"Tran";"Riqfinpro",#N/A,FALSE,"Tran"}</definedName>
    <definedName name="uuu" localSheetId="6" hidden="1">{"Riqfin97",#N/A,FALSE,"Tran";"Riqfinpro",#N/A,FALSE,"Tran"}</definedName>
    <definedName name="uuu" localSheetId="1" hidden="1">{"Riqfin97",#N/A,FALSE,"Tran";"Riqfinpro",#N/A,FALSE,"Tran"}</definedName>
    <definedName name="uuu" hidden="1">{"Riqfin97",#N/A,FALSE,"Tran";"Riqfinpro",#N/A,FALSE,"Tran"}</definedName>
    <definedName name="UUUUUUUUUUU">[24]!UUUUUUUUUUU</definedName>
    <definedName name="V">'[49]VCP!H53@ 3'!#REF!</definedName>
    <definedName name="ValidationList" localSheetId="13">#REF!</definedName>
    <definedName name="ValidationList" localSheetId="15">#REF!</definedName>
    <definedName name="ValidationList" localSheetId="23">#REF!</definedName>
    <definedName name="ValidationList">#REF!</definedName>
    <definedName name="VeljavniProracun" localSheetId="13">#REF!</definedName>
    <definedName name="VeljavniProracun" localSheetId="15">#REF!</definedName>
    <definedName name="VeljavniProracun" localSheetId="23">#REF!</definedName>
    <definedName name="VeljavniProracun">#REF!</definedName>
    <definedName name="Venezuela" localSheetId="13">#REF!</definedName>
    <definedName name="Venezuela" localSheetId="15">#REF!</definedName>
    <definedName name="Venezuela" localSheetId="23">#REF!</definedName>
    <definedName name="Venezuela">#REF!</definedName>
    <definedName name="vv" localSheetId="3" hidden="1">{"Tab1",#N/A,FALSE,"P";"Tab2",#N/A,FALSE,"P"}</definedName>
    <definedName name="vv" localSheetId="13" hidden="1">{"Tab1",#N/A,FALSE,"P";"Tab2",#N/A,FALSE,"P"}</definedName>
    <definedName name="vv" localSheetId="15" hidden="1">{"Tab1",#N/A,FALSE,"P";"Tab2",#N/A,FALSE,"P"}</definedName>
    <definedName name="vv" localSheetId="16" hidden="1">{"Tab1",#N/A,FALSE,"P";"Tab2",#N/A,FALSE,"P"}</definedName>
    <definedName name="vv" localSheetId="18" hidden="1">{"Tab1",#N/A,FALSE,"P";"Tab2",#N/A,FALSE,"P"}</definedName>
    <definedName name="vv" localSheetId="23" hidden="1">{"Tab1",#N/A,FALSE,"P";"Tab2",#N/A,FALSE,"P"}</definedName>
    <definedName name="vv" localSheetId="4" hidden="1">{"Tab1",#N/A,FALSE,"P";"Tab2",#N/A,FALSE,"P"}</definedName>
    <definedName name="vv" localSheetId="26" hidden="1">{"Tab1",#N/A,FALSE,"P";"Tab2",#N/A,FALSE,"P"}</definedName>
    <definedName name="vv" localSheetId="27" hidden="1">{"Tab1",#N/A,FALSE,"P";"Tab2",#N/A,FALSE,"P"}</definedName>
    <definedName name="vv" localSheetId="32" hidden="1">{"Tab1",#N/A,FALSE,"P";"Tab2",#N/A,FALSE,"P"}</definedName>
    <definedName name="vv" localSheetId="6" hidden="1">{"Tab1",#N/A,FALSE,"P";"Tab2",#N/A,FALSE,"P"}</definedName>
    <definedName name="vv" localSheetId="1" hidden="1">{"Tab1",#N/A,FALSE,"P";"Tab2",#N/A,FALSE,"P"}</definedName>
    <definedName name="vv" hidden="1">{"Tab1",#N/A,FALSE,"P";"Tab2",#N/A,FALSE,"P"}</definedName>
    <definedName name="vvv" localSheetId="3" hidden="1">{"Tab1",#N/A,FALSE,"P";"Tab2",#N/A,FALSE,"P"}</definedName>
    <definedName name="vvv" localSheetId="13" hidden="1">{"Tab1",#N/A,FALSE,"P";"Tab2",#N/A,FALSE,"P"}</definedName>
    <definedName name="vvv" localSheetId="15" hidden="1">{"Tab1",#N/A,FALSE,"P";"Tab2",#N/A,FALSE,"P"}</definedName>
    <definedName name="vvv" localSheetId="16" hidden="1">{"Tab1",#N/A,FALSE,"P";"Tab2",#N/A,FALSE,"P"}</definedName>
    <definedName name="vvv" localSheetId="18" hidden="1">{"Tab1",#N/A,FALSE,"P";"Tab2",#N/A,FALSE,"P"}</definedName>
    <definedName name="vvv" localSheetId="23" hidden="1">{"Tab1",#N/A,FALSE,"P";"Tab2",#N/A,FALSE,"P"}</definedName>
    <definedName name="vvv" localSheetId="4" hidden="1">{"Tab1",#N/A,FALSE,"P";"Tab2",#N/A,FALSE,"P"}</definedName>
    <definedName name="vvv" localSheetId="26" hidden="1">{"Tab1",#N/A,FALSE,"P";"Tab2",#N/A,FALSE,"P"}</definedName>
    <definedName name="vvv" localSheetId="27" hidden="1">{"Tab1",#N/A,FALSE,"P";"Tab2",#N/A,FALSE,"P"}</definedName>
    <definedName name="vvv" localSheetId="32" hidden="1">{"Tab1",#N/A,FALSE,"P";"Tab2",#N/A,FALSE,"P"}</definedName>
    <definedName name="vvv" localSheetId="6" hidden="1">{"Tab1",#N/A,FALSE,"P";"Tab2",#N/A,FALSE,"P"}</definedName>
    <definedName name="vvv" localSheetId="1" hidden="1">{"Tab1",#N/A,FALSE,"P";"Tab2",#N/A,FALSE,"P"}</definedName>
    <definedName name="vvv" hidden="1">{"Tab1",#N/A,FALSE,"P";"Tab2",#N/A,FALSE,"P"}</definedName>
    <definedName name="we11pcpi.m" localSheetId="13">[38]monthly!#REF!</definedName>
    <definedName name="we11pcpi.m" localSheetId="15">[38]monthly!#REF!</definedName>
    <definedName name="we11pcpi.m">[38]monthly!#REF!</definedName>
    <definedName name="werer" hidden="1">'[10]i2-KA'!#REF!</definedName>
    <definedName name="WMENU" localSheetId="13">#REF!</definedName>
    <definedName name="WMENU" localSheetId="15">#REF!</definedName>
    <definedName name="WMENU" localSheetId="23">#REF!</definedName>
    <definedName name="WMENU">#REF!</definedName>
    <definedName name="wqr" hidden="1">'[10]i2-KA'!#REF!</definedName>
    <definedName name="wrn.1993_2002." localSheetId="3" hidden="1">{"1993_2002",#N/A,FALSE,"UnderlyingData"}</definedName>
    <definedName name="wrn.1993_2002." localSheetId="13" hidden="1">{"1993_2002",#N/A,FALSE,"UnderlyingData"}</definedName>
    <definedName name="wrn.1993_2002." localSheetId="15" hidden="1">{"1993_2002",#N/A,FALSE,"UnderlyingData"}</definedName>
    <definedName name="wrn.1993_2002." localSheetId="23" hidden="1">{"1993_2002",#N/A,FALSE,"UnderlyingData"}</definedName>
    <definedName name="wrn.1993_2002." localSheetId="4" hidden="1">{"1993_2002",#N/A,FALSE,"UnderlyingData"}</definedName>
    <definedName name="wrn.1993_2002." localSheetId="26" hidden="1">{"1993_2002",#N/A,FALSE,"UnderlyingData"}</definedName>
    <definedName name="wrn.1993_2002." localSheetId="27" hidden="1">{"1993_2002",#N/A,FALSE,"UnderlyingData"}</definedName>
    <definedName name="wrn.1993_2002." localSheetId="32" hidden="1">{"1993_2002",#N/A,FALSE,"UnderlyingData"}</definedName>
    <definedName name="wrn.1993_2002." localSheetId="6" hidden="1">{"1993_2002",#N/A,FALSE,"UnderlyingData"}</definedName>
    <definedName name="wrn.1993_2002." hidden="1">{"1993_2002",#N/A,FALSE,"UnderlyingData"}</definedName>
    <definedName name="wrn.a11._.general._.government." localSheetId="3" hidden="1">{"a11 general government",#N/A,FALSE,"RED Tables"}</definedName>
    <definedName name="wrn.a11._.general._.government." localSheetId="13" hidden="1">{"a11 general government",#N/A,FALSE,"RED Tables"}</definedName>
    <definedName name="wrn.a11._.general._.government." localSheetId="15" hidden="1">{"a11 general government",#N/A,FALSE,"RED Tables"}</definedName>
    <definedName name="wrn.a11._.general._.government." localSheetId="23" hidden="1">{"a11 general government",#N/A,FALSE,"RED Tables"}</definedName>
    <definedName name="wrn.a11._.general._.government." localSheetId="4" hidden="1">{"a11 general government",#N/A,FALSE,"RED Tables"}</definedName>
    <definedName name="wrn.a11._.general._.government." localSheetId="26" hidden="1">{"a11 general government",#N/A,FALSE,"RED Tables"}</definedName>
    <definedName name="wrn.a11._.general._.government." localSheetId="27" hidden="1">{"a11 general government",#N/A,FALSE,"RED Tables"}</definedName>
    <definedName name="wrn.a11._.general._.government." localSheetId="32" hidden="1">{"a11 general government",#N/A,FALSE,"RED Tables"}</definedName>
    <definedName name="wrn.a11._.general._.government." localSheetId="6" hidden="1">{"a11 general government",#N/A,FALSE,"RED Tables"}</definedName>
    <definedName name="wrn.a11._.general._.government." hidden="1">{"a11 general government",#N/A,FALSE,"RED Tables"}</definedName>
    <definedName name="wrn.a12._.Federal._.Government." localSheetId="3" hidden="1">{"a12 Federal Government",#N/A,FALSE,"RED Tables"}</definedName>
    <definedName name="wrn.a12._.Federal._.Government." localSheetId="13" hidden="1">{"a12 Federal Government",#N/A,FALSE,"RED Tables"}</definedName>
    <definedName name="wrn.a12._.Federal._.Government." localSheetId="15" hidden="1">{"a12 Federal Government",#N/A,FALSE,"RED Tables"}</definedName>
    <definedName name="wrn.a12._.Federal._.Government." localSheetId="23" hidden="1">{"a12 Federal Government",#N/A,FALSE,"RED Tables"}</definedName>
    <definedName name="wrn.a12._.Federal._.Government." localSheetId="4" hidden="1">{"a12 Federal Government",#N/A,FALSE,"RED Tables"}</definedName>
    <definedName name="wrn.a12._.Federal._.Government." localSheetId="26" hidden="1">{"a12 Federal Government",#N/A,FALSE,"RED Tables"}</definedName>
    <definedName name="wrn.a12._.Federal._.Government." localSheetId="27" hidden="1">{"a12 Federal Government",#N/A,FALSE,"RED Tables"}</definedName>
    <definedName name="wrn.a12._.Federal._.Government." localSheetId="32" hidden="1">{"a12 Federal Government",#N/A,FALSE,"RED Tables"}</definedName>
    <definedName name="wrn.a12._.Federal._.Government." localSheetId="6" hidden="1">{"a12 Federal Government",#N/A,FALSE,"RED Tables"}</definedName>
    <definedName name="wrn.a12._.Federal._.Government." hidden="1">{"a12 Federal Government",#N/A,FALSE,"RED Tables"}</definedName>
    <definedName name="wrn.a13._.social._.security." localSheetId="3" hidden="1">{"a13 social security",#N/A,FALSE,"RED Tables"}</definedName>
    <definedName name="wrn.a13._.social._.security." localSheetId="13" hidden="1">{"a13 social security",#N/A,FALSE,"RED Tables"}</definedName>
    <definedName name="wrn.a13._.social._.security." localSheetId="15" hidden="1">{"a13 social security",#N/A,FALSE,"RED Tables"}</definedName>
    <definedName name="wrn.a13._.social._.security." localSheetId="23" hidden="1">{"a13 social security",#N/A,FALSE,"RED Tables"}</definedName>
    <definedName name="wrn.a13._.social._.security." localSheetId="4" hidden="1">{"a13 social security",#N/A,FALSE,"RED Tables"}</definedName>
    <definedName name="wrn.a13._.social._.security." localSheetId="26" hidden="1">{"a13 social security",#N/A,FALSE,"RED Tables"}</definedName>
    <definedName name="wrn.a13._.social._.security." localSheetId="27" hidden="1">{"a13 social security",#N/A,FALSE,"RED Tables"}</definedName>
    <definedName name="wrn.a13._.social._.security." localSheetId="32" hidden="1">{"a13 social security",#N/A,FALSE,"RED Tables"}</definedName>
    <definedName name="wrn.a13._.social._.security." localSheetId="6" hidden="1">{"a13 social security",#N/A,FALSE,"RED Tables"}</definedName>
    <definedName name="wrn.a13._.social._.security." hidden="1">{"a13 social security",#N/A,FALSE,"RED Tables"}</definedName>
    <definedName name="wrn.a14._.regions._.and._.communities." localSheetId="3" hidden="1">{"a14 regions and communities",#N/A,FALSE,"RED Tables"}</definedName>
    <definedName name="wrn.a14._.regions._.and._.communities." localSheetId="13" hidden="1">{"a14 regions and communities",#N/A,FALSE,"RED Tables"}</definedName>
    <definedName name="wrn.a14._.regions._.and._.communities." localSheetId="15" hidden="1">{"a14 regions and communities",#N/A,FALSE,"RED Tables"}</definedName>
    <definedName name="wrn.a14._.regions._.and._.communities." localSheetId="23" hidden="1">{"a14 regions and communities",#N/A,FALSE,"RED Tables"}</definedName>
    <definedName name="wrn.a14._.regions._.and._.communities." localSheetId="4" hidden="1">{"a14 regions and communities",#N/A,FALSE,"RED Tables"}</definedName>
    <definedName name="wrn.a14._.regions._.and._.communities." localSheetId="26" hidden="1">{"a14 regions and communities",#N/A,FALSE,"RED Tables"}</definedName>
    <definedName name="wrn.a14._.regions._.and._.communities." localSheetId="27" hidden="1">{"a14 regions and communities",#N/A,FALSE,"RED Tables"}</definedName>
    <definedName name="wrn.a14._.regions._.and._.communities." localSheetId="32" hidden="1">{"a14 regions and communities",#N/A,FALSE,"RED Tables"}</definedName>
    <definedName name="wrn.a14._.regions._.and._.communities." localSheetId="6" hidden="1">{"a14 regions and communities",#N/A,FALSE,"RED Tables"}</definedName>
    <definedName name="wrn.a14._.regions._.and._.communities." hidden="1">{"a14 regions and communities",#N/A,FALSE,"RED Tables"}</definedName>
    <definedName name="wrn.a15._.local._.governments." localSheetId="3" hidden="1">{"a15 local governments",#N/A,FALSE,"RED Tables"}</definedName>
    <definedName name="wrn.a15._.local._.governments." localSheetId="13" hidden="1">{"a15 local governments",#N/A,FALSE,"RED Tables"}</definedName>
    <definedName name="wrn.a15._.local._.governments." localSheetId="15" hidden="1">{"a15 local governments",#N/A,FALSE,"RED Tables"}</definedName>
    <definedName name="wrn.a15._.local._.governments." localSheetId="23" hidden="1">{"a15 local governments",#N/A,FALSE,"RED Tables"}</definedName>
    <definedName name="wrn.a15._.local._.governments." localSheetId="4" hidden="1">{"a15 local governments",#N/A,FALSE,"RED Tables"}</definedName>
    <definedName name="wrn.a15._.local._.governments." localSheetId="26" hidden="1">{"a15 local governments",#N/A,FALSE,"RED Tables"}</definedName>
    <definedName name="wrn.a15._.local._.governments." localSheetId="27" hidden="1">{"a15 local governments",#N/A,FALSE,"RED Tables"}</definedName>
    <definedName name="wrn.a15._.local._.governments." localSheetId="32" hidden="1">{"a15 local governments",#N/A,FALSE,"RED Tables"}</definedName>
    <definedName name="wrn.a15._.local._.governments." localSheetId="6" hidden="1">{"a15 local governments",#N/A,FALSE,"RED Tables"}</definedName>
    <definedName name="wrn.a15._.local._.governments." hidden="1">{"a15 local governments",#N/A,FALSE,"RED Tables"}</definedName>
    <definedName name="wrn.BOP_MIDTERM." localSheetId="3"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23" hidden="1">{"BOP_TAB",#N/A,FALSE,"N";"MIDTERM_TAB",#N/A,FALSE,"O"}</definedName>
    <definedName name="wrn.BOP_MIDTERM." localSheetId="4" hidden="1">{"BOP_TAB",#N/A,FALSE,"N";"MIDTERM_TAB",#N/A,FALSE,"O"}</definedName>
    <definedName name="wrn.BOP_MIDTERM." localSheetId="26" hidden="1">{"BOP_TAB",#N/A,FALSE,"N";"MIDTERM_TAB",#N/A,FALSE,"O"}</definedName>
    <definedName name="wrn.BOP_MIDTERM." localSheetId="27" hidden="1">{"BOP_TAB",#N/A,FALSE,"N";"MIDTERM_TAB",#N/A,FALSE,"O"}</definedName>
    <definedName name="wrn.BOP_MIDTERM." localSheetId="32" hidden="1">{"BOP_TAB",#N/A,FALSE,"N";"MIDTERM_TAB",#N/A,FALSE,"O"}</definedName>
    <definedName name="wrn.BOP_MIDTERM." localSheetId="6" hidden="1">{"BOP_TAB",#N/A,FALSE,"N";"MIDTERM_TAB",#N/A,FALSE,"O"}</definedName>
    <definedName name="wrn.BOP_MIDTERM." hidden="1">{"BOP_TAB",#N/A,FALSE,"N";"MIDTERM_TAB",#N/A,FALSE,"O"}</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26" hidden="1">{"g95_96m1",#N/A,FALSE,"Graf(95+96)M";"g95_96m2",#N/A,FALSE,"Graf(95+96)M";"g95_96mb1",#N/A,FALSE,"Graf(95+96)Mb";"g95_96mb2",#N/A,FALSE,"Graf(95+96)Mb";"g95_96f1",#N/A,FALSE,"Graf(95+96)F";"g95_96f2",#N/A,FALSE,"Graf(95+96)F";"g95_96fb1",#N/A,FALSE,"Graf(95+96)Fb";"g95_96fb2",#N/A,FALSE,"Graf(95+96)Fb"}</definedName>
    <definedName name="wrn.Graf95_96." localSheetId="27"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nput._.and._.output._.tables." localSheetId="3"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26" hidden="1">{#N/A,#N/A,FALSE,"SimInp1";#N/A,#N/A,FALSE,"SimInp2";#N/A,#N/A,FALSE,"SimOut1";#N/A,#N/A,FALSE,"SimOut2";#N/A,#N/A,FALSE,"SimOut3";#N/A,#N/A,FALSE,"SimOut4";#N/A,#N/A,FALSE,"SimOut5"}</definedName>
    <definedName name="wrn.Input._.and._.output._.tables." localSheetId="27" hidden="1">{#N/A,#N/A,FALSE,"SimInp1";#N/A,#N/A,FALSE,"SimInp2";#N/A,#N/A,FALSE,"SimOut1";#N/A,#N/A,FALSE,"SimOut2";#N/A,#N/A,FALSE,"SimOut3";#N/A,#N/A,FALSE,"SimOut4";#N/A,#N/A,FALSE,"SimOut5"}</definedName>
    <definedName name="wrn.Input._.and._.output._.tables." localSheetId="32"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3"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23" hidden="1">{#N/A,#N/A,FALSE,"CB";#N/A,#N/A,FALSE,"CMB";#N/A,#N/A,FALSE,"BSYS";#N/A,#N/A,FALSE,"NBFI";#N/A,#N/A,FALSE,"FSYS"}</definedName>
    <definedName name="wrn.MAIN." localSheetId="4" hidden="1">{#N/A,#N/A,FALSE,"CB";#N/A,#N/A,FALSE,"CMB";#N/A,#N/A,FALSE,"BSYS";#N/A,#N/A,FALSE,"NBFI";#N/A,#N/A,FALSE,"FSYS"}</definedName>
    <definedName name="wrn.MAIN." localSheetId="26" hidden="1">{#N/A,#N/A,FALSE,"CB";#N/A,#N/A,FALSE,"CMB";#N/A,#N/A,FALSE,"BSYS";#N/A,#N/A,FALSE,"NBFI";#N/A,#N/A,FALSE,"FSYS"}</definedName>
    <definedName name="wrn.MAIN." localSheetId="27" hidden="1">{#N/A,#N/A,FALSE,"CB";#N/A,#N/A,FALSE,"CMB";#N/A,#N/A,FALSE,"BSYS";#N/A,#N/A,FALSE,"NBFI";#N/A,#N/A,FALSE,"FSYS"}</definedName>
    <definedName name="wrn.MAIN." localSheetId="32" hidden="1">{#N/A,#N/A,FALSE,"CB";#N/A,#N/A,FALSE,"CMB";#N/A,#N/A,FALSE,"BSYS";#N/A,#N/A,FALSE,"NBFI";#N/A,#N/A,FALSE,"FSYS"}</definedName>
    <definedName name="wrn.MAIN." localSheetId="6" hidden="1">{#N/A,#N/A,FALSE,"CB";#N/A,#N/A,FALSE,"CMB";#N/A,#N/A,FALSE,"BSYS";#N/A,#N/A,FALSE,"NBFI";#N/A,#N/A,FALSE,"FSYS"}</definedName>
    <definedName name="wrn.MAIN." hidden="1">{#N/A,#N/A,FALSE,"CB";#N/A,#N/A,FALSE,"CMB";#N/A,#N/A,FALSE,"BSYS";#N/A,#N/A,FALSE,"NBFI";#N/A,#N/A,FALSE,"FSYS"}</definedName>
    <definedName name="wrn.MDABOP." localSheetId="3"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26" hidden="1">{"BOP_TAB",#N/A,FALSE,"N";"MIDTERM_TAB",#N/A,FALSE,"O";"FUND_CRED",#N/A,FALSE,"P";"DEBT_TAB1",#N/A,FALSE,"Q";"DEBT_TAB2",#N/A,FALSE,"Q";"FORFIN_TAB1",#N/A,FALSE,"R";"FORFIN_TAB2",#N/A,FALSE,"R";"BOP_ANALY",#N/A,FALSE,"U"}</definedName>
    <definedName name="wrn.MDABOP." localSheetId="27" hidden="1">{"BOP_TAB",#N/A,FALSE,"N";"MIDTERM_TAB",#N/A,FALSE,"O";"FUND_CRED",#N/A,FALSE,"P";"DEBT_TAB1",#N/A,FALSE,"Q";"DEBT_TAB2",#N/A,FALSE,"Q";"FORFIN_TAB1",#N/A,FALSE,"R";"FORFIN_TAB2",#N/A,FALSE,"R";"BOP_ANALY",#N/A,FALSE,"U"}</definedName>
    <definedName name="wrn.MDABOP." localSheetId="32"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3" hidden="1">{#N/A,#N/A,FALSE,"CB";#N/A,#N/A,FALSE,"CMB";#N/A,#N/A,FALSE,"NBFI"}</definedName>
    <definedName name="wrn.MIT." localSheetId="13" hidden="1">{#N/A,#N/A,FALSE,"CB";#N/A,#N/A,FALSE,"CMB";#N/A,#N/A,FALSE,"NBFI"}</definedName>
    <definedName name="wrn.MIT." localSheetId="15" hidden="1">{#N/A,#N/A,FALSE,"CB";#N/A,#N/A,FALSE,"CMB";#N/A,#N/A,FALSE,"NBFI"}</definedName>
    <definedName name="wrn.MIT." localSheetId="23" hidden="1">{#N/A,#N/A,FALSE,"CB";#N/A,#N/A,FALSE,"CMB";#N/A,#N/A,FALSE,"NBFI"}</definedName>
    <definedName name="wrn.MIT." localSheetId="4" hidden="1">{#N/A,#N/A,FALSE,"CB";#N/A,#N/A,FALSE,"CMB";#N/A,#N/A,FALSE,"NBFI"}</definedName>
    <definedName name="wrn.MIT." localSheetId="26" hidden="1">{#N/A,#N/A,FALSE,"CB";#N/A,#N/A,FALSE,"CMB";#N/A,#N/A,FALSE,"NBFI"}</definedName>
    <definedName name="wrn.MIT." localSheetId="27" hidden="1">{#N/A,#N/A,FALSE,"CB";#N/A,#N/A,FALSE,"CMB";#N/A,#N/A,FALSE,"NBFI"}</definedName>
    <definedName name="wrn.MIT." localSheetId="32" hidden="1">{#N/A,#N/A,FALSE,"CB";#N/A,#N/A,FALSE,"CMB";#N/A,#N/A,FALSE,"NBFI"}</definedName>
    <definedName name="wrn.MIT." localSheetId="6" hidden="1">{#N/A,#N/A,FALSE,"CB";#N/A,#N/A,FALSE,"CMB";#N/A,#N/A,FALSE,"NBFI"}</definedName>
    <definedName name="wrn.MIT." hidden="1">{#N/A,#N/A,FALSE,"CB";#N/A,#N/A,FALSE,"CMB";#N/A,#N/A,FALSE,"NBFI"}</definedName>
    <definedName name="wrn.MONA." localSheetId="3" hidden="1">{"MONA",#N/A,FALSE,"S"}</definedName>
    <definedName name="wrn.MONA." localSheetId="13" hidden="1">{"MONA",#N/A,FALSE,"S"}</definedName>
    <definedName name="wrn.MONA." localSheetId="15" hidden="1">{"MONA",#N/A,FALSE,"S"}</definedName>
    <definedName name="wrn.MONA." localSheetId="23" hidden="1">{"MONA",#N/A,FALSE,"S"}</definedName>
    <definedName name="wrn.MONA." localSheetId="4" hidden="1">{"MONA",#N/A,FALSE,"S"}</definedName>
    <definedName name="wrn.MONA." localSheetId="26" hidden="1">{"MONA",#N/A,FALSE,"S"}</definedName>
    <definedName name="wrn.MONA." localSheetId="27" hidden="1">{"MONA",#N/A,FALSE,"S"}</definedName>
    <definedName name="wrn.MONA." localSheetId="32" hidden="1">{"MONA",#N/A,FALSE,"S"}</definedName>
    <definedName name="wrn.MONA." localSheetId="6" hidden="1">{"MONA",#N/A,FALSE,"S"}</definedName>
    <definedName name="wrn.MONA." hidden="1">{"MONA",#N/A,FALSE,"S"}</definedName>
    <definedName name="wrn.Output._.tables." localSheetId="3"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23" hidden="1">{#N/A,#N/A,FALSE,"I";#N/A,#N/A,FALSE,"J";#N/A,#N/A,FALSE,"K";#N/A,#N/A,FALSE,"L";#N/A,#N/A,FALSE,"M";#N/A,#N/A,FALSE,"N";#N/A,#N/A,FALSE,"O"}</definedName>
    <definedName name="wrn.Output._.tables." localSheetId="4" hidden="1">{#N/A,#N/A,FALSE,"I";#N/A,#N/A,FALSE,"J";#N/A,#N/A,FALSE,"K";#N/A,#N/A,FALSE,"L";#N/A,#N/A,FALSE,"M";#N/A,#N/A,FALSE,"N";#N/A,#N/A,FALSE,"O"}</definedName>
    <definedName name="wrn.Output._.tables." localSheetId="26" hidden="1">{#N/A,#N/A,FALSE,"I";#N/A,#N/A,FALSE,"J";#N/A,#N/A,FALSE,"K";#N/A,#N/A,FALSE,"L";#N/A,#N/A,FALSE,"M";#N/A,#N/A,FALSE,"N";#N/A,#N/A,FALSE,"O"}</definedName>
    <definedName name="wrn.Output._.tables." localSheetId="27" hidden="1">{#N/A,#N/A,FALSE,"I";#N/A,#N/A,FALSE,"J";#N/A,#N/A,FALSE,"K";#N/A,#N/A,FALSE,"L";#N/A,#N/A,FALSE,"M";#N/A,#N/A,FALSE,"N";#N/A,#N/A,FALSE,"O"}</definedName>
    <definedName name="wrn.Output._.tables." localSheetId="32"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Program." localSheetId="3" hidden="1">{"Tab1",#N/A,FALSE,"P";"Tab2",#N/A,FALSE,"P"}</definedName>
    <definedName name="wrn.Program." localSheetId="13" hidden="1">{"Tab1",#N/A,FALSE,"P";"Tab2",#N/A,FALSE,"P"}</definedName>
    <definedName name="wrn.Program." localSheetId="15" hidden="1">{"Tab1",#N/A,FALSE,"P";"Tab2",#N/A,FALSE,"P"}</definedName>
    <definedName name="wrn.Program." localSheetId="16" hidden="1">{"Tab1",#N/A,FALSE,"P";"Tab2",#N/A,FALSE,"P"}</definedName>
    <definedName name="wrn.Program." localSheetId="18" hidden="1">{"Tab1",#N/A,FALSE,"P";"Tab2",#N/A,FALSE,"P"}</definedName>
    <definedName name="wrn.Program." localSheetId="23" hidden="1">{"Tab1",#N/A,FALSE,"P";"Tab2",#N/A,FALSE,"P"}</definedName>
    <definedName name="wrn.Program." localSheetId="4" hidden="1">{"Tab1",#N/A,FALSE,"P";"Tab2",#N/A,FALSE,"P"}</definedName>
    <definedName name="wrn.Program." localSheetId="26" hidden="1">{"Tab1",#N/A,FALSE,"P";"Tab2",#N/A,FALSE,"P"}</definedName>
    <definedName name="wrn.Program." localSheetId="27" hidden="1">{"Tab1",#N/A,FALSE,"P";"Tab2",#N/A,FALSE,"P"}</definedName>
    <definedName name="wrn.Program." localSheetId="32" hidden="1">{"Tab1",#N/A,FALSE,"P";"Tab2",#N/A,FALSE,"P"}</definedName>
    <definedName name="wrn.Program." localSheetId="6" hidden="1">{"Tab1",#N/A,FALSE,"P";"Tab2",#N/A,FALSE,"P"}</definedName>
    <definedName name="wrn.Program." localSheetId="1" hidden="1">{"Tab1",#N/A,FALSE,"P";"Tab2",#N/A,FALSE,"P"}</definedName>
    <definedName name="wrn.Program." hidden="1">{"Tab1",#N/A,FALSE,"P";"Tab2",#N/A,FALSE,"P"}</definedName>
    <definedName name="wrn.Ques._.1." localSheetId="3" hidden="1">{"Ques 1",#N/A,FALSE,"NWEO138"}</definedName>
    <definedName name="wrn.Ques._.1." localSheetId="13" hidden="1">{"Ques 1",#N/A,FALSE,"NWEO138"}</definedName>
    <definedName name="wrn.Ques._.1." localSheetId="15" hidden="1">{"Ques 1",#N/A,FALSE,"NWEO138"}</definedName>
    <definedName name="wrn.Ques._.1." localSheetId="23" hidden="1">{"Ques 1",#N/A,FALSE,"NWEO138"}</definedName>
    <definedName name="wrn.Ques._.1." localSheetId="4" hidden="1">{"Ques 1",#N/A,FALSE,"NWEO138"}</definedName>
    <definedName name="wrn.Ques._.1." localSheetId="26" hidden="1">{"Ques 1",#N/A,FALSE,"NWEO138"}</definedName>
    <definedName name="wrn.Ques._.1." localSheetId="27" hidden="1">{"Ques 1",#N/A,FALSE,"NWEO138"}</definedName>
    <definedName name="wrn.Ques._.1." localSheetId="32" hidden="1">{"Ques 1",#N/A,FALSE,"NWEO138"}</definedName>
    <definedName name="wrn.Ques._.1." localSheetId="6" hidden="1">{"Ques 1",#N/A,FALSE,"NWEO138"}</definedName>
    <definedName name="wrn.Ques._.1." hidden="1">{"Ques 1",#N/A,FALSE,"NWEO138"}</definedName>
    <definedName name="wrn.R22_Data_Collection1997." localSheetId="3" hidden="1">{"_R22_General",#N/A,TRUE,"R22_General";"_R22_Questions",#N/A,TRUE,"R22_Questions";"ColA_R22",#N/A,TRUE,"R2295";"_R22_Tables",#N/A,TRUE,"R2295"}</definedName>
    <definedName name="wrn.R22_Data_Collection1997." localSheetId="13" hidden="1">{"_R22_General",#N/A,TRUE,"R22_General";"_R22_Questions",#N/A,TRUE,"R22_Questions";"ColA_R22",#N/A,TRUE,"R2295";"_R22_Tables",#N/A,TRUE,"R2295"}</definedName>
    <definedName name="wrn.R22_Data_Collection1997." localSheetId="15" hidden="1">{"_R22_General",#N/A,TRUE,"R22_General";"_R22_Questions",#N/A,TRUE,"R22_Questions";"ColA_R22",#N/A,TRUE,"R2295";"_R22_Tables",#N/A,TRUE,"R2295"}</definedName>
    <definedName name="wrn.R22_Data_Collection1997." localSheetId="23" hidden="1">{"_R22_General",#N/A,TRUE,"R22_General";"_R22_Questions",#N/A,TRUE,"R22_Questions";"ColA_R22",#N/A,TRUE,"R2295";"_R22_Tables",#N/A,TRUE,"R2295"}</definedName>
    <definedName name="wrn.R22_Data_Collection1997." localSheetId="4" hidden="1">{"_R22_General",#N/A,TRUE,"R22_General";"_R22_Questions",#N/A,TRUE,"R22_Questions";"ColA_R22",#N/A,TRUE,"R2295";"_R22_Tables",#N/A,TRUE,"R2295"}</definedName>
    <definedName name="wrn.R22_Data_Collection1997." localSheetId="26" hidden="1">{"_R22_General",#N/A,TRUE,"R22_General";"_R22_Questions",#N/A,TRUE,"R22_Questions";"ColA_R22",#N/A,TRUE,"R2295";"_R22_Tables",#N/A,TRUE,"R2295"}</definedName>
    <definedName name="wrn.R22_Data_Collection1997." localSheetId="27" hidden="1">{"_R22_General",#N/A,TRUE,"R22_General";"_R22_Questions",#N/A,TRUE,"R22_Questions";"ColA_R22",#N/A,TRUE,"R2295";"_R22_Tables",#N/A,TRUE,"R2295"}</definedName>
    <definedName name="wrn.R22_Data_Collection1997." localSheetId="6"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iqfin." localSheetId="3"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16" hidden="1">{"Riqfin97",#N/A,FALSE,"Tran";"Riqfinpro",#N/A,FALSE,"Tran"}</definedName>
    <definedName name="wrn.Riqfin." localSheetId="18" hidden="1">{"Riqfin97",#N/A,FALSE,"Tran";"Riqfinpro",#N/A,FALSE,"Tran"}</definedName>
    <definedName name="wrn.Riqfin." localSheetId="23" hidden="1">{"Riqfin97",#N/A,FALSE,"Tran";"Riqfinpro",#N/A,FALSE,"Tran"}</definedName>
    <definedName name="wrn.Riqfin." localSheetId="4" hidden="1">{"Riqfin97",#N/A,FALSE,"Tran";"Riqfinpro",#N/A,FALSE,"Tran"}</definedName>
    <definedName name="wrn.Riqfin." localSheetId="26" hidden="1">{"Riqfin97",#N/A,FALSE,"Tran";"Riqfinpro",#N/A,FALSE,"Tran"}</definedName>
    <definedName name="wrn.Riqfin." localSheetId="27" hidden="1">{"Riqfin97",#N/A,FALSE,"Tran";"Riqfinpro",#N/A,FALSE,"Tran"}</definedName>
    <definedName name="wrn.Riqfin." localSheetId="32" hidden="1">{"Riqfin97",#N/A,FALSE,"Tran";"Riqfinpro",#N/A,FALSE,"Tran"}</definedName>
    <definedName name="wrn.Riqfin." localSheetId="6" hidden="1">{"Riqfin97",#N/A,FALSE,"Tran";"Riqfinpro",#N/A,FALSE,"Tran"}</definedName>
    <definedName name="wrn.Riqfin." localSheetId="1" hidden="1">{"Riqfin97",#N/A,FALSE,"Tran";"Riqfinpro",#N/A,FALSE,"Tran"}</definedName>
    <definedName name="wrn.Riqfin." hidden="1">{"Riqfin97",#N/A,FALSE,"Tran";"Riqfinpro",#N/A,FALSE,"Tran"}</definedName>
    <definedName name="wrn.Staff._.Report._.Tables." localSheetId="3"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23" hidden="1">{#N/A,#N/A,FALSE,"SRFSYS";#N/A,#N/A,FALSE,"SRBSYS"}</definedName>
    <definedName name="wrn.Staff._.Report._.Tables." localSheetId="4" hidden="1">{#N/A,#N/A,FALSE,"SRFSYS";#N/A,#N/A,FALSE,"SRBSYS"}</definedName>
    <definedName name="wrn.Staff._.Report._.Tables." localSheetId="26" hidden="1">{#N/A,#N/A,FALSE,"SRFSYS";#N/A,#N/A,FALSE,"SRBSYS"}</definedName>
    <definedName name="wrn.Staff._.Report._.Tables." localSheetId="27" hidden="1">{#N/A,#N/A,FALSE,"SRFSYS";#N/A,#N/A,FALSE,"SRBSYS"}</definedName>
    <definedName name="wrn.Staff._.Report._.Tables." localSheetId="32" hidden="1">{#N/A,#N/A,FALSE,"SRFSYS";#N/A,#N/A,FALSE,"SRBSYS"}</definedName>
    <definedName name="wrn.Staff._.Report._.Tables." localSheetId="6" hidden="1">{#N/A,#N/A,FALSE,"SRFSYS";#N/A,#N/A,FALSE,"SRBSYS"}</definedName>
    <definedName name="wrn.Staff._.Report._.Tables." hidden="1">{#N/A,#N/A,FALSE,"SRFSYS";#N/A,#N/A,FALSE,"SRBSYS"}</definedName>
    <definedName name="wrn.TabARA." localSheetId="3" hidden="1">{"Page1",#N/A,FALSE,"ARA M&amp;F&amp;T";"Page2",#N/A,FALSE,"ARA M&amp;F&amp;T";"Page3",#N/A,FALSE,"ARA M&amp;F&amp;T"}</definedName>
    <definedName name="wrn.TabARA." localSheetId="13" hidden="1">{"Page1",#N/A,FALSE,"ARA M&amp;F&amp;T";"Page2",#N/A,FALSE,"ARA M&amp;F&amp;T";"Page3",#N/A,FALSE,"ARA M&amp;F&amp;T"}</definedName>
    <definedName name="wrn.TabARA." localSheetId="15" hidden="1">{"Page1",#N/A,FALSE,"ARA M&amp;F&amp;T";"Page2",#N/A,FALSE,"ARA M&amp;F&amp;T";"Page3",#N/A,FALSE,"ARA M&amp;F&amp;T"}</definedName>
    <definedName name="wrn.TabARA." localSheetId="23" hidden="1">{"Page1",#N/A,FALSE,"ARA M&amp;F&amp;T";"Page2",#N/A,FALSE,"ARA M&amp;F&amp;T";"Page3",#N/A,FALSE,"ARA M&amp;F&amp;T"}</definedName>
    <definedName name="wrn.TabARA." localSheetId="4" hidden="1">{"Page1",#N/A,FALSE,"ARA M&amp;F&amp;T";"Page2",#N/A,FALSE,"ARA M&amp;F&amp;T";"Page3",#N/A,FALSE,"ARA M&amp;F&amp;T"}</definedName>
    <definedName name="wrn.TabARA." localSheetId="26" hidden="1">{"Page1",#N/A,FALSE,"ARA M&amp;F&amp;T";"Page2",#N/A,FALSE,"ARA M&amp;F&amp;T";"Page3",#N/A,FALSE,"ARA M&amp;F&amp;T"}</definedName>
    <definedName name="wrn.TabARA." localSheetId="27" hidden="1">{"Page1",#N/A,FALSE,"ARA M&amp;F&amp;T";"Page2",#N/A,FALSE,"ARA M&amp;F&amp;T";"Page3",#N/A,FALSE,"ARA M&amp;F&amp;T"}</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rn.WEO." localSheetId="3" hidden="1">{"WEO",#N/A,FALSE,"T"}</definedName>
    <definedName name="wrn.WEO." localSheetId="13" hidden="1">{"WEO",#N/A,FALSE,"T"}</definedName>
    <definedName name="wrn.WEO." localSheetId="15" hidden="1">{"WEO",#N/A,FALSE,"T"}</definedName>
    <definedName name="wrn.WEO." localSheetId="23" hidden="1">{"WEO",#N/A,FALSE,"T"}</definedName>
    <definedName name="wrn.WEO." localSheetId="4" hidden="1">{"WEO",#N/A,FALSE,"T"}</definedName>
    <definedName name="wrn.WEO." localSheetId="26" hidden="1">{"WEO",#N/A,FALSE,"T"}</definedName>
    <definedName name="wrn.WEO." localSheetId="27" hidden="1">{"WEO",#N/A,FALSE,"T"}</definedName>
    <definedName name="wrn.WEO." localSheetId="32" hidden="1">{"WEO",#N/A,FALSE,"T"}</definedName>
    <definedName name="wrn.WEO." localSheetId="6" hidden="1">{"WEO",#N/A,FALSE,"T"}</definedName>
    <definedName name="wrn.WEO." hidden="1">{"WEO",#N/A,FALSE,"T"}</definedName>
    <definedName name="ww" localSheetId="3" hidden="1">[65]M!#REF!</definedName>
    <definedName name="ww" localSheetId="13" hidden="1">[65]M!#REF!</definedName>
    <definedName name="ww" localSheetId="15" hidden="1">[65]M!#REF!</definedName>
    <definedName name="ww" localSheetId="4" hidden="1">[65]M!#REF!</definedName>
    <definedName name="ww" hidden="1">[65]M!#REF!</definedName>
    <definedName name="www" localSheetId="3" hidden="1">{"Riqfin97",#N/A,FALSE,"Tran";"Riqfinpro",#N/A,FALSE,"Tran"}</definedName>
    <definedName name="www" localSheetId="13" hidden="1">{"Riqfin97",#N/A,FALSE,"Tran";"Riqfinpro",#N/A,FALSE,"Tran"}</definedName>
    <definedName name="www" localSheetId="15" hidden="1">{"Riqfin97",#N/A,FALSE,"Tran";"Riqfinpro",#N/A,FALSE,"Tran"}</definedName>
    <definedName name="www" localSheetId="16" hidden="1">{"Riqfin97",#N/A,FALSE,"Tran";"Riqfinpro",#N/A,FALSE,"Tran"}</definedName>
    <definedName name="www" localSheetId="18" hidden="1">{"Riqfin97",#N/A,FALSE,"Tran";"Riqfinpro",#N/A,FALSE,"Tran"}</definedName>
    <definedName name="www" localSheetId="23" hidden="1">{"Riqfin97",#N/A,FALSE,"Tran";"Riqfinpro",#N/A,FALSE,"Tran"}</definedName>
    <definedName name="www" localSheetId="4" hidden="1">{"Riqfin97",#N/A,FALSE,"Tran";"Riqfinpro",#N/A,FALSE,"Tran"}</definedName>
    <definedName name="www" localSheetId="26" hidden="1">{"Riqfin97",#N/A,FALSE,"Tran";"Riqfinpro",#N/A,FALSE,"Tran"}</definedName>
    <definedName name="www" localSheetId="27" hidden="1">{"Riqfin97",#N/A,FALSE,"Tran";"Riqfinpro",#N/A,FALSE,"Tran"}</definedName>
    <definedName name="www" localSheetId="32" hidden="1">{"Riqfin97",#N/A,FALSE,"Tran";"Riqfinpro",#N/A,FALSE,"Tran"}</definedName>
    <definedName name="www" localSheetId="6" hidden="1">{"Riqfin97",#N/A,FALSE,"Tran";"Riqfinpro",#N/A,FALSE,"Tran"}</definedName>
    <definedName name="www" localSheetId="1" hidden="1">{"Riqfin97",#N/A,FALSE,"Tran";"Riqfinpro",#N/A,FALSE,"Tran"}</definedName>
    <definedName name="www" hidden="1">{"Riqfin97",#N/A,FALSE,"Tran";"Riqfinpro",#N/A,FALSE,"Tran"}</definedName>
    <definedName name="XR">[23]REER!$AT$140:$BA$199</definedName>
    <definedName name="xx" localSheetId="3" hidden="1">{"Riqfin97",#N/A,FALSE,"Tran";"Riqfinpro",#N/A,FALSE,"Tran"}</definedName>
    <definedName name="xx" localSheetId="13" hidden="1">{"Riqfin97",#N/A,FALSE,"Tran";"Riqfinpro",#N/A,FALSE,"Tran"}</definedName>
    <definedName name="xx" localSheetId="15" hidden="1">{"Riqfin97",#N/A,FALSE,"Tran";"Riqfinpro",#N/A,FALSE,"Tran"}</definedName>
    <definedName name="xx" localSheetId="16" hidden="1">{"Riqfin97",#N/A,FALSE,"Tran";"Riqfinpro",#N/A,FALSE,"Tran"}</definedName>
    <definedName name="xx" localSheetId="18" hidden="1">{"Riqfin97",#N/A,FALSE,"Tran";"Riqfinpro",#N/A,FALSE,"Tran"}</definedName>
    <definedName name="xx" localSheetId="23" hidden="1">{"Riqfin97",#N/A,FALSE,"Tran";"Riqfinpro",#N/A,FALSE,"Tran"}</definedName>
    <definedName name="xx" localSheetId="4" hidden="1">{"Riqfin97",#N/A,FALSE,"Tran";"Riqfinpro",#N/A,FALSE,"Tran"}</definedName>
    <definedName name="xx" localSheetId="26" hidden="1">{"Riqfin97",#N/A,FALSE,"Tran";"Riqfinpro",#N/A,FALSE,"Tran"}</definedName>
    <definedName name="xx" localSheetId="27" hidden="1">{"Riqfin97",#N/A,FALSE,"Tran";"Riqfinpro",#N/A,FALSE,"Tran"}</definedName>
    <definedName name="xx" localSheetId="32" hidden="1">{"Riqfin97",#N/A,FALSE,"Tran";"Riqfinpro",#N/A,FALSE,"Tran"}</definedName>
    <definedName name="xx" localSheetId="6" hidden="1">{"Riqfin97",#N/A,FALSE,"Tran";"Riqfinpro",#N/A,FALSE,"Tran"}</definedName>
    <definedName name="xx" localSheetId="1" hidden="1">{"Riqfin97",#N/A,FALSE,"Tran";"Riqfinpro",#N/A,FALSE,"Tran"}</definedName>
    <definedName name="xx" hidden="1">{"Riqfin97",#N/A,FALSE,"Tran";"Riqfinpro",#N/A,FALSE,"Tran"}</definedName>
    <definedName name="xxWRS_1" localSheetId="13">#REF!</definedName>
    <definedName name="xxWRS_1" localSheetId="15">#REF!</definedName>
    <definedName name="xxWRS_1" localSheetId="23">#REF!</definedName>
    <definedName name="xxWRS_1">#REF!</definedName>
    <definedName name="xxWRS_10" localSheetId="13">#REF!</definedName>
    <definedName name="xxWRS_10" localSheetId="15">#REF!</definedName>
    <definedName name="xxWRS_10" localSheetId="23">#REF!</definedName>
    <definedName name="xxWRS_10">#REF!</definedName>
    <definedName name="xxWRS_11" localSheetId="13">#REF!</definedName>
    <definedName name="xxWRS_11" localSheetId="15">#REF!</definedName>
    <definedName name="xxWRS_11" localSheetId="23">#REF!</definedName>
    <definedName name="xxWRS_11">#REF!</definedName>
    <definedName name="xxWRS_12" localSheetId="13">#REF!</definedName>
    <definedName name="xxWRS_12" localSheetId="15">#REF!</definedName>
    <definedName name="xxWRS_12" localSheetId="23">#REF!</definedName>
    <definedName name="xxWRS_12">#REF!</definedName>
    <definedName name="xxWRS_2" localSheetId="13">#REF!</definedName>
    <definedName name="xxWRS_2" localSheetId="15">#REF!</definedName>
    <definedName name="xxWRS_2" localSheetId="23">#REF!</definedName>
    <definedName name="xxWRS_2">#REF!</definedName>
    <definedName name="xxWRS_6" localSheetId="13">#REF!</definedName>
    <definedName name="xxWRS_6" localSheetId="15">#REF!</definedName>
    <definedName name="xxWRS_6" localSheetId="23">#REF!</definedName>
    <definedName name="xxWRS_6">#REF!</definedName>
    <definedName name="xxWRS_7" localSheetId="13">#REF!</definedName>
    <definedName name="xxWRS_7" localSheetId="15">#REF!</definedName>
    <definedName name="xxWRS_7" localSheetId="23">#REF!</definedName>
    <definedName name="xxWRS_7">#REF!</definedName>
    <definedName name="xxWRS_8" localSheetId="13">#REF!</definedName>
    <definedName name="xxWRS_8" localSheetId="15">#REF!</definedName>
    <definedName name="xxWRS_8" localSheetId="23">#REF!</definedName>
    <definedName name="xxWRS_8">#REF!</definedName>
    <definedName name="xxWRS_9" localSheetId="13">#REF!</definedName>
    <definedName name="xxWRS_9" localSheetId="15">#REF!</definedName>
    <definedName name="xxWRS_9" localSheetId="23">#REF!</definedName>
    <definedName name="xxWRS_9">#REF!</definedName>
    <definedName name="xxxx" localSheetId="3"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16" hidden="1">{"Riqfin97",#N/A,FALSE,"Tran";"Riqfinpro",#N/A,FALSE,"Tran"}</definedName>
    <definedName name="xxxx" localSheetId="18" hidden="1">{"Riqfin97",#N/A,FALSE,"Tran";"Riqfinpro",#N/A,FALSE,"Tran"}</definedName>
    <definedName name="xxxx" localSheetId="23" hidden="1">{"Riqfin97",#N/A,FALSE,"Tran";"Riqfinpro",#N/A,FALSE,"Tran"}</definedName>
    <definedName name="xxxx" localSheetId="4" hidden="1">{"Riqfin97",#N/A,FALSE,"Tran";"Riqfinpro",#N/A,FALSE,"Tran"}</definedName>
    <definedName name="xxxx" localSheetId="26" hidden="1">{"Riqfin97",#N/A,FALSE,"Tran";"Riqfinpro",#N/A,FALSE,"Tran"}</definedName>
    <definedName name="xxxx" localSheetId="27" hidden="1">{"Riqfin97",#N/A,FALSE,"Tran";"Riqfinpro",#N/A,FALSE,"Tran"}</definedName>
    <definedName name="xxxx" localSheetId="32" hidden="1">{"Riqfin97",#N/A,FALSE,"Tran";"Riqfinpro",#N/A,FALSE,"Tran"}</definedName>
    <definedName name="xxxx" localSheetId="6" hidden="1">{"Riqfin97",#N/A,FALSE,"Tran";"Riqfinpro",#N/A,FALSE,"Tran"}</definedName>
    <definedName name="xxxx" localSheetId="1" hidden="1">{"Riqfin97",#N/A,FALSE,"Tran";"Riqfinpro",#N/A,FALSE,"Tran"}</definedName>
    <definedName name="xxxx" hidden="1">{"Riqfin97",#N/A,FALSE,"Tran";"Riqfinpro",#N/A,FALSE,"Tran"}</definedName>
    <definedName name="year" localSheetId="13">[31]Graf14_Graf15!#REF!</definedName>
    <definedName name="year" localSheetId="15">[31]Graf14_Graf15!#REF!</definedName>
    <definedName name="year">[31]Graf14_Graf15!#REF!</definedName>
    <definedName name="YOYSUSRALL">#REF!</definedName>
    <definedName name="yy" localSheetId="3" hidden="1">{"Tab1",#N/A,FALSE,"P";"Tab2",#N/A,FALSE,"P"}</definedName>
    <definedName name="yy" localSheetId="13" hidden="1">{"Tab1",#N/A,FALSE,"P";"Tab2",#N/A,FALSE,"P"}</definedName>
    <definedName name="yy" localSheetId="15" hidden="1">{"Tab1",#N/A,FALSE,"P";"Tab2",#N/A,FALSE,"P"}</definedName>
    <definedName name="yy" localSheetId="16" hidden="1">{"Tab1",#N/A,FALSE,"P";"Tab2",#N/A,FALSE,"P"}</definedName>
    <definedName name="yy" localSheetId="18" hidden="1">{"Tab1",#N/A,FALSE,"P";"Tab2",#N/A,FALSE,"P"}</definedName>
    <definedName name="yy" localSheetId="23" hidden="1">{"Tab1",#N/A,FALSE,"P";"Tab2",#N/A,FALSE,"P"}</definedName>
    <definedName name="yy" localSheetId="4" hidden="1">{"Tab1",#N/A,FALSE,"P";"Tab2",#N/A,FALSE,"P"}</definedName>
    <definedName name="yy" localSheetId="26" hidden="1">{"Tab1",#N/A,FALSE,"P";"Tab2",#N/A,FALSE,"P"}</definedName>
    <definedName name="yy" localSheetId="27" hidden="1">{"Tab1",#N/A,FALSE,"P";"Tab2",#N/A,FALSE,"P"}</definedName>
    <definedName name="yy" localSheetId="32" hidden="1">{"Tab1",#N/A,FALSE,"P";"Tab2",#N/A,FALSE,"P"}</definedName>
    <definedName name="yy" localSheetId="6" hidden="1">{"Tab1",#N/A,FALSE,"P";"Tab2",#N/A,FALSE,"P"}</definedName>
    <definedName name="yy" localSheetId="1" hidden="1">{"Tab1",#N/A,FALSE,"P";"Tab2",#N/A,FALSE,"P"}</definedName>
    <definedName name="yy" hidden="1">{"Tab1",#N/A,FALSE,"P";"Tab2",#N/A,FALSE,"P"}</definedName>
    <definedName name="yyy" localSheetId="3" hidden="1">{"Tab1",#N/A,FALSE,"P";"Tab2",#N/A,FALSE,"P"}</definedName>
    <definedName name="yyy" localSheetId="13" hidden="1">{"Tab1",#N/A,FALSE,"P";"Tab2",#N/A,FALSE,"P"}</definedName>
    <definedName name="yyy" localSheetId="15" hidden="1">{"Tab1",#N/A,FALSE,"P";"Tab2",#N/A,FALSE,"P"}</definedName>
    <definedName name="yyy" localSheetId="16" hidden="1">{"Tab1",#N/A,FALSE,"P";"Tab2",#N/A,FALSE,"P"}</definedName>
    <definedName name="yyy" localSheetId="18" hidden="1">{"Tab1",#N/A,FALSE,"P";"Tab2",#N/A,FALSE,"P"}</definedName>
    <definedName name="yyy" localSheetId="23" hidden="1">{"Tab1",#N/A,FALSE,"P";"Tab2",#N/A,FALSE,"P"}</definedName>
    <definedName name="yyy" localSheetId="4" hidden="1">{"Tab1",#N/A,FALSE,"P";"Tab2",#N/A,FALSE,"P"}</definedName>
    <definedName name="yyy" localSheetId="26" hidden="1">{"Tab1",#N/A,FALSE,"P";"Tab2",#N/A,FALSE,"P"}</definedName>
    <definedName name="yyy" localSheetId="27" hidden="1">{"Tab1",#N/A,FALSE,"P";"Tab2",#N/A,FALSE,"P"}</definedName>
    <definedName name="yyy" localSheetId="32" hidden="1">{"Tab1",#N/A,FALSE,"P";"Tab2",#N/A,FALSE,"P"}</definedName>
    <definedName name="yyy" localSheetId="6" hidden="1">{"Tab1",#N/A,FALSE,"P";"Tab2",#N/A,FALSE,"P"}</definedName>
    <definedName name="yyy" localSheetId="1" hidden="1">{"Tab1",#N/A,FALSE,"P";"Tab2",#N/A,FALSE,"P"}</definedName>
    <definedName name="yyy" hidden="1">{"Tab1",#N/A,FALSE,"P";"Tab2",#N/A,FALSE,"P"}</definedName>
    <definedName name="yyyy" localSheetId="3"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16" hidden="1">{"Riqfin97",#N/A,FALSE,"Tran";"Riqfinpro",#N/A,FALSE,"Tran"}</definedName>
    <definedName name="yyyy" localSheetId="18" hidden="1">{"Riqfin97",#N/A,FALSE,"Tran";"Riqfinpro",#N/A,FALSE,"Tran"}</definedName>
    <definedName name="yyyy" localSheetId="23" hidden="1">{"Riqfin97",#N/A,FALSE,"Tran";"Riqfinpro",#N/A,FALSE,"Tran"}</definedName>
    <definedName name="yyyy" localSheetId="4" hidden="1">{"Riqfin97",#N/A,FALSE,"Tran";"Riqfinpro",#N/A,FALSE,"Tran"}</definedName>
    <definedName name="yyyy" localSheetId="26" hidden="1">{"Riqfin97",#N/A,FALSE,"Tran";"Riqfinpro",#N/A,FALSE,"Tran"}</definedName>
    <definedName name="yyyy" localSheetId="27" hidden="1">{"Riqfin97",#N/A,FALSE,"Tran";"Riqfinpro",#N/A,FALSE,"Tran"}</definedName>
    <definedName name="yyyy" localSheetId="32" hidden="1">{"Riqfin97",#N/A,FALSE,"Tran";"Riqfinpro",#N/A,FALSE,"Tran"}</definedName>
    <definedName name="yyyy" localSheetId="6" hidden="1">{"Riqfin97",#N/A,FALSE,"Tran";"Riqfinpro",#N/A,FALSE,"Tran"}</definedName>
    <definedName name="yyyy" localSheetId="1" hidden="1">{"Riqfin97",#N/A,FALSE,"Tran";"Riqfinpro",#N/A,FALSE,"Tran"}</definedName>
    <definedName name="yyyy" hidden="1">{"Riqfin97",#N/A,FALSE,"Tran";"Riqfinpro",#N/A,FALSE,"Tran"}</definedName>
    <definedName name="Z_1D44FD83_577F_412D_85CC_4CD8A3A1C2A3_.wvu.Cols" localSheetId="1" hidden="1">MMF_TABULKA!#REF!</definedName>
    <definedName name="Z_95224721_0485_11D4_BFD1_00508B5F4DA4_.wvu.Cols" localSheetId="3"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23" hidden="1">#REF!</definedName>
    <definedName name="Z_95224721_0485_11D4_BFD1_00508B5F4DA4_.wvu.Cols" localSheetId="4" hidden="1">#REF!</definedName>
    <definedName name="Z_95224721_0485_11D4_BFD1_00508B5F4DA4_.wvu.Cols" hidden="1">#REF!</definedName>
    <definedName name="zac_kles" localSheetId="13">[31]Graf14_Graf15!#REF!</definedName>
    <definedName name="zac_kles" localSheetId="14">[31]Graf14_Graf15!#REF!</definedName>
    <definedName name="zac_kles" localSheetId="15">[31]Graf14_Graf15!#REF!</definedName>
    <definedName name="zac_kles" localSheetId="23">[31]Graf14_Graf15!#REF!</definedName>
    <definedName name="zac_kles">[31]Graf14_Graf15!#REF!</definedName>
    <definedName name="zac_kles_2" localSheetId="13">[31]Graf14_Graf15!#REF!</definedName>
    <definedName name="zac_kles_2" localSheetId="14">[31]Graf14_Graf15!#REF!</definedName>
    <definedName name="zac_kles_2" localSheetId="15">[31]Graf14_Graf15!#REF!</definedName>
    <definedName name="zac_kles_2" localSheetId="23">[31]Graf14_Graf15!#REF!</definedName>
    <definedName name="zac_kles_2">[31]Graf14_Graf15!#REF!</definedName>
    <definedName name="zapr16" localSheetId="13">[66]splatnosti!#REF!</definedName>
    <definedName name="zapr16" localSheetId="15">[66]splatnosti!#REF!</definedName>
    <definedName name="zapr16">[66]splatnosti!#REF!</definedName>
    <definedName name="zapr17" localSheetId="13">[66]splatnosti!#REF!</definedName>
    <definedName name="zapr17" localSheetId="15">[66]splatnosti!#REF!</definedName>
    <definedName name="zapr17">[66]splatnosti!#REF!</definedName>
    <definedName name="zapr18" localSheetId="13">[67]Ardal_splatnosti!#REF!</definedName>
    <definedName name="zapr18" localSheetId="15">[68]Ardal_splatnosti!#REF!</definedName>
    <definedName name="zapr18">[68]Ardal_splatnosti!#REF!</definedName>
    <definedName name="zapr19" localSheetId="13">[67]Ardal_splatnosti!#REF!</definedName>
    <definedName name="zapr19" localSheetId="15">[68]Ardal_splatnosti!#REF!</definedName>
    <definedName name="zapr19">[68]Ardal_splatnosti!#REF!</definedName>
    <definedName name="zapr20" localSheetId="13">[67]Ardal_splatnosti!#REF!</definedName>
    <definedName name="zapr20" localSheetId="15">[68]Ardal_splatnosti!#REF!</definedName>
    <definedName name="zapr20">[68]Ardal_splatnosti!#REF!</definedName>
    <definedName name="zapr21" localSheetId="13">[67]Ardal_splatnosti!#REF!</definedName>
    <definedName name="zapr21" localSheetId="15">[68]Ardal_splatnosti!#REF!</definedName>
    <definedName name="zapr21">[68]Ardal_splatnosti!#REF!</definedName>
    <definedName name="zaug16" localSheetId="13">[66]splatnosti!#REF!</definedName>
    <definedName name="zaug16" localSheetId="15">[66]splatnosti!#REF!</definedName>
    <definedName name="zaug16">[66]splatnosti!#REF!</definedName>
    <definedName name="zaug17" localSheetId="13">[66]splatnosti!#REF!</definedName>
    <definedName name="zaug17" localSheetId="15">[66]splatnosti!#REF!</definedName>
    <definedName name="zaug17">[66]splatnosti!#REF!</definedName>
    <definedName name="zaug18" localSheetId="13">[67]Ardal_splatnosti!#REF!</definedName>
    <definedName name="zaug18" localSheetId="15">[68]Ardal_splatnosti!#REF!</definedName>
    <definedName name="zaug18">[68]Ardal_splatnosti!#REF!</definedName>
    <definedName name="zaug19" localSheetId="13">[67]Ardal_splatnosti!#REF!</definedName>
    <definedName name="zaug19" localSheetId="15">[68]Ardal_splatnosti!#REF!</definedName>
    <definedName name="zaug19">[68]Ardal_splatnosti!#REF!</definedName>
    <definedName name="zaug20" localSheetId="13">[67]Ardal_splatnosti!#REF!</definedName>
    <definedName name="zaug20" localSheetId="15">[68]Ardal_splatnosti!#REF!</definedName>
    <definedName name="zaug20">[68]Ardal_splatnosti!#REF!</definedName>
    <definedName name="zaug21" localSheetId="13">[67]Ardal_splatnosti!#REF!</definedName>
    <definedName name="zaug21" localSheetId="15">[68]Ardal_splatnosti!#REF!</definedName>
    <definedName name="zaug21">[68]Ardal_splatnosti!#REF!</definedName>
    <definedName name="zdec16" localSheetId="13">[66]splatnosti!#REF!</definedName>
    <definedName name="zdec16" localSheetId="15">[66]splatnosti!#REF!</definedName>
    <definedName name="zdec16">[66]splatnosti!#REF!</definedName>
    <definedName name="zdec17" localSheetId="13">[66]splatnosti!#REF!</definedName>
    <definedName name="zdec17" localSheetId="15">[66]splatnosti!#REF!</definedName>
    <definedName name="zdec17">[66]splatnosti!#REF!</definedName>
    <definedName name="zdec18" localSheetId="13">[67]Ardal_splatnosti!#REF!</definedName>
    <definedName name="zdec18" localSheetId="15">[68]Ardal_splatnosti!#REF!</definedName>
    <definedName name="zdec18">[68]Ardal_splatnosti!#REF!</definedName>
    <definedName name="zdec19" localSheetId="13">[67]Ardal_splatnosti!#REF!</definedName>
    <definedName name="zdec19" localSheetId="15">[68]Ardal_splatnosti!#REF!</definedName>
    <definedName name="zdec19">[68]Ardal_splatnosti!#REF!</definedName>
    <definedName name="zdec20" localSheetId="13">[67]Ardal_splatnosti!#REF!</definedName>
    <definedName name="zdec20" localSheetId="15">[68]Ardal_splatnosti!#REF!</definedName>
    <definedName name="zdec20">[68]Ardal_splatnosti!#REF!</definedName>
    <definedName name="zdec21" localSheetId="13">[67]Ardal_splatnosti!#REF!</definedName>
    <definedName name="zdec21" localSheetId="15">[68]Ardal_splatnosti!#REF!</definedName>
    <definedName name="zdec21">[68]Ardal_splatnosti!#REF!</definedName>
    <definedName name="zfeb16" localSheetId="13">[66]splatnosti!#REF!</definedName>
    <definedName name="zfeb16" localSheetId="15">[66]splatnosti!#REF!</definedName>
    <definedName name="zfeb16">[66]splatnosti!#REF!</definedName>
    <definedName name="zfeb17" localSheetId="13">[66]splatnosti!#REF!</definedName>
    <definedName name="zfeb17" localSheetId="15">[66]splatnosti!#REF!</definedName>
    <definedName name="zfeb17">[66]splatnosti!#REF!</definedName>
    <definedName name="zfeb18" localSheetId="13">[67]Ardal_splatnosti!#REF!</definedName>
    <definedName name="zfeb18" localSheetId="15">[68]Ardal_splatnosti!#REF!</definedName>
    <definedName name="zfeb18">[68]Ardal_splatnosti!#REF!</definedName>
    <definedName name="zfeb19" localSheetId="13">[67]Ardal_splatnosti!#REF!</definedName>
    <definedName name="zfeb19" localSheetId="15">[68]Ardal_splatnosti!#REF!</definedName>
    <definedName name="zfeb19">[68]Ardal_splatnosti!#REF!</definedName>
    <definedName name="zfeb20" localSheetId="13">[67]Ardal_splatnosti!#REF!</definedName>
    <definedName name="zfeb20" localSheetId="15">[68]Ardal_splatnosti!#REF!</definedName>
    <definedName name="zfeb20">[68]Ardal_splatnosti!#REF!</definedName>
    <definedName name="zfeb21" localSheetId="13">[67]Ardal_splatnosti!#REF!</definedName>
    <definedName name="zfeb21" localSheetId="15">[68]Ardal_splatnosti!#REF!</definedName>
    <definedName name="zfeb21">[68]Ardal_splatnosti!#REF!</definedName>
    <definedName name="zjan19" localSheetId="13">[67]Ardal_splatnosti!#REF!</definedName>
    <definedName name="zjan19" localSheetId="15">[68]Ardal_splatnosti!#REF!</definedName>
    <definedName name="zjan19">[68]Ardal_splatnosti!#REF!</definedName>
    <definedName name="zjan20" localSheetId="13">[67]Ardal_splatnosti!#REF!</definedName>
    <definedName name="zjan20" localSheetId="15">[68]Ardal_splatnosti!#REF!</definedName>
    <definedName name="zjan20">[68]Ardal_splatnosti!#REF!</definedName>
    <definedName name="zjan21" localSheetId="13">[67]Ardal_splatnosti!#REF!</definedName>
    <definedName name="zjan21" localSheetId="15">[68]Ardal_splatnosti!#REF!</definedName>
    <definedName name="zjan21">[68]Ardal_splatnosti!#REF!</definedName>
    <definedName name="zjul16" localSheetId="13">[66]splatnosti!#REF!</definedName>
    <definedName name="zjul16" localSheetId="15">[66]splatnosti!#REF!</definedName>
    <definedName name="zjul16">[66]splatnosti!#REF!</definedName>
    <definedName name="zjul17" localSheetId="13">[66]splatnosti!#REF!</definedName>
    <definedName name="zjul17" localSheetId="15">[66]splatnosti!#REF!</definedName>
    <definedName name="zjul17">[66]splatnosti!#REF!</definedName>
    <definedName name="zjul18" localSheetId="13">[67]Ardal_splatnosti!#REF!</definedName>
    <definedName name="zjul18" localSheetId="15">[68]Ardal_splatnosti!#REF!</definedName>
    <definedName name="zjul18">[68]Ardal_splatnosti!#REF!</definedName>
    <definedName name="zjul19" localSheetId="13">[67]Ardal_splatnosti!#REF!</definedName>
    <definedName name="zjul19" localSheetId="15">[68]Ardal_splatnosti!#REF!</definedName>
    <definedName name="zjul19">[68]Ardal_splatnosti!#REF!</definedName>
    <definedName name="zjul20" localSheetId="13">[67]Ardal_splatnosti!#REF!</definedName>
    <definedName name="zjul20" localSheetId="15">[68]Ardal_splatnosti!#REF!</definedName>
    <definedName name="zjul20">[68]Ardal_splatnosti!#REF!</definedName>
    <definedName name="zjul21" localSheetId="13">[67]Ardal_splatnosti!#REF!</definedName>
    <definedName name="zjul21" localSheetId="15">[68]Ardal_splatnosti!#REF!</definedName>
    <definedName name="zjul21">[68]Ardal_splatnosti!#REF!</definedName>
    <definedName name="zjun16" localSheetId="13">[66]splatnosti!#REF!</definedName>
    <definedName name="zjun16" localSheetId="15">[66]splatnosti!#REF!</definedName>
    <definedName name="zjun16">[66]splatnosti!#REF!</definedName>
    <definedName name="zjun17" localSheetId="13">[66]splatnosti!#REF!</definedName>
    <definedName name="zjun17" localSheetId="15">[66]splatnosti!#REF!</definedName>
    <definedName name="zjun17">[66]splatnosti!#REF!</definedName>
    <definedName name="zjun18" localSheetId="13">[67]Ardal_splatnosti!#REF!</definedName>
    <definedName name="zjun18" localSheetId="15">[68]Ardal_splatnosti!#REF!</definedName>
    <definedName name="zjun18">[68]Ardal_splatnosti!#REF!</definedName>
    <definedName name="zjun19" localSheetId="13">[67]Ardal_splatnosti!#REF!</definedName>
    <definedName name="zjun19" localSheetId="15">[68]Ardal_splatnosti!#REF!</definedName>
    <definedName name="zjun19">[68]Ardal_splatnosti!#REF!</definedName>
    <definedName name="zjun20" localSheetId="13">[67]Ardal_splatnosti!#REF!</definedName>
    <definedName name="zjun20" localSheetId="15">[68]Ardal_splatnosti!#REF!</definedName>
    <definedName name="zjun20">[68]Ardal_splatnosti!#REF!</definedName>
    <definedName name="zjun21" localSheetId="13">[67]Ardal_splatnosti!#REF!</definedName>
    <definedName name="zjun21" localSheetId="15">[68]Ardal_splatnosti!#REF!</definedName>
    <definedName name="zjun21">[68]Ardal_splatnosti!#REF!</definedName>
    <definedName name="zmaj16" localSheetId="13">[66]splatnosti!#REF!</definedName>
    <definedName name="zmaj16" localSheetId="15">[66]splatnosti!#REF!</definedName>
    <definedName name="zmaj16">[66]splatnosti!#REF!</definedName>
    <definedName name="zmaj17" localSheetId="13">[66]splatnosti!#REF!</definedName>
    <definedName name="zmaj17" localSheetId="15">[66]splatnosti!#REF!</definedName>
    <definedName name="zmaj17">[66]splatnosti!#REF!</definedName>
    <definedName name="zmaj18" localSheetId="13">[67]Ardal_splatnosti!#REF!</definedName>
    <definedName name="zmaj18" localSheetId="15">[68]Ardal_splatnosti!#REF!</definedName>
    <definedName name="zmaj18">[68]Ardal_splatnosti!#REF!</definedName>
    <definedName name="zmaj19" localSheetId="13">[67]Ardal_splatnosti!#REF!</definedName>
    <definedName name="zmaj19" localSheetId="15">[68]Ardal_splatnosti!#REF!</definedName>
    <definedName name="zmaj19">[68]Ardal_splatnosti!#REF!</definedName>
    <definedName name="zmaj20" localSheetId="13">[67]Ardal_splatnosti!#REF!</definedName>
    <definedName name="zmaj20" localSheetId="15">[68]Ardal_splatnosti!#REF!</definedName>
    <definedName name="zmaj20">[68]Ardal_splatnosti!#REF!</definedName>
    <definedName name="zmaj21" localSheetId="13">[67]Ardal_splatnosti!#REF!</definedName>
    <definedName name="zmaj21" localSheetId="15">[68]Ardal_splatnosti!#REF!</definedName>
    <definedName name="zmaj21">[68]Ardal_splatnosti!#REF!</definedName>
    <definedName name="zmar16" localSheetId="13">[66]splatnosti!#REF!</definedName>
    <definedName name="zmar16" localSheetId="15">[66]splatnosti!#REF!</definedName>
    <definedName name="zmar16">[66]splatnosti!#REF!</definedName>
    <definedName name="zmar17" localSheetId="13">[66]splatnosti!#REF!</definedName>
    <definedName name="zmar17" localSheetId="15">[66]splatnosti!#REF!</definedName>
    <definedName name="zmar17">[66]splatnosti!#REF!</definedName>
    <definedName name="zmar18" localSheetId="13">[67]Ardal_splatnosti!#REF!</definedName>
    <definedName name="zmar18" localSheetId="15">[68]Ardal_splatnosti!#REF!</definedName>
    <definedName name="zmar18">[68]Ardal_splatnosti!#REF!</definedName>
    <definedName name="zmar19" localSheetId="13">[67]Ardal_splatnosti!#REF!</definedName>
    <definedName name="zmar19" localSheetId="15">[68]Ardal_splatnosti!#REF!</definedName>
    <definedName name="zmar19">[68]Ardal_splatnosti!#REF!</definedName>
    <definedName name="zmar20" localSheetId="13">[67]Ardal_splatnosti!#REF!</definedName>
    <definedName name="zmar20" localSheetId="15">[68]Ardal_splatnosti!#REF!</definedName>
    <definedName name="zmar20">[68]Ardal_splatnosti!#REF!</definedName>
    <definedName name="zmar21" localSheetId="13">[67]Ardal_splatnosti!#REF!</definedName>
    <definedName name="zmar21" localSheetId="15">[68]Ardal_splatnosti!#REF!</definedName>
    <definedName name="zmar21">[68]Ardal_splatnosti!#REF!</definedName>
    <definedName name="znov16" localSheetId="13">[66]splatnosti!#REF!</definedName>
    <definedName name="znov16" localSheetId="15">[66]splatnosti!#REF!</definedName>
    <definedName name="znov16">[66]splatnosti!#REF!</definedName>
    <definedName name="znov17" localSheetId="13">[66]splatnosti!#REF!</definedName>
    <definedName name="znov17" localSheetId="15">[66]splatnosti!#REF!</definedName>
    <definedName name="znov17">[66]splatnosti!#REF!</definedName>
    <definedName name="znov18" localSheetId="13">[67]Ardal_splatnosti!#REF!</definedName>
    <definedName name="znov18" localSheetId="15">[68]Ardal_splatnosti!#REF!</definedName>
    <definedName name="znov18">[68]Ardal_splatnosti!#REF!</definedName>
    <definedName name="znov19" localSheetId="13">[67]Ardal_splatnosti!#REF!</definedName>
    <definedName name="znov19" localSheetId="15">[68]Ardal_splatnosti!#REF!</definedName>
    <definedName name="znov19">[68]Ardal_splatnosti!#REF!</definedName>
    <definedName name="znov20" localSheetId="13">[67]Ardal_splatnosti!#REF!</definedName>
    <definedName name="znov20" localSheetId="15">[68]Ardal_splatnosti!#REF!</definedName>
    <definedName name="znov20">[68]Ardal_splatnosti!#REF!</definedName>
    <definedName name="znov21" localSheetId="13">[67]Ardal_splatnosti!#REF!</definedName>
    <definedName name="znov21" localSheetId="15">[68]Ardal_splatnosti!#REF!</definedName>
    <definedName name="znov21">[68]Ardal_splatnosti!#REF!</definedName>
    <definedName name="zokt16" localSheetId="13">[66]splatnosti!#REF!</definedName>
    <definedName name="zokt16" localSheetId="15">[66]splatnosti!#REF!</definedName>
    <definedName name="zokt16">[66]splatnosti!#REF!</definedName>
    <definedName name="zokt17" localSheetId="13">[66]splatnosti!#REF!</definedName>
    <definedName name="zokt17" localSheetId="15">[66]splatnosti!#REF!</definedName>
    <definedName name="zokt17">[66]splatnosti!#REF!</definedName>
    <definedName name="zokt18" localSheetId="13">[67]Ardal_splatnosti!#REF!</definedName>
    <definedName name="zokt18" localSheetId="15">[68]Ardal_splatnosti!#REF!</definedName>
    <definedName name="zokt18">[68]Ardal_splatnosti!#REF!</definedName>
    <definedName name="zokt19" localSheetId="13">[67]Ardal_splatnosti!#REF!</definedName>
    <definedName name="zokt19" localSheetId="15">[68]Ardal_splatnosti!#REF!</definedName>
    <definedName name="zokt19">[68]Ardal_splatnosti!#REF!</definedName>
    <definedName name="zokt20" localSheetId="13">[67]Ardal_splatnosti!#REF!</definedName>
    <definedName name="zokt20" localSheetId="15">[68]Ardal_splatnosti!#REF!</definedName>
    <definedName name="zokt20">[68]Ardal_splatnosti!#REF!</definedName>
    <definedName name="zokt21" localSheetId="13">[67]Ardal_splatnosti!#REF!</definedName>
    <definedName name="zokt21" localSheetId="15">[68]Ardal_splatnosti!#REF!</definedName>
    <definedName name="zokt21">[68]Ardal_splatnosti!#REF!</definedName>
    <definedName name="ZPee_2" localSheetId="13">[31]Graf14_Graf15!#REF!</definedName>
    <definedName name="ZPee_2" localSheetId="15">[31]Graf14_Graf15!#REF!</definedName>
    <definedName name="ZPee_2" localSheetId="23">[31]Graf14_Graf15!#REF!</definedName>
    <definedName name="ZPee_2">[31]Graf14_Graf15!#REF!</definedName>
    <definedName name="ZPer_2" localSheetId="13">[31]Graf14_Graf15!#REF!</definedName>
    <definedName name="ZPer_2" localSheetId="15">[31]Graf14_Graf15!#REF!</definedName>
    <definedName name="ZPer_2" localSheetId="23">[31]Graf14_Graf15!#REF!</definedName>
    <definedName name="ZPer_2">[31]Graf14_Graf15!#REF!</definedName>
    <definedName name="zpiz">[46]ZPIZ!$A$1:$F$65536</definedName>
    <definedName name="zsep16" localSheetId="13">[66]splatnosti!#REF!</definedName>
    <definedName name="zsep16" localSheetId="15">[66]splatnosti!#REF!</definedName>
    <definedName name="zsep16">[66]splatnosti!#REF!</definedName>
    <definedName name="zsep17" localSheetId="13">[66]splatnosti!#REF!</definedName>
    <definedName name="zsep17" localSheetId="15">[66]splatnosti!#REF!</definedName>
    <definedName name="zsep17">[66]splatnosti!#REF!</definedName>
    <definedName name="zsep18" localSheetId="13">[67]Ardal_splatnosti!#REF!</definedName>
    <definedName name="zsep18">[68]Ardal_splatnosti!#REF!</definedName>
    <definedName name="zsep19" localSheetId="13">[67]Ardal_splatnosti!#REF!</definedName>
    <definedName name="zsep19">[68]Ardal_splatnosti!#REF!</definedName>
    <definedName name="zsep20" localSheetId="13">[67]Ardal_splatnosti!#REF!</definedName>
    <definedName name="zsep20">[68]Ardal_splatnosti!#REF!</definedName>
    <definedName name="zsep21" localSheetId="13">[67]Ardal_splatnosti!#REF!</definedName>
    <definedName name="zsep21">[68]Ardal_splatnosti!#REF!</definedName>
    <definedName name="zz" localSheetId="3" hidden="1">{"Tab1",#N/A,FALSE,"P";"Tab2",#N/A,FALSE,"P"}</definedName>
    <definedName name="zz" localSheetId="13" hidden="1">{"Tab1",#N/A,FALSE,"P";"Tab2",#N/A,FALSE,"P"}</definedName>
    <definedName name="zz" localSheetId="15" hidden="1">{"Tab1",#N/A,FALSE,"P";"Tab2",#N/A,FALSE,"P"}</definedName>
    <definedName name="zz" localSheetId="16" hidden="1">{"Tab1",#N/A,FALSE,"P";"Tab2",#N/A,FALSE,"P"}</definedName>
    <definedName name="zz" localSheetId="18" hidden="1">{"Tab1",#N/A,FALSE,"P";"Tab2",#N/A,FALSE,"P"}</definedName>
    <definedName name="zz" localSheetId="23" hidden="1">{"Tab1",#N/A,FALSE,"P";"Tab2",#N/A,FALSE,"P"}</definedName>
    <definedName name="zz" localSheetId="4" hidden="1">{"Tab1",#N/A,FALSE,"P";"Tab2",#N/A,FALSE,"P"}</definedName>
    <definedName name="zz" localSheetId="26" hidden="1">{"Tab1",#N/A,FALSE,"P";"Tab2",#N/A,FALSE,"P"}</definedName>
    <definedName name="zz" localSheetId="27" hidden="1">{"Tab1",#N/A,FALSE,"P";"Tab2",#N/A,FALSE,"P"}</definedName>
    <definedName name="zz" localSheetId="32" hidden="1">{"Tab1",#N/A,FALSE,"P";"Tab2",#N/A,FALSE,"P"}</definedName>
    <definedName name="zz" localSheetId="6" hidden="1">{"Tab1",#N/A,FALSE,"P";"Tab2",#N/A,FALSE,"P"}</definedName>
    <definedName name="zz" localSheetId="1" hidden="1">{"Tab1",#N/A,FALSE,"P";"Tab2",#N/A,FALSE,"P"}</definedName>
    <definedName name="zz" hidden="1">{"Tab1",#N/A,FALSE,"P";"Tab2",#N/A,FALSE,"P"}</definedName>
    <definedName name="zzzs">[46]ZZZS!$A$1:$E$65536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61" l="1"/>
  <c r="H11" i="261"/>
  <c r="H10" i="261"/>
  <c r="H9" i="261"/>
  <c r="H8" i="261"/>
  <c r="H6" i="261"/>
  <c r="S34" i="260" l="1"/>
  <c r="T34" i="260" s="1"/>
  <c r="U34" i="260" s="1"/>
  <c r="M34" i="260"/>
  <c r="N34" i="260" s="1"/>
  <c r="O34" i="260" s="1"/>
  <c r="P34" i="260" s="1"/>
  <c r="Q34" i="260" s="1"/>
  <c r="R34" i="260" s="1"/>
  <c r="L34" i="260"/>
  <c r="K32" i="260"/>
  <c r="L32" i="260"/>
  <c r="M32" i="260"/>
  <c r="N32" i="260"/>
  <c r="O32" i="260"/>
  <c r="P32" i="260"/>
  <c r="Q32" i="260"/>
  <c r="R32" i="260"/>
  <c r="S32" i="260"/>
  <c r="T32" i="260"/>
  <c r="U32" i="260"/>
  <c r="J32" i="260"/>
  <c r="F107" i="203" l="1"/>
  <c r="D46" i="253" l="1"/>
  <c r="D23" i="253"/>
  <c r="I25" i="306" l="1"/>
  <c r="H25" i="306"/>
  <c r="G25" i="306"/>
  <c r="I23" i="306"/>
  <c r="H23" i="306"/>
  <c r="G23" i="306"/>
  <c r="F23" i="306"/>
  <c r="I22" i="306"/>
  <c r="H22" i="306"/>
  <c r="G22" i="306"/>
  <c r="F22" i="306"/>
  <c r="I21" i="306"/>
  <c r="H21" i="306"/>
  <c r="G21" i="306"/>
  <c r="F21" i="306"/>
  <c r="I20" i="306"/>
  <c r="H20" i="306"/>
  <c r="G20" i="306"/>
  <c r="F20" i="306"/>
  <c r="I19" i="306"/>
  <c r="H19" i="306"/>
  <c r="G19" i="306"/>
  <c r="F19" i="306"/>
  <c r="I18" i="306"/>
  <c r="H18" i="306"/>
  <c r="G18" i="306"/>
  <c r="F18" i="306"/>
  <c r="I17" i="306"/>
  <c r="H17" i="306"/>
  <c r="G17" i="306"/>
  <c r="F17" i="306"/>
  <c r="I16" i="306"/>
  <c r="H16" i="306"/>
  <c r="G16" i="306"/>
  <c r="F16" i="306"/>
  <c r="I15" i="306"/>
  <c r="I24" i="306" s="1"/>
  <c r="H15" i="306"/>
  <c r="H24" i="306" s="1"/>
  <c r="G15" i="306"/>
  <c r="G24" i="306" s="1"/>
  <c r="F15" i="306"/>
  <c r="F24" i="306" s="1"/>
  <c r="I13" i="306"/>
  <c r="H13" i="306"/>
  <c r="G13" i="306"/>
  <c r="F13" i="306"/>
  <c r="I12" i="306"/>
  <c r="H12" i="306"/>
  <c r="G12" i="306"/>
  <c r="F12" i="306"/>
  <c r="I11" i="306"/>
  <c r="H11" i="306"/>
  <c r="G11" i="306"/>
  <c r="F11" i="306"/>
  <c r="I10" i="306"/>
  <c r="H10" i="306"/>
  <c r="G10" i="306"/>
  <c r="F10" i="306"/>
  <c r="I9" i="306"/>
  <c r="H9" i="306"/>
  <c r="G9" i="306"/>
  <c r="F9" i="306"/>
  <c r="I8" i="306"/>
  <c r="I14" i="306" s="1"/>
  <c r="H8" i="306"/>
  <c r="H14" i="306" s="1"/>
  <c r="G8" i="306"/>
  <c r="G14" i="306" s="1"/>
  <c r="F8" i="306"/>
  <c r="F14" i="306" s="1"/>
  <c r="F25" i="306"/>
  <c r="E23" i="306"/>
  <c r="E22" i="306"/>
  <c r="E21" i="306"/>
  <c r="E20" i="306"/>
  <c r="E19" i="306"/>
  <c r="E18" i="306"/>
  <c r="E17" i="306"/>
  <c r="E16" i="306"/>
  <c r="E15" i="306"/>
  <c r="E13" i="306"/>
  <c r="E12" i="306"/>
  <c r="E11" i="306"/>
  <c r="E10" i="306"/>
  <c r="E9" i="306"/>
  <c r="E8" i="306"/>
  <c r="E26" i="306"/>
  <c r="E24" i="306"/>
  <c r="G26" i="306"/>
  <c r="G27" i="306" s="1"/>
  <c r="V93" i="193"/>
  <c r="V94" i="193" s="1"/>
  <c r="H107" i="203"/>
  <c r="E107" i="203"/>
  <c r="D107" i="203"/>
  <c r="G107" i="203"/>
  <c r="H26" i="306" l="1"/>
  <c r="H27" i="306" s="1"/>
  <c r="E14" i="306"/>
  <c r="F26" i="306"/>
  <c r="F27" i="306" s="1"/>
  <c r="E42" i="123"/>
  <c r="L42" i="123" s="1"/>
  <c r="H42" i="123"/>
  <c r="H33" i="123" s="1"/>
  <c r="O33" i="123" s="1"/>
  <c r="G42" i="123"/>
  <c r="N42" i="123" s="1"/>
  <c r="F42" i="123"/>
  <c r="M42" i="123" s="1"/>
  <c r="O47" i="123"/>
  <c r="N47" i="123"/>
  <c r="M47" i="123"/>
  <c r="L47" i="123"/>
  <c r="K47" i="123"/>
  <c r="O46" i="123"/>
  <c r="N46" i="123"/>
  <c r="M46" i="123"/>
  <c r="L46" i="123"/>
  <c r="K46" i="123"/>
  <c r="O45" i="123"/>
  <c r="N45" i="123"/>
  <c r="M45" i="123"/>
  <c r="L45" i="123"/>
  <c r="K45" i="123"/>
  <c r="O44" i="123"/>
  <c r="N44" i="123"/>
  <c r="M44" i="123"/>
  <c r="L44" i="123"/>
  <c r="K44" i="123"/>
  <c r="O43" i="123"/>
  <c r="N43" i="123"/>
  <c r="M43" i="123"/>
  <c r="L43" i="123"/>
  <c r="K43" i="123"/>
  <c r="O41" i="123"/>
  <c r="N41" i="123"/>
  <c r="M41" i="123"/>
  <c r="L41" i="123"/>
  <c r="K41" i="123"/>
  <c r="O40" i="123"/>
  <c r="N40" i="123"/>
  <c r="M40" i="123"/>
  <c r="L40" i="123"/>
  <c r="K40" i="123"/>
  <c r="O39" i="123"/>
  <c r="N39" i="123"/>
  <c r="M39" i="123"/>
  <c r="L39" i="123"/>
  <c r="O38" i="123"/>
  <c r="N38" i="123"/>
  <c r="M38" i="123"/>
  <c r="L38" i="123"/>
  <c r="K38" i="123"/>
  <c r="O37" i="123"/>
  <c r="N37" i="123"/>
  <c r="M37" i="123"/>
  <c r="L37" i="123"/>
  <c r="K37" i="123"/>
  <c r="O36" i="123"/>
  <c r="N36" i="123"/>
  <c r="M36" i="123"/>
  <c r="L36" i="123"/>
  <c r="K36" i="123"/>
  <c r="O35" i="123"/>
  <c r="N35" i="123"/>
  <c r="M35" i="123"/>
  <c r="L35" i="123"/>
  <c r="O34" i="123"/>
  <c r="N34" i="123"/>
  <c r="M34" i="123"/>
  <c r="L34" i="123"/>
  <c r="O32" i="123"/>
  <c r="N32" i="123"/>
  <c r="M32" i="123"/>
  <c r="L32" i="123"/>
  <c r="K32" i="123"/>
  <c r="O31" i="123"/>
  <c r="N31" i="123"/>
  <c r="M31" i="123"/>
  <c r="L31" i="123"/>
  <c r="K31" i="123"/>
  <c r="O30" i="123"/>
  <c r="N30" i="123"/>
  <c r="M30" i="123"/>
  <c r="L30" i="123"/>
  <c r="K30" i="123"/>
  <c r="O29" i="123"/>
  <c r="N29" i="123"/>
  <c r="M29" i="123"/>
  <c r="L29" i="123"/>
  <c r="K29" i="123"/>
  <c r="O28" i="123"/>
  <c r="N28" i="123"/>
  <c r="M28" i="123"/>
  <c r="L28" i="123"/>
  <c r="O27" i="123"/>
  <c r="N27" i="123"/>
  <c r="M27" i="123"/>
  <c r="L27" i="123"/>
  <c r="K27" i="123"/>
  <c r="O26" i="123"/>
  <c r="N26" i="123"/>
  <c r="M26" i="123"/>
  <c r="L26" i="123"/>
  <c r="K26" i="123"/>
  <c r="O25" i="123"/>
  <c r="N25" i="123"/>
  <c r="M25" i="123"/>
  <c r="L25" i="123"/>
  <c r="K25" i="123"/>
  <c r="O24" i="123"/>
  <c r="N24" i="123"/>
  <c r="M24" i="123"/>
  <c r="L24" i="123"/>
  <c r="K24" i="123"/>
  <c r="O23" i="123"/>
  <c r="N23" i="123"/>
  <c r="M23" i="123"/>
  <c r="L23" i="123"/>
  <c r="K23" i="123"/>
  <c r="O22" i="123"/>
  <c r="N22" i="123"/>
  <c r="M22" i="123"/>
  <c r="L22" i="123"/>
  <c r="O21" i="123"/>
  <c r="N21" i="123"/>
  <c r="M21" i="123"/>
  <c r="L21" i="123"/>
  <c r="K21" i="123"/>
  <c r="O20" i="123"/>
  <c r="N20" i="123"/>
  <c r="M20" i="123"/>
  <c r="L20" i="123"/>
  <c r="K20" i="123"/>
  <c r="O19" i="123"/>
  <c r="N19" i="123"/>
  <c r="M19" i="123"/>
  <c r="L19" i="123"/>
  <c r="K19" i="123"/>
  <c r="O18" i="123"/>
  <c r="N18" i="123"/>
  <c r="M18" i="123"/>
  <c r="L18" i="123"/>
  <c r="O17" i="123"/>
  <c r="N17" i="123"/>
  <c r="M17" i="123"/>
  <c r="L17" i="123"/>
  <c r="K17" i="123"/>
  <c r="O16" i="123"/>
  <c r="N16" i="123"/>
  <c r="M16" i="123"/>
  <c r="L16" i="123"/>
  <c r="K16" i="123"/>
  <c r="O15" i="123"/>
  <c r="N15" i="123"/>
  <c r="M15" i="123"/>
  <c r="L15" i="123"/>
  <c r="O14" i="123"/>
  <c r="N14" i="123"/>
  <c r="M14" i="123"/>
  <c r="L14" i="123"/>
  <c r="K14" i="123"/>
  <c r="O13" i="123"/>
  <c r="N13" i="123"/>
  <c r="M13" i="123"/>
  <c r="L13" i="123"/>
  <c r="K13" i="123"/>
  <c r="O12" i="123"/>
  <c r="N12" i="123"/>
  <c r="M12" i="123"/>
  <c r="L12" i="123"/>
  <c r="K12" i="123"/>
  <c r="O11" i="123"/>
  <c r="N11" i="123"/>
  <c r="M11" i="123"/>
  <c r="L11" i="123"/>
  <c r="O10" i="123"/>
  <c r="N10" i="123"/>
  <c r="M10" i="123"/>
  <c r="L10" i="123"/>
  <c r="K10" i="123"/>
  <c r="O9" i="123"/>
  <c r="N9" i="123"/>
  <c r="M9" i="123"/>
  <c r="L9" i="123"/>
  <c r="K9" i="123"/>
  <c r="O8" i="123"/>
  <c r="N8" i="123"/>
  <c r="M8" i="123"/>
  <c r="L8" i="123"/>
  <c r="K8" i="123"/>
  <c r="O7" i="123"/>
  <c r="N7" i="123"/>
  <c r="M7" i="123"/>
  <c r="L7" i="123"/>
  <c r="O6" i="123"/>
  <c r="N6" i="123"/>
  <c r="M6" i="123"/>
  <c r="L6" i="123"/>
  <c r="O5" i="123"/>
  <c r="N5" i="123"/>
  <c r="M5" i="123"/>
  <c r="L5" i="123"/>
  <c r="K5" i="123"/>
  <c r="F33" i="123" l="1"/>
  <c r="M33" i="123" s="1"/>
  <c r="G33" i="123"/>
  <c r="N33" i="123" s="1"/>
  <c r="O42" i="123"/>
  <c r="E33" i="123"/>
  <c r="L33" i="123" s="1"/>
  <c r="H44" i="203"/>
  <c r="G44" i="203"/>
  <c r="F44" i="203"/>
  <c r="E44" i="203"/>
  <c r="D44" i="203"/>
  <c r="Q27" i="306"/>
  <c r="P27" i="306"/>
  <c r="O27" i="306"/>
  <c r="N27" i="306"/>
  <c r="Q26" i="306"/>
  <c r="P26" i="306"/>
  <c r="O26" i="306"/>
  <c r="N26" i="306"/>
  <c r="M26" i="306"/>
  <c r="Q25" i="306"/>
  <c r="P25" i="306"/>
  <c r="Q24" i="306"/>
  <c r="P24" i="306"/>
  <c r="O24" i="306"/>
  <c r="N24" i="306"/>
  <c r="M24" i="306"/>
  <c r="Q23" i="306"/>
  <c r="P23" i="306"/>
  <c r="O23" i="306"/>
  <c r="N23" i="306"/>
  <c r="M23" i="306"/>
  <c r="Q22" i="306"/>
  <c r="P22" i="306"/>
  <c r="O22" i="306"/>
  <c r="N22" i="306"/>
  <c r="M22" i="306"/>
  <c r="Q21" i="306"/>
  <c r="P21" i="306"/>
  <c r="O21" i="306"/>
  <c r="N21" i="306"/>
  <c r="M21" i="306"/>
  <c r="Q20" i="306"/>
  <c r="P20" i="306"/>
  <c r="O20" i="306"/>
  <c r="N20" i="306"/>
  <c r="M20" i="306"/>
  <c r="Q19" i="306"/>
  <c r="P19" i="306"/>
  <c r="O19" i="306"/>
  <c r="N19" i="306"/>
  <c r="M19" i="306"/>
  <c r="Q18" i="306"/>
  <c r="P18" i="306"/>
  <c r="O18" i="306"/>
  <c r="N18" i="306"/>
  <c r="M18" i="306"/>
  <c r="Q17" i="306"/>
  <c r="P17" i="306"/>
  <c r="O17" i="306"/>
  <c r="N17" i="306"/>
  <c r="M17" i="306"/>
  <c r="Q16" i="306"/>
  <c r="P16" i="306"/>
  <c r="O16" i="306"/>
  <c r="N16" i="306"/>
  <c r="M16" i="306"/>
  <c r="Q15" i="306"/>
  <c r="P15" i="306"/>
  <c r="O15" i="306"/>
  <c r="N15" i="306"/>
  <c r="M15" i="306"/>
  <c r="Q14" i="306"/>
  <c r="P14" i="306"/>
  <c r="O14" i="306"/>
  <c r="N14" i="306"/>
  <c r="M14" i="306"/>
  <c r="Q13" i="306"/>
  <c r="P13" i="306"/>
  <c r="O13" i="306"/>
  <c r="N13" i="306"/>
  <c r="M13" i="306"/>
  <c r="Q12" i="306"/>
  <c r="P12" i="306"/>
  <c r="O12" i="306"/>
  <c r="N12" i="306"/>
  <c r="M12" i="306"/>
  <c r="Q11" i="306"/>
  <c r="P11" i="306"/>
  <c r="O11" i="306"/>
  <c r="N11" i="306"/>
  <c r="M11" i="306"/>
  <c r="Q10" i="306"/>
  <c r="P10" i="306"/>
  <c r="O10" i="306"/>
  <c r="N10" i="306"/>
  <c r="M10" i="306"/>
  <c r="Q9" i="306"/>
  <c r="P9" i="306"/>
  <c r="O9" i="306"/>
  <c r="N9" i="306"/>
  <c r="M9" i="306"/>
  <c r="Q8" i="306"/>
  <c r="P8" i="306"/>
  <c r="O8" i="306"/>
  <c r="N8" i="306"/>
  <c r="M8" i="306"/>
  <c r="Q7" i="306"/>
  <c r="P7" i="306"/>
  <c r="O7" i="306"/>
  <c r="N7" i="306"/>
  <c r="M7" i="306"/>
  <c r="I19" i="334" l="1"/>
  <c r="H19" i="334"/>
  <c r="G19" i="334"/>
  <c r="I18" i="334"/>
  <c r="H18" i="334"/>
  <c r="G18" i="334"/>
  <c r="I17" i="334"/>
  <c r="H17" i="334"/>
  <c r="G17" i="334"/>
  <c r="F17" i="334"/>
  <c r="I16" i="334"/>
  <c r="H16" i="334"/>
  <c r="G16" i="334"/>
  <c r="F16" i="334"/>
  <c r="E16" i="334"/>
  <c r="D16" i="334"/>
  <c r="AZ9" i="327"/>
  <c r="AY9" i="327"/>
  <c r="AX9" i="327"/>
  <c r="AW9" i="327"/>
  <c r="AV9" i="327"/>
  <c r="AU9" i="327"/>
  <c r="AT9" i="327"/>
  <c r="AS9" i="327"/>
  <c r="AR9" i="327"/>
  <c r="AQ9" i="327"/>
  <c r="AP9" i="327"/>
  <c r="AO9" i="327"/>
  <c r="AN9" i="327"/>
  <c r="AM9" i="327"/>
  <c r="AL9" i="327"/>
  <c r="AK9" i="327"/>
  <c r="AJ9" i="327"/>
  <c r="AI9" i="327"/>
  <c r="AH9" i="327"/>
  <c r="AG9" i="327"/>
  <c r="AF9" i="327"/>
  <c r="AE9" i="327"/>
  <c r="AD9" i="327"/>
  <c r="AC9" i="327"/>
  <c r="AB9" i="327"/>
  <c r="AA9" i="327"/>
  <c r="Z9" i="327"/>
  <c r="Y9" i="327"/>
  <c r="X9" i="327"/>
  <c r="W9" i="327"/>
  <c r="V9" i="327"/>
  <c r="U9" i="327"/>
  <c r="T9" i="327"/>
  <c r="S9" i="327"/>
  <c r="R9" i="327"/>
  <c r="Q9" i="327"/>
  <c r="P9" i="327"/>
  <c r="O9" i="327"/>
  <c r="N9" i="327"/>
  <c r="M9" i="327"/>
  <c r="L9" i="327"/>
  <c r="K9" i="327"/>
  <c r="J9" i="327"/>
  <c r="I9" i="327"/>
  <c r="H9" i="327"/>
  <c r="G9" i="327"/>
  <c r="F9" i="327"/>
  <c r="AZ8" i="327"/>
  <c r="AY8" i="327"/>
  <c r="AX8" i="327"/>
  <c r="AW8" i="327"/>
  <c r="AV8" i="327"/>
  <c r="AU8" i="327"/>
  <c r="AT8" i="327"/>
  <c r="AS8" i="327"/>
  <c r="AR8" i="327"/>
  <c r="AQ8" i="327"/>
  <c r="AP8" i="327"/>
  <c r="AO8" i="327"/>
  <c r="AN8" i="327"/>
  <c r="AM8" i="327"/>
  <c r="AL8" i="327"/>
  <c r="AK8" i="327"/>
  <c r="AJ8" i="327"/>
  <c r="AI8" i="327"/>
  <c r="AH8" i="327"/>
  <c r="AG8" i="327"/>
  <c r="AF8" i="327"/>
  <c r="AE8" i="327"/>
  <c r="AD8" i="327"/>
  <c r="AC8" i="327"/>
  <c r="AB8" i="327"/>
  <c r="AA8" i="327"/>
  <c r="Z8" i="327"/>
  <c r="Y8" i="327"/>
  <c r="X8" i="327"/>
  <c r="W8" i="327"/>
  <c r="V8" i="327"/>
  <c r="U8" i="327"/>
  <c r="T8" i="327"/>
  <c r="S8" i="327"/>
  <c r="R8" i="327"/>
  <c r="Q8" i="327"/>
  <c r="P8" i="327"/>
  <c r="O8" i="327"/>
  <c r="N8" i="327"/>
  <c r="M8" i="327"/>
  <c r="L8" i="327"/>
  <c r="K8" i="327"/>
  <c r="J8" i="327"/>
  <c r="I8" i="327"/>
  <c r="H8" i="327"/>
  <c r="G8" i="327"/>
  <c r="F8" i="327"/>
  <c r="E46" i="321"/>
  <c r="D46" i="321"/>
  <c r="C46" i="321"/>
  <c r="B46" i="321"/>
  <c r="A46" i="321"/>
  <c r="E45" i="321"/>
  <c r="D45" i="321"/>
  <c r="C45" i="321"/>
  <c r="B45" i="321"/>
  <c r="A45" i="321"/>
  <c r="E44" i="321"/>
  <c r="D44" i="321"/>
  <c r="C44" i="321"/>
  <c r="B44" i="321"/>
  <c r="A44" i="321"/>
  <c r="E43" i="321"/>
  <c r="D43" i="321"/>
  <c r="C43" i="321"/>
  <c r="B43" i="321"/>
  <c r="A43" i="321"/>
  <c r="E42" i="321"/>
  <c r="D42" i="321"/>
  <c r="C42" i="321"/>
  <c r="B42" i="321"/>
  <c r="A42" i="321"/>
  <c r="E41" i="321"/>
  <c r="D41" i="321"/>
  <c r="C41" i="321"/>
  <c r="B41" i="321"/>
  <c r="A41" i="321"/>
  <c r="E40" i="321"/>
  <c r="D40" i="321"/>
  <c r="C40" i="321"/>
  <c r="B40" i="321"/>
  <c r="A40" i="321"/>
  <c r="E39" i="321"/>
  <c r="D39" i="321"/>
  <c r="C39" i="321"/>
  <c r="B39" i="321"/>
  <c r="A39" i="321"/>
  <c r="E38" i="321"/>
  <c r="D38" i="321"/>
  <c r="C38" i="321"/>
  <c r="B38" i="321"/>
  <c r="A38" i="321"/>
  <c r="E37" i="321"/>
  <c r="D37" i="321"/>
  <c r="C37" i="321"/>
  <c r="B37" i="321"/>
  <c r="A37" i="321"/>
  <c r="E36" i="321"/>
  <c r="D36" i="321"/>
  <c r="C36" i="321"/>
  <c r="B36" i="321"/>
  <c r="A36" i="321"/>
  <c r="E35" i="321"/>
  <c r="D35" i="321"/>
  <c r="C35" i="321"/>
  <c r="B35" i="321"/>
  <c r="A35" i="321"/>
  <c r="E34" i="321"/>
  <c r="D34" i="321"/>
  <c r="C34" i="321"/>
  <c r="B34" i="321"/>
  <c r="A34" i="321"/>
  <c r="E33" i="321"/>
  <c r="D33" i="321"/>
  <c r="C33" i="321"/>
  <c r="B33" i="321"/>
  <c r="A33" i="321"/>
  <c r="E32" i="321"/>
  <c r="D32" i="321"/>
  <c r="C32" i="321"/>
  <c r="B32" i="321"/>
  <c r="A32" i="321"/>
  <c r="E31" i="321"/>
  <c r="D31" i="321"/>
  <c r="C31" i="321"/>
  <c r="B31" i="321"/>
  <c r="A31" i="321"/>
  <c r="E30" i="321"/>
  <c r="D30" i="321"/>
  <c r="C30" i="321"/>
  <c r="B30" i="321"/>
  <c r="A30" i="321"/>
  <c r="E29" i="321"/>
  <c r="D29" i="321"/>
  <c r="C29" i="321"/>
  <c r="B29" i="321"/>
  <c r="A29" i="321"/>
  <c r="E28" i="321"/>
  <c r="D28" i="321"/>
  <c r="C28" i="321"/>
  <c r="B28" i="321"/>
  <c r="A28" i="321"/>
  <c r="E27" i="321"/>
  <c r="D27" i="321"/>
  <c r="C27" i="321"/>
  <c r="B27" i="321"/>
  <c r="A27" i="321"/>
  <c r="E26" i="321"/>
  <c r="D26" i="321"/>
  <c r="C26" i="321"/>
  <c r="B26" i="321"/>
  <c r="A26" i="321"/>
  <c r="E25" i="321"/>
  <c r="D25" i="321"/>
  <c r="C25" i="321"/>
  <c r="B25" i="321"/>
  <c r="A25" i="321"/>
  <c r="E24" i="321"/>
  <c r="D24" i="321"/>
  <c r="C24" i="321"/>
  <c r="B24" i="321"/>
  <c r="A24" i="321"/>
  <c r="E23" i="321"/>
  <c r="D23" i="321"/>
  <c r="C23" i="321"/>
  <c r="B23" i="321"/>
  <c r="A23" i="321"/>
  <c r="E22" i="321"/>
  <c r="D22" i="321"/>
  <c r="C22" i="321"/>
  <c r="B22" i="321"/>
  <c r="A22" i="321"/>
  <c r="E21" i="321"/>
  <c r="D21" i="321"/>
  <c r="C21" i="321"/>
  <c r="B21" i="321"/>
  <c r="A21" i="321"/>
  <c r="E20" i="321"/>
  <c r="D20" i="321"/>
  <c r="C20" i="321"/>
  <c r="B20" i="321"/>
  <c r="A20" i="321"/>
  <c r="E19" i="321"/>
  <c r="D19" i="321"/>
  <c r="C19" i="321"/>
  <c r="B19" i="321"/>
  <c r="A19" i="321"/>
  <c r="E18" i="321"/>
  <c r="D18" i="321"/>
  <c r="C18" i="321"/>
  <c r="B18" i="321"/>
  <c r="A18" i="321"/>
  <c r="E17" i="321"/>
  <c r="D17" i="321"/>
  <c r="C17" i="321"/>
  <c r="B17" i="321"/>
  <c r="A17" i="321"/>
  <c r="E16" i="321"/>
  <c r="D16" i="321"/>
  <c r="C16" i="321"/>
  <c r="B16" i="321"/>
  <c r="A16" i="321"/>
  <c r="E15" i="321"/>
  <c r="D15" i="321"/>
  <c r="C15" i="321"/>
  <c r="B15" i="321"/>
  <c r="A15" i="321"/>
  <c r="E14" i="321"/>
  <c r="D14" i="321"/>
  <c r="C14" i="321"/>
  <c r="B14" i="321"/>
  <c r="A14" i="321"/>
  <c r="E13" i="321"/>
  <c r="D13" i="321"/>
  <c r="C13" i="321"/>
  <c r="B13" i="321"/>
  <c r="A13" i="321"/>
  <c r="E12" i="321"/>
  <c r="D12" i="321"/>
  <c r="C12" i="321"/>
  <c r="B12" i="321"/>
  <c r="A12" i="321"/>
  <c r="E11" i="321"/>
  <c r="D11" i="321"/>
  <c r="C11" i="321"/>
  <c r="B11" i="321"/>
  <c r="A11" i="321"/>
  <c r="E10" i="321"/>
  <c r="D10" i="321"/>
  <c r="C10" i="321"/>
  <c r="B10" i="321"/>
  <c r="A10" i="321"/>
  <c r="E9" i="321"/>
  <c r="D9" i="321"/>
  <c r="C9" i="321"/>
  <c r="B9" i="321"/>
  <c r="A9" i="321"/>
  <c r="E8" i="321"/>
  <c r="D8" i="321"/>
  <c r="C8" i="321"/>
  <c r="B8" i="321"/>
  <c r="A8" i="321"/>
  <c r="E7" i="321"/>
  <c r="D7" i="321"/>
  <c r="C7" i="321"/>
  <c r="B7" i="321"/>
  <c r="A7" i="321"/>
  <c r="F24" i="303" l="1"/>
  <c r="G24" i="303"/>
  <c r="H24" i="303"/>
  <c r="I24" i="303"/>
  <c r="J24" i="303"/>
  <c r="K24" i="303"/>
  <c r="F25" i="303"/>
  <c r="G25" i="303"/>
  <c r="H25" i="303"/>
  <c r="I25" i="303"/>
  <c r="J25" i="303"/>
  <c r="K25" i="303"/>
  <c r="E25" i="303"/>
  <c r="E24" i="303"/>
  <c r="F31" i="302" l="1"/>
  <c r="G31" i="302"/>
  <c r="H31" i="302"/>
  <c r="I31" i="302"/>
  <c r="J31" i="302"/>
  <c r="K31" i="302"/>
  <c r="L31" i="302"/>
  <c r="M31" i="302"/>
  <c r="F32" i="302"/>
  <c r="G32" i="302"/>
  <c r="H32" i="302"/>
  <c r="I32" i="302"/>
  <c r="J32" i="302"/>
  <c r="K32" i="302"/>
  <c r="L32" i="302"/>
  <c r="M32" i="302"/>
  <c r="F33" i="302"/>
  <c r="G33" i="302"/>
  <c r="H33" i="302"/>
  <c r="I33" i="302"/>
  <c r="J33" i="302"/>
  <c r="K33" i="302"/>
  <c r="L33" i="302"/>
  <c r="M33" i="302"/>
  <c r="F34" i="302"/>
  <c r="G34" i="302"/>
  <c r="H34" i="302"/>
  <c r="I34" i="302"/>
  <c r="J34" i="302"/>
  <c r="K34" i="302"/>
  <c r="L34" i="302"/>
  <c r="M34" i="302"/>
  <c r="F35" i="302"/>
  <c r="G35" i="302"/>
  <c r="H35" i="302"/>
  <c r="I35" i="302"/>
  <c r="J35" i="302"/>
  <c r="K35" i="302"/>
  <c r="L35" i="302"/>
  <c r="M35" i="302"/>
  <c r="F36" i="302"/>
  <c r="G36" i="302"/>
  <c r="H36" i="302"/>
  <c r="I36" i="302"/>
  <c r="J36" i="302"/>
  <c r="K36" i="302"/>
  <c r="L36" i="302"/>
  <c r="M36" i="302"/>
  <c r="E36" i="302"/>
  <c r="E35" i="302"/>
  <c r="E34" i="302"/>
  <c r="E33" i="302"/>
  <c r="E32" i="302"/>
  <c r="E31" i="302"/>
  <c r="F45" i="253" l="1"/>
  <c r="E45" i="253"/>
  <c r="B45" i="253"/>
  <c r="C45" i="253"/>
  <c r="E46" i="253"/>
  <c r="F46" i="253"/>
  <c r="D45" i="253" l="1"/>
  <c r="I28" i="296" l="1"/>
  <c r="J28" i="296"/>
  <c r="K28" i="296"/>
  <c r="L28" i="296"/>
  <c r="I29" i="296"/>
  <c r="J29" i="296"/>
  <c r="K29" i="296"/>
  <c r="L29" i="296"/>
  <c r="I30" i="296"/>
  <c r="J30" i="296"/>
  <c r="K30" i="296"/>
  <c r="L30" i="296"/>
  <c r="I31" i="296"/>
  <c r="J31" i="296"/>
  <c r="K31" i="296"/>
  <c r="L31" i="296"/>
  <c r="I32" i="296"/>
  <c r="J32" i="296"/>
  <c r="K32" i="296"/>
  <c r="L32" i="296"/>
  <c r="I33" i="296"/>
  <c r="J33" i="296"/>
  <c r="K33" i="296"/>
  <c r="L33" i="296"/>
  <c r="I34" i="296"/>
  <c r="J34" i="296"/>
  <c r="K34" i="296"/>
  <c r="L34" i="296"/>
  <c r="I35" i="296"/>
  <c r="J35" i="296"/>
  <c r="K35" i="296"/>
  <c r="L35" i="296"/>
  <c r="I36" i="296"/>
  <c r="J36" i="296"/>
  <c r="K36" i="296"/>
  <c r="L36" i="296"/>
  <c r="I37" i="296"/>
  <c r="J37" i="296"/>
  <c r="K37" i="296"/>
  <c r="L37" i="296"/>
  <c r="I38" i="296"/>
  <c r="J38" i="296"/>
  <c r="K38" i="296"/>
  <c r="L38" i="296"/>
  <c r="I39" i="296"/>
  <c r="J39" i="296"/>
  <c r="K39" i="296"/>
  <c r="L39" i="296"/>
  <c r="I40" i="296"/>
  <c r="J40" i="296"/>
  <c r="K40" i="296"/>
  <c r="L40" i="296"/>
  <c r="I41" i="296"/>
  <c r="J41" i="296"/>
  <c r="K41" i="296"/>
  <c r="L41" i="296"/>
  <c r="I42" i="296"/>
  <c r="J42" i="296"/>
  <c r="K42" i="296"/>
  <c r="L42" i="296"/>
  <c r="K28" i="299" l="1"/>
  <c r="J28" i="299"/>
  <c r="I28" i="299"/>
  <c r="H28" i="299"/>
  <c r="G28" i="299"/>
  <c r="F28" i="299"/>
  <c r="E28" i="299"/>
  <c r="D28" i="299"/>
  <c r="C28" i="299"/>
  <c r="K27" i="299"/>
  <c r="J27" i="299"/>
  <c r="I27" i="299"/>
  <c r="H27" i="299"/>
  <c r="G27" i="299"/>
  <c r="F27" i="299"/>
  <c r="E27" i="299"/>
  <c r="D27" i="299"/>
  <c r="C27" i="299"/>
  <c r="K26" i="299"/>
  <c r="J26" i="299"/>
  <c r="I26" i="299"/>
  <c r="H26" i="299"/>
  <c r="G26" i="299"/>
  <c r="F26" i="299"/>
  <c r="E26" i="299"/>
  <c r="D26" i="299"/>
  <c r="C26" i="299"/>
  <c r="K25" i="299"/>
  <c r="J25" i="299"/>
  <c r="I25" i="299"/>
  <c r="H25" i="299"/>
  <c r="G25" i="299"/>
  <c r="F25" i="299"/>
  <c r="E25" i="299"/>
  <c r="D25" i="299"/>
  <c r="C25" i="299"/>
  <c r="K24" i="299"/>
  <c r="J24" i="299"/>
  <c r="I24" i="299"/>
  <c r="H24" i="299"/>
  <c r="G24" i="299"/>
  <c r="F24" i="299"/>
  <c r="E24" i="299"/>
  <c r="D24" i="299"/>
  <c r="C24" i="299"/>
  <c r="K23" i="299"/>
  <c r="J23" i="299"/>
  <c r="I23" i="299"/>
  <c r="H23" i="299"/>
  <c r="G23" i="299"/>
  <c r="F23" i="299"/>
  <c r="E23" i="299"/>
  <c r="D23" i="299"/>
  <c r="C23" i="299"/>
  <c r="K22" i="299"/>
  <c r="J22" i="299"/>
  <c r="I22" i="299"/>
  <c r="H22" i="299"/>
  <c r="G22" i="299"/>
  <c r="F22" i="299"/>
  <c r="E22" i="299"/>
  <c r="D22" i="299"/>
  <c r="C22" i="299"/>
  <c r="K21" i="299"/>
  <c r="J21" i="299"/>
  <c r="I21" i="299"/>
  <c r="H21" i="299"/>
  <c r="G21" i="299"/>
  <c r="F21" i="299"/>
  <c r="E21" i="299"/>
  <c r="D21" i="299"/>
  <c r="C21" i="299"/>
  <c r="J19" i="299"/>
  <c r="H19" i="299"/>
  <c r="F19" i="299"/>
  <c r="D19" i="299"/>
  <c r="C19" i="299"/>
  <c r="H22" i="297"/>
  <c r="G22" i="297"/>
  <c r="F22" i="297"/>
  <c r="E22" i="297"/>
  <c r="D22" i="297"/>
  <c r="H21" i="297"/>
  <c r="G21" i="297"/>
  <c r="F21" i="297"/>
  <c r="E21" i="297"/>
  <c r="D21" i="297"/>
  <c r="H20" i="297"/>
  <c r="G20" i="297"/>
  <c r="F20" i="297"/>
  <c r="E20" i="297"/>
  <c r="D20" i="297"/>
  <c r="H42" i="296"/>
  <c r="G42" i="296"/>
  <c r="F42" i="296"/>
  <c r="E42" i="296"/>
  <c r="H41" i="296"/>
  <c r="G41" i="296"/>
  <c r="F41" i="296"/>
  <c r="E41" i="296"/>
  <c r="H40" i="296"/>
  <c r="G40" i="296"/>
  <c r="F40" i="296"/>
  <c r="E40" i="296"/>
  <c r="H39" i="296"/>
  <c r="G39" i="296"/>
  <c r="F39" i="296"/>
  <c r="E39" i="296"/>
  <c r="H38" i="296"/>
  <c r="G38" i="296"/>
  <c r="F38" i="296"/>
  <c r="E38" i="296"/>
  <c r="H37" i="296"/>
  <c r="G37" i="296"/>
  <c r="F37" i="296"/>
  <c r="E37" i="296"/>
  <c r="H36" i="296"/>
  <c r="G36" i="296"/>
  <c r="F36" i="296"/>
  <c r="E36" i="296"/>
  <c r="H35" i="296"/>
  <c r="G35" i="296"/>
  <c r="F35" i="296"/>
  <c r="E35" i="296"/>
  <c r="H34" i="296"/>
  <c r="G34" i="296"/>
  <c r="F34" i="296"/>
  <c r="E34" i="296"/>
  <c r="H33" i="296"/>
  <c r="G33" i="296"/>
  <c r="F33" i="296"/>
  <c r="E33" i="296"/>
  <c r="H32" i="296"/>
  <c r="G32" i="296"/>
  <c r="F32" i="296"/>
  <c r="E32" i="296"/>
  <c r="H31" i="296"/>
  <c r="G31" i="296"/>
  <c r="F31" i="296"/>
  <c r="E31" i="296"/>
  <c r="H30" i="296"/>
  <c r="G30" i="296"/>
  <c r="F30" i="296"/>
  <c r="E30" i="296"/>
  <c r="H29" i="296"/>
  <c r="G29" i="296"/>
  <c r="F29" i="296"/>
  <c r="E29" i="296"/>
  <c r="H28" i="296"/>
  <c r="G28" i="296"/>
  <c r="F28" i="296"/>
  <c r="E28" i="296"/>
  <c r="L27" i="296"/>
  <c r="K27" i="296"/>
  <c r="J27" i="296"/>
  <c r="I27" i="296"/>
  <c r="H27" i="296"/>
  <c r="G27" i="296"/>
  <c r="F27" i="296"/>
  <c r="E27" i="296"/>
  <c r="S93" i="193" l="1"/>
  <c r="U93" i="193" l="1"/>
  <c r="U94" i="193" s="1"/>
  <c r="E44" i="253" l="1"/>
  <c r="F44" i="253"/>
  <c r="T93" i="193" l="1"/>
  <c r="T94" i="193" s="1"/>
  <c r="D44" i="253" l="1"/>
  <c r="C44" i="253"/>
  <c r="B44" i="253"/>
  <c r="R93" i="193" l="1"/>
  <c r="R94" i="193" s="1"/>
  <c r="S94" i="193"/>
  <c r="J18" i="193" l="1"/>
  <c r="M93" i="193" l="1"/>
  <c r="J44" i="193" l="1"/>
  <c r="I44" i="193"/>
  <c r="J43" i="193"/>
  <c r="I43" i="193"/>
  <c r="J41" i="193"/>
  <c r="I41" i="193"/>
  <c r="J39" i="193"/>
  <c r="I39" i="193"/>
  <c r="J38" i="193"/>
  <c r="I38" i="193"/>
  <c r="J37" i="193"/>
  <c r="I37" i="193"/>
  <c r="J36" i="193"/>
  <c r="I36" i="193"/>
  <c r="J35" i="193"/>
  <c r="I35" i="193"/>
  <c r="J30" i="193"/>
  <c r="J29" i="193" s="1"/>
  <c r="I30" i="193"/>
  <c r="I29" i="193" s="1"/>
  <c r="J25" i="193"/>
  <c r="J24" i="193"/>
  <c r="J22" i="193"/>
  <c r="J20" i="193"/>
  <c r="J19" i="193"/>
  <c r="I18" i="193"/>
  <c r="J11" i="193"/>
  <c r="I11" i="193"/>
  <c r="J10" i="193"/>
  <c r="J9" i="193"/>
  <c r="J8" i="193" s="1"/>
  <c r="I9" i="193"/>
  <c r="J90" i="193"/>
  <c r="I90" i="193"/>
  <c r="H90" i="193"/>
  <c r="F90" i="193"/>
  <c r="C90" i="193"/>
  <c r="J89" i="193"/>
  <c r="I89" i="193"/>
  <c r="H89" i="193"/>
  <c r="E89" i="193"/>
  <c r="J88" i="193"/>
  <c r="I88" i="193"/>
  <c r="H88" i="193"/>
  <c r="G88" i="193"/>
  <c r="F88" i="193"/>
  <c r="E88" i="193"/>
  <c r="D88" i="193"/>
  <c r="D87" i="193" s="1"/>
  <c r="C88" i="193"/>
  <c r="C87" i="193" s="1"/>
  <c r="G87" i="193"/>
  <c r="J85" i="193"/>
  <c r="J83" i="193"/>
  <c r="I83" i="193"/>
  <c r="H83" i="193"/>
  <c r="G83" i="193"/>
  <c r="J82" i="193"/>
  <c r="I82" i="193"/>
  <c r="H82" i="193"/>
  <c r="G82" i="193"/>
  <c r="F82" i="193"/>
  <c r="E82" i="193"/>
  <c r="D82" i="193"/>
  <c r="C82" i="193"/>
  <c r="J78" i="193"/>
  <c r="H78" i="193"/>
  <c r="G78" i="193"/>
  <c r="F78" i="193"/>
  <c r="E78" i="193"/>
  <c r="D78" i="193"/>
  <c r="C78" i="193"/>
  <c r="J71" i="193"/>
  <c r="I71" i="193"/>
  <c r="H71" i="193"/>
  <c r="G71" i="193"/>
  <c r="F71" i="193"/>
  <c r="E71" i="193"/>
  <c r="D71" i="193"/>
  <c r="C71" i="193"/>
  <c r="J69" i="193"/>
  <c r="I69" i="193"/>
  <c r="H69" i="193"/>
  <c r="J68" i="193"/>
  <c r="I68" i="193"/>
  <c r="H68" i="193"/>
  <c r="J66" i="193"/>
  <c r="I66" i="193"/>
  <c r="H66" i="193"/>
  <c r="G66" i="193"/>
  <c r="F66" i="193"/>
  <c r="E66" i="193"/>
  <c r="D66" i="193"/>
  <c r="C66" i="193"/>
  <c r="J65" i="193"/>
  <c r="I65" i="193"/>
  <c r="H65" i="193"/>
  <c r="G65" i="193"/>
  <c r="F65" i="193"/>
  <c r="E65" i="193"/>
  <c r="D65" i="193"/>
  <c r="C65" i="193"/>
  <c r="I64" i="193"/>
  <c r="J63" i="193"/>
  <c r="I63" i="193"/>
  <c r="H63" i="193"/>
  <c r="G63" i="193"/>
  <c r="F63" i="193"/>
  <c r="E63" i="193"/>
  <c r="D63" i="193"/>
  <c r="C63" i="193"/>
  <c r="J62" i="193"/>
  <c r="I62" i="193"/>
  <c r="H62" i="193"/>
  <c r="G62" i="193"/>
  <c r="F62" i="193"/>
  <c r="E62" i="193"/>
  <c r="D62" i="193"/>
  <c r="C62" i="193"/>
  <c r="J60" i="193"/>
  <c r="I60" i="193"/>
  <c r="H60" i="193"/>
  <c r="G60" i="193"/>
  <c r="F60" i="193"/>
  <c r="E60" i="193"/>
  <c r="D60" i="193"/>
  <c r="C60" i="193"/>
  <c r="J59" i="193"/>
  <c r="I59" i="193"/>
  <c r="H59" i="193"/>
  <c r="G59" i="193"/>
  <c r="F59" i="193"/>
  <c r="E59" i="193"/>
  <c r="D59" i="193"/>
  <c r="C59" i="193"/>
  <c r="J58" i="193"/>
  <c r="I58" i="193"/>
  <c r="H58" i="193"/>
  <c r="G58" i="193"/>
  <c r="F58" i="193"/>
  <c r="E58" i="193"/>
  <c r="D58" i="193"/>
  <c r="C58" i="193"/>
  <c r="I57" i="193"/>
  <c r="H57" i="193"/>
  <c r="G57" i="193"/>
  <c r="F57" i="193"/>
  <c r="E57" i="193"/>
  <c r="D57" i="193"/>
  <c r="C57" i="193"/>
  <c r="J56" i="193"/>
  <c r="I56" i="193"/>
  <c r="H56" i="193"/>
  <c r="G56" i="193"/>
  <c r="F56" i="193"/>
  <c r="E56" i="193"/>
  <c r="D56" i="193"/>
  <c r="J55" i="193"/>
  <c r="I55" i="193"/>
  <c r="H55" i="193"/>
  <c r="G55" i="193"/>
  <c r="F55" i="193"/>
  <c r="E55" i="193"/>
  <c r="D55" i="193"/>
  <c r="C55" i="193"/>
  <c r="J54" i="193"/>
  <c r="I54" i="193"/>
  <c r="H54" i="193"/>
  <c r="G54" i="193"/>
  <c r="F54" i="193"/>
  <c r="E54" i="193"/>
  <c r="D54" i="193"/>
  <c r="C54" i="193"/>
  <c r="J52" i="193"/>
  <c r="I52" i="193"/>
  <c r="H52" i="193"/>
  <c r="G52" i="193"/>
  <c r="F52" i="193"/>
  <c r="E52" i="193"/>
  <c r="D52" i="193"/>
  <c r="C52" i="193"/>
  <c r="J50" i="193"/>
  <c r="J49" i="193"/>
  <c r="I49" i="193"/>
  <c r="H49" i="193"/>
  <c r="G49" i="193"/>
  <c r="F49" i="193"/>
  <c r="E49" i="193"/>
  <c r="D49" i="193"/>
  <c r="C49" i="193"/>
  <c r="H44" i="193"/>
  <c r="G44" i="193"/>
  <c r="F44" i="193"/>
  <c r="E44" i="193"/>
  <c r="D44" i="193"/>
  <c r="C44" i="193"/>
  <c r="H43" i="193"/>
  <c r="G43" i="193"/>
  <c r="F43" i="193"/>
  <c r="E43" i="193"/>
  <c r="D43" i="193"/>
  <c r="C43" i="193"/>
  <c r="H41" i="193"/>
  <c r="G41" i="193"/>
  <c r="F41" i="193"/>
  <c r="E41" i="193"/>
  <c r="D41" i="193"/>
  <c r="C41" i="193"/>
  <c r="H39" i="193"/>
  <c r="G39" i="193"/>
  <c r="F39" i="193"/>
  <c r="E39" i="193"/>
  <c r="D39" i="193"/>
  <c r="C39" i="193"/>
  <c r="H37" i="193"/>
  <c r="G37" i="193"/>
  <c r="F37" i="193"/>
  <c r="E37" i="193"/>
  <c r="D37" i="193"/>
  <c r="C37" i="193"/>
  <c r="H36" i="193"/>
  <c r="G36" i="193"/>
  <c r="F36" i="193"/>
  <c r="E36" i="193"/>
  <c r="D36" i="193"/>
  <c r="C36" i="193"/>
  <c r="H35" i="193"/>
  <c r="G35" i="193"/>
  <c r="F35" i="193"/>
  <c r="E35" i="193"/>
  <c r="D35" i="193"/>
  <c r="C35" i="193"/>
  <c r="H31" i="193"/>
  <c r="H30" i="193"/>
  <c r="G30" i="193"/>
  <c r="G29" i="193" s="1"/>
  <c r="G28" i="193" s="1"/>
  <c r="F30" i="193"/>
  <c r="F29" i="193" s="1"/>
  <c r="F28" i="193" s="1"/>
  <c r="E30" i="193"/>
  <c r="E29" i="193" s="1"/>
  <c r="E28" i="193" s="1"/>
  <c r="D30" i="193"/>
  <c r="D29" i="193" s="1"/>
  <c r="C30" i="193"/>
  <c r="C29" i="193" s="1"/>
  <c r="C20" i="193"/>
  <c r="H18" i="193"/>
  <c r="G18" i="193"/>
  <c r="F18" i="193"/>
  <c r="E18" i="193"/>
  <c r="D18" i="193"/>
  <c r="C18" i="193"/>
  <c r="H11" i="193"/>
  <c r="G11" i="193"/>
  <c r="F11" i="193"/>
  <c r="E11" i="193"/>
  <c r="D11" i="193"/>
  <c r="C11" i="193"/>
  <c r="H9" i="193"/>
  <c r="H8" i="193" s="1"/>
  <c r="G9" i="193"/>
  <c r="G8" i="193" s="1"/>
  <c r="F9" i="193"/>
  <c r="E9" i="193"/>
  <c r="D9" i="193"/>
  <c r="C9" i="193"/>
  <c r="E8" i="193" l="1"/>
  <c r="F8" i="193"/>
  <c r="H29" i="193"/>
  <c r="H28" i="193" s="1"/>
  <c r="C61" i="193"/>
  <c r="J34" i="193"/>
  <c r="J33" i="193" s="1"/>
  <c r="E87" i="193"/>
  <c r="E86" i="193" s="1"/>
  <c r="H53" i="193"/>
  <c r="H48" i="193" s="1"/>
  <c r="J53" i="193"/>
  <c r="J48" i="193" s="1"/>
  <c r="E61" i="193"/>
  <c r="I61" i="193"/>
  <c r="D53" i="193"/>
  <c r="D48" i="193" s="1"/>
  <c r="I87" i="193"/>
  <c r="I86" i="193" s="1"/>
  <c r="F53" i="193"/>
  <c r="F48" i="193" s="1"/>
  <c r="F87" i="193"/>
  <c r="F86" i="193" s="1"/>
  <c r="I8" i="193"/>
  <c r="I40" i="193"/>
  <c r="E53" i="193"/>
  <c r="E48" i="193" s="1"/>
  <c r="I53" i="193"/>
  <c r="I48" i="193" s="1"/>
  <c r="D61" i="193"/>
  <c r="H61" i="193"/>
  <c r="J87" i="193"/>
  <c r="J86" i="193" s="1"/>
  <c r="J40" i="193"/>
  <c r="I34" i="193"/>
  <c r="I33" i="193" s="1"/>
  <c r="C53" i="193"/>
  <c r="C48" i="193" s="1"/>
  <c r="G53" i="193"/>
  <c r="G48" i="193" s="1"/>
  <c r="F61" i="193"/>
  <c r="J61" i="193"/>
  <c r="G61" i="193"/>
  <c r="H87" i="193"/>
  <c r="H86" i="193" s="1"/>
  <c r="G86" i="193"/>
  <c r="C86" i="193"/>
  <c r="D86" i="193"/>
  <c r="K46" i="193" l="1"/>
  <c r="K47" i="193" s="1"/>
  <c r="J46" i="193"/>
  <c r="J47" i="193" s="1"/>
  <c r="N93" i="193" l="1"/>
  <c r="N94" i="193" l="1"/>
  <c r="Q93" i="193" l="1"/>
  <c r="Q94" i="193" s="1"/>
  <c r="H40" i="193" l="1"/>
  <c r="G40" i="193"/>
  <c r="F40" i="193"/>
  <c r="D40" i="193"/>
  <c r="C40" i="193"/>
  <c r="E40" i="193"/>
  <c r="H34" i="193"/>
  <c r="H33" i="193" s="1"/>
  <c r="G34" i="193"/>
  <c r="G33" i="193" s="1"/>
  <c r="F34" i="193"/>
  <c r="F33" i="193" s="1"/>
  <c r="E34" i="193"/>
  <c r="E33" i="193" s="1"/>
  <c r="D34" i="193"/>
  <c r="D33" i="193" s="1"/>
  <c r="C34" i="193"/>
  <c r="C33" i="193" s="1"/>
  <c r="D28" i="193"/>
  <c r="L6" i="193"/>
  <c r="D8" i="193"/>
  <c r="C8" i="193"/>
  <c r="C28" i="193"/>
  <c r="O93" i="193" l="1"/>
  <c r="O94" i="193" s="1"/>
  <c r="L7" i="193"/>
  <c r="L93" i="193"/>
  <c r="L94" i="193" s="1"/>
  <c r="E6" i="193"/>
  <c r="E7" i="193" s="1"/>
  <c r="K6" i="193"/>
  <c r="K7" i="193" s="1"/>
  <c r="D6" i="193"/>
  <c r="D7" i="193" s="1"/>
  <c r="C6" i="193"/>
  <c r="C7" i="193" s="1"/>
  <c r="F6" i="193"/>
  <c r="F7" i="193" s="1"/>
  <c r="J6" i="193"/>
  <c r="J7" i="193" s="1"/>
  <c r="G46" i="193"/>
  <c r="G47" i="193" s="1"/>
  <c r="E46" i="193"/>
  <c r="E47" i="193" s="1"/>
  <c r="H6" i="193"/>
  <c r="H7" i="193" s="1"/>
  <c r="I6" i="193"/>
  <c r="I7" i="193" s="1"/>
  <c r="H46" i="193"/>
  <c r="C46" i="193"/>
  <c r="C47" i="193" s="1"/>
  <c r="G6" i="193"/>
  <c r="G7" i="193" s="1"/>
  <c r="I46" i="193"/>
  <c r="I47" i="193" s="1"/>
  <c r="D46" i="193"/>
  <c r="F46" i="193"/>
  <c r="K93" i="193" l="1"/>
  <c r="K94" i="193" s="1"/>
  <c r="H93" i="193"/>
  <c r="H94" i="193" s="1"/>
  <c r="D93" i="193"/>
  <c r="D94" i="193" s="1"/>
  <c r="G93" i="193"/>
  <c r="G94" i="193" s="1"/>
  <c r="E93" i="193"/>
  <c r="E94" i="193" s="1"/>
  <c r="C93" i="193"/>
  <c r="C94" i="193" s="1"/>
  <c r="M94" i="193"/>
  <c r="I93" i="193"/>
  <c r="I94" i="193" s="1"/>
  <c r="H47" i="193"/>
  <c r="D47" i="193"/>
  <c r="J93" i="193"/>
  <c r="J94" i="193" s="1"/>
  <c r="F47" i="193"/>
  <c r="F93" i="193"/>
  <c r="F94" i="193" s="1"/>
  <c r="P93" i="193" l="1"/>
  <c r="P94" i="19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9" authorId="0" shapeId="0" xr:uid="{2AE1BA58-E030-42BE-8A76-52C1393BADC3}">
      <text>
        <r>
          <rPr>
            <b/>
            <sz val="9"/>
            <color indexed="81"/>
            <rFont val="Segoe UI"/>
            <family val="2"/>
            <charset val="238"/>
          </rPr>
          <t>Autor:</t>
        </r>
        <r>
          <rPr>
            <sz val="9"/>
            <color indexed="81"/>
            <rFont val="Segoe UI"/>
            <family val="2"/>
            <charset val="238"/>
          </rPr>
          <t xml:space="preserve">
asi začiatkom októbra bude nová prognóza</t>
        </r>
      </text>
    </comment>
    <comment ref="L11" authorId="0" shapeId="0" xr:uid="{B42EC550-E5B0-403C-B75B-DE57C69D8D2F}">
      <text>
        <r>
          <rPr>
            <b/>
            <sz val="9"/>
            <color indexed="81"/>
            <rFont val="Segoe UI"/>
            <family val="2"/>
            <charset val="238"/>
          </rPr>
          <t>Autor:</t>
        </r>
        <r>
          <rPr>
            <sz val="9"/>
            <color indexed="81"/>
            <rFont val="Segoe UI"/>
            <family val="2"/>
            <charset val="238"/>
          </rPr>
          <t xml:space="preserve">
publikácia novej prognózy 14.11.2024</t>
        </r>
      </text>
    </comment>
  </commentList>
</comments>
</file>

<file path=xl/sharedStrings.xml><?xml version="1.0" encoding="utf-8"?>
<sst xmlns="http://schemas.openxmlformats.org/spreadsheetml/2006/main" count="1705" uniqueCount="1089">
  <si>
    <t>Zdroj: MF SR</t>
  </si>
  <si>
    <t>v % HDP</t>
  </si>
  <si>
    <t>A. Hrubý dlh verejnej správy (k 1.1.)</t>
  </si>
  <si>
    <t>B. Celková medziročná zmena hrubého dlhu VS</t>
  </si>
  <si>
    <t>C. Hrubý dlh verejnej správy (k 31.12.)</t>
  </si>
  <si>
    <t>Celkové výdavky</t>
  </si>
  <si>
    <t>Príjmy spolu</t>
  </si>
  <si>
    <t>D.2</t>
  </si>
  <si>
    <t>Bežné dane z dôchodkov, majetku</t>
  </si>
  <si>
    <t>D.5</t>
  </si>
  <si>
    <t>Príspevky na sociálne zabezpečenie</t>
  </si>
  <si>
    <t>Výdavky spolu</t>
  </si>
  <si>
    <t>Kompenzácie zamestnancov</t>
  </si>
  <si>
    <t>Medzispotreba</t>
  </si>
  <si>
    <t>Subvencie</t>
  </si>
  <si>
    <t>Úrokové náklady</t>
  </si>
  <si>
    <t>Celkové sociálne transfery</t>
  </si>
  <si>
    <t>Kapitálové transfery</t>
  </si>
  <si>
    <t>ESA2010</t>
  </si>
  <si>
    <t>HDP</t>
  </si>
  <si>
    <t>z toho: Dopravné podniky obcí</t>
  </si>
  <si>
    <t xml:space="preserve"> - ostatné</t>
  </si>
  <si>
    <t>Príspevky k zmene hrubého dlhu verejnej správy:</t>
  </si>
  <si>
    <t>Primárne saldo</t>
  </si>
  <si>
    <t>Úroky</t>
  </si>
  <si>
    <t>Rast reálneho HDP</t>
  </si>
  <si>
    <t>Deflátor HDP</t>
  </si>
  <si>
    <t>Granty a transfery</t>
  </si>
  <si>
    <t>z toho: ŽSR + ŽSSK</t>
  </si>
  <si>
    <t>Spolu</t>
  </si>
  <si>
    <t xml:space="preserve"> - Mzdy a platy</t>
  </si>
  <si>
    <t xml:space="preserve"> - Sociálne príspevky zamestnávateľov</t>
  </si>
  <si>
    <t>Ostatné bežné transfery</t>
  </si>
  <si>
    <t>Dane</t>
  </si>
  <si>
    <t>Saldo VS (ESA 2010, v mil. eur)</t>
  </si>
  <si>
    <t>Zdroj ESA 2010</t>
  </si>
  <si>
    <t>Skutočnosť</t>
  </si>
  <si>
    <t xml:space="preserve">
Skutočnosť</t>
  </si>
  <si>
    <t>OS</t>
  </si>
  <si>
    <t>T0200</t>
  </si>
  <si>
    <t>Daňové príjmy</t>
  </si>
  <si>
    <t>suma</t>
  </si>
  <si>
    <t>suma (D2+D5+D91)</t>
  </si>
  <si>
    <t>Dane z produkcie a dovozu</t>
  </si>
  <si>
    <t>T0200 (D2)</t>
  </si>
  <si>
    <t xml:space="preserve"> - Daň z pridanej hodnoty (spolu so zdrojmi EÚ)</t>
  </si>
  <si>
    <t>T0900 (D211)</t>
  </si>
  <si>
    <t xml:space="preserve"> - Spotrebné dane</t>
  </si>
  <si>
    <t>T0900 (D2122C+D214A)</t>
  </si>
  <si>
    <t xml:space="preserve"> - Dane z majetku a iné</t>
  </si>
  <si>
    <t>T0200 (D5)</t>
  </si>
  <si>
    <t xml:space="preserve"> - Daň z príjmov fyzických osôb</t>
  </si>
  <si>
    <t>T0900 (D51A)</t>
  </si>
  <si>
    <t xml:space="preserve"> - zo závislej činnosti</t>
  </si>
  <si>
    <t>RK 111001</t>
  </si>
  <si>
    <t xml:space="preserve"> - z podnikania a inej samostatnej zár. činnosti</t>
  </si>
  <si>
    <t>RK111002</t>
  </si>
  <si>
    <t xml:space="preserve"> - Daň z príjmov právnických osôb</t>
  </si>
  <si>
    <t>T0900 (D51B)</t>
  </si>
  <si>
    <t xml:space="preserve"> - Daň z príjmov vyberaná zrážkou - rozp. klasif.</t>
  </si>
  <si>
    <t>T0900 (D51E)</t>
  </si>
  <si>
    <t>T0900 (D59A)</t>
  </si>
  <si>
    <t>Dane z kapitálu</t>
  </si>
  <si>
    <t>T0200 (D91)</t>
  </si>
  <si>
    <t>suma, T0200 (D61)</t>
  </si>
  <si>
    <t>Skutočné príspevky na sociálne zabezpečenie</t>
  </si>
  <si>
    <t>suma, T0900 (D611+D613)</t>
  </si>
  <si>
    <t xml:space="preserve"> - Príspevky zamestnávateľov</t>
  </si>
  <si>
    <t>T0900 (D6111+D6112 = D611)</t>
  </si>
  <si>
    <t>T0900 (D613CE)</t>
  </si>
  <si>
    <t>Imputované príspevky na sociálne zabezpečenie</t>
  </si>
  <si>
    <t>T0900 (D612)</t>
  </si>
  <si>
    <t>Nedaňové príjmy</t>
  </si>
  <si>
    <t>Tržby</t>
  </si>
  <si>
    <t xml:space="preserve"> - Trhová produkcia + Produkcia pre vlastné konečné použitie</t>
  </si>
  <si>
    <t>T0200 (P1M)</t>
  </si>
  <si>
    <t xml:space="preserve"> - Platby za ostatnú netrhovú produkciu</t>
  </si>
  <si>
    <t>T0200 (P131)</t>
  </si>
  <si>
    <t>Dôchodky z majetku, z ktorých</t>
  </si>
  <si>
    <t>T0200 (D4)</t>
  </si>
  <si>
    <t xml:space="preserve"> - Dividendy</t>
  </si>
  <si>
    <t>D.421 z dotazníka tab 10.1 riadok 49</t>
  </si>
  <si>
    <t xml:space="preserve"> - Úroky</t>
  </si>
  <si>
    <t>T0200 (D41)</t>
  </si>
  <si>
    <t>z toho: z EÚ</t>
  </si>
  <si>
    <t>RK 341 EU, ktoré ostávajú v schodku, FIN 1-12 za ŠR</t>
  </si>
  <si>
    <t>Ostatné subvencie ma produkciu</t>
  </si>
  <si>
    <t>T0200 (D39R)</t>
  </si>
  <si>
    <t>T0200 (D7)</t>
  </si>
  <si>
    <t>T0200 (D9-D91)</t>
  </si>
  <si>
    <t>Bežné výdavky</t>
  </si>
  <si>
    <t>T0200 (D1)</t>
  </si>
  <si>
    <t>od Antolíka ŠÚ SR (D11)</t>
  </si>
  <si>
    <t>od Antolíka ŠÚ SR (D12)</t>
  </si>
  <si>
    <t>T0200 (P2)</t>
  </si>
  <si>
    <t>suma (D29+D5)</t>
  </si>
  <si>
    <t>Iné dane z produkcie</t>
  </si>
  <si>
    <t>T0200 (D29)</t>
  </si>
  <si>
    <t>Bežné dane z majetku, atď.</t>
  </si>
  <si>
    <t>T0200 (D3P)</t>
  </si>
  <si>
    <t xml:space="preserve"> - Dotácie do poľnohospodárstva</t>
  </si>
  <si>
    <t>RK 644 COFOG 042 bez S3 EU OUT, zdroj ŠR a spolufinancovanie (len EU zdrojov)</t>
  </si>
  <si>
    <t xml:space="preserve"> - Dotácie do dopravy</t>
  </si>
  <si>
    <t>RK 644 z toho COFOG 045 bez S3 EU OUT</t>
  </si>
  <si>
    <t xml:space="preserve"> - železničná doprava</t>
  </si>
  <si>
    <t>RK 644 z toho COFOG 0453 bez S3 EU OUT</t>
  </si>
  <si>
    <t xml:space="preserve"> - cestná doprava</t>
  </si>
  <si>
    <t>RK 644 z toho COFOG 0451 bez S3 EU OUT</t>
  </si>
  <si>
    <t xml:space="preserve"> - Ostatné</t>
  </si>
  <si>
    <t>reziduál = Subsidies minus Agriultural Subsidies minus Transport Subsidies</t>
  </si>
  <si>
    <t>Dôchodky z majetku</t>
  </si>
  <si>
    <t>Ostatné dôchodky z majetku</t>
  </si>
  <si>
    <t>T0200 (D4N)</t>
  </si>
  <si>
    <t>T0200 (D6M)</t>
  </si>
  <si>
    <t xml:space="preserve"> - Sociálne dávky okrem naturálnych soc. transferov</t>
  </si>
  <si>
    <t>T0200 (D62)</t>
  </si>
  <si>
    <t xml:space="preserve"> - Aktívne opatrenia trhu práce</t>
  </si>
  <si>
    <t>RK 642032 zo ŠR, bez EU peňazí</t>
  </si>
  <si>
    <t xml:space="preserve"> - Nemocenské dávky</t>
  </si>
  <si>
    <t>RK 642015 z SP</t>
  </si>
  <si>
    <t xml:space="preserve"> - Dôchodkové dávky zo starobného a invalidného poistenia</t>
  </si>
  <si>
    <t>RK 642016+RK 642020 z SP + to isté z MRU</t>
  </si>
  <si>
    <t xml:space="preserve"> - Dávky v nezamestnanosti</t>
  </si>
  <si>
    <t>RK 642033 z SP</t>
  </si>
  <si>
    <t xml:space="preserve"> - Štátne sociálne dávky a podpora</t>
  </si>
  <si>
    <t>RK 642018 až RK 642027 + RK642037 až RK 642042 zo ŠR</t>
  </si>
  <si>
    <t xml:space="preserve"> - na prídavok na dieťa</t>
  </si>
  <si>
    <t>RK 642019 zo ŠR</t>
  </si>
  <si>
    <t xml:space="preserve"> - na príspevok pri narodení dieťaťa a prísp. rodičom</t>
  </si>
  <si>
    <t>RK 642022 zo ŠR</t>
  </si>
  <si>
    <t xml:space="preserve"> - na rodičovský príspevok</t>
  </si>
  <si>
    <t>RK 642041 zo ŠR</t>
  </si>
  <si>
    <t xml:space="preserve"> - na dávku v hmotnej núdzi a príspevky k dávke</t>
  </si>
  <si>
    <t>RK 642026 zo ŠR</t>
  </si>
  <si>
    <t xml:space="preserve"> - na peňažné príspevky na kompenzáciu</t>
  </si>
  <si>
    <t>RK 642027 zo ŠR</t>
  </si>
  <si>
    <t>RK 642018 až RK 642027 + RK642037 až RK 642042 zo ŠR minus (RK 642019+22+41+26+27)</t>
  </si>
  <si>
    <t xml:space="preserve"> - Platené poistné za skupiny osôb ustanovené zákonom</t>
  </si>
  <si>
    <t>RK 642031</t>
  </si>
  <si>
    <t xml:space="preserve"> - sociálne poistenie</t>
  </si>
  <si>
    <t>RK 642031 z kapitoly Ministerstva práce</t>
  </si>
  <si>
    <t xml:space="preserve"> - zdravotné poistenie</t>
  </si>
  <si>
    <t>RK 642031 z kapitoly Ministerstva zdravotníctva</t>
  </si>
  <si>
    <t xml:space="preserve"> - Naturálne sociálne transfery (zdravotnícke zariadenia)</t>
  </si>
  <si>
    <t>T0200 (D632)</t>
  </si>
  <si>
    <t>z toho: Odvody do rozpočtu EÚ</t>
  </si>
  <si>
    <t xml:space="preserve">RK 649005 </t>
  </si>
  <si>
    <t>z toho: 2% z daní na verejnoprospešný účel</t>
  </si>
  <si>
    <t>RK 111004+RK 112001</t>
  </si>
  <si>
    <t>Kapitálové výdavky</t>
  </si>
  <si>
    <t>Kapitálové investície</t>
  </si>
  <si>
    <t>suma, T0200(P5L)</t>
  </si>
  <si>
    <t xml:space="preserve"> - Tvorba hrubého fixného kapitálu</t>
  </si>
  <si>
    <t>T0200 (P51G)</t>
  </si>
  <si>
    <t xml:space="preserve"> - Zmena stavu zásob a nadobudnutie mínus úbytok cenností</t>
  </si>
  <si>
    <t>T0200 (P5M)</t>
  </si>
  <si>
    <t xml:space="preserve"> - Nadobudnutie mínus úbytok nefinančných neprodukovaných aktív</t>
  </si>
  <si>
    <t>T0200 (NP)</t>
  </si>
  <si>
    <t>T0200 (D9)</t>
  </si>
  <si>
    <t>Čisté pôžičky poskytnuté / prijaté</t>
  </si>
  <si>
    <t>- hotovostný deficit ŠR</t>
  </si>
  <si>
    <t>- prostriedky ŠP využité na financovanie hotovostného deficitu ŠR</t>
  </si>
  <si>
    <t>- zadlženie ostatných subjektov VS</t>
  </si>
  <si>
    <t>z toho: Samospráva (obce a VÚC)</t>
  </si>
  <si>
    <t>- emisný diskont</t>
  </si>
  <si>
    <t>- diskont pri splatnosti</t>
  </si>
  <si>
    <t>Ostatné</t>
  </si>
  <si>
    <t>Popis</t>
  </si>
  <si>
    <t>D.29A</t>
  </si>
  <si>
    <t>Hrubý dlh VS</t>
  </si>
  <si>
    <t>Total</t>
  </si>
  <si>
    <t>Primary balance</t>
  </si>
  <si>
    <t>Real GDP growth</t>
  </si>
  <si>
    <t>Net debt</t>
  </si>
  <si>
    <t>Total revenue</t>
  </si>
  <si>
    <t>Intermediate consumption</t>
  </si>
  <si>
    <t>A. General government gross debt (as of 1 Jan)</t>
  </si>
  <si>
    <t>B. Total y/y change in the GG gross debt</t>
  </si>
  <si>
    <t>- Cash-based state budget deficit</t>
  </si>
  <si>
    <t>- State Treasury funds used for the financing of government operations</t>
  </si>
  <si>
    <t>- Issue discount</t>
  </si>
  <si>
    <t>- Discount at maturity</t>
  </si>
  <si>
    <t>- Balance of loans to GG entities</t>
  </si>
  <si>
    <t>thereof: ŽSR + ŽSSK</t>
  </si>
  <si>
    <t>thereof: NDS</t>
  </si>
  <si>
    <t>thereof: Municipal public transportation companies</t>
  </si>
  <si>
    <t>C. General government gross debt (as of 31 Dec)</t>
  </si>
  <si>
    <t>in % of GDP</t>
  </si>
  <si>
    <t>D. Change of general government gross debt against Stability Programme (p.p.)</t>
  </si>
  <si>
    <t>thereof: GDP forecast revision</t>
  </si>
  <si>
    <t>thereof: Debt forecast revision</t>
  </si>
  <si>
    <t>Daň z nehnuteľnosti a iné</t>
  </si>
  <si>
    <t>Osobitný odvod vybraných fin. inštitúcii</t>
  </si>
  <si>
    <t>EKRK 192</t>
  </si>
  <si>
    <t>Odvod z hazardných hier</t>
  </si>
  <si>
    <t>EKRK 292008 T0900 D.214F</t>
  </si>
  <si>
    <t>Daň z motorových vozidiel</t>
  </si>
  <si>
    <t>EKRK 134002 ŠR T9 D.29B</t>
  </si>
  <si>
    <t>Emisné kvóty - príjem z predaja</t>
  </si>
  <si>
    <t>EKRK 229006 NTL</t>
  </si>
  <si>
    <t>reziduál D.2</t>
  </si>
  <si>
    <t>Osobitný odvod z podnikania v regul. odvetiach</t>
  </si>
  <si>
    <t>EKRK 194</t>
  </si>
  <si>
    <t>reziduál D.5</t>
  </si>
  <si>
    <t xml:space="preserve"> - Príspevky od domácností</t>
  </si>
  <si>
    <t>Transfery NO, cirkvi, súkr. školám a pod.</t>
  </si>
  <si>
    <t>ŠR EKRK 642001+2+4+5+6+7+9+10, bez EÚ</t>
  </si>
  <si>
    <t>-</t>
  </si>
  <si>
    <t>Nešpecifikované opatrenia</t>
  </si>
  <si>
    <t>Source: MoF SR</t>
  </si>
  <si>
    <t>p.m. ESM contribution</t>
  </si>
  <si>
    <t>Materiál</t>
  </si>
  <si>
    <t>Document</t>
  </si>
  <si>
    <t>ESA2010 bilancia VS</t>
  </si>
  <si>
    <t>ESA2010 Table</t>
  </si>
  <si>
    <t xml:space="preserve">Spolu  </t>
  </si>
  <si>
    <t>Čistý dlh VS</t>
  </si>
  <si>
    <t>General government gross debt</t>
  </si>
  <si>
    <t xml:space="preserve">Source: MoF SR       </t>
  </si>
  <si>
    <t>Liquid financial assests</t>
  </si>
  <si>
    <t>Zmena hrubého dlhu VS</t>
  </si>
  <si>
    <t>Y-o-y change of gross debt</t>
  </si>
  <si>
    <t>GDP deflator</t>
  </si>
  <si>
    <t>OS – očakávaná skutočnosť ku koncu roka; N – návrh rozpočtu verejnej správy</t>
  </si>
  <si>
    <t>OS – expected values by the end of year; N – draf of general government budget</t>
  </si>
  <si>
    <t>2025 NRVS</t>
  </si>
  <si>
    <t>D.6</t>
  </si>
  <si>
    <r>
      <t>Saldo hospodárenia verejnej správy</t>
    </r>
    <r>
      <rPr>
        <sz val="9"/>
        <color theme="4"/>
        <rFont val="Arial Narrow"/>
        <family val="2"/>
        <charset val="238"/>
      </rPr>
      <t xml:space="preserve"> (ESA2010, % HDP) </t>
    </r>
  </si>
  <si>
    <t>Spomalenie rastu dôchodkového veku</t>
  </si>
  <si>
    <t>Jednorazové vyplatenie "14. dôchodku"</t>
  </si>
  <si>
    <t>Early retirement for persons who raised children (born in 1957-1965)</t>
  </si>
  <si>
    <t>COVID expenditure</t>
  </si>
  <si>
    <t>Introduction of permanent kurzarbeit scheme</t>
  </si>
  <si>
    <t>Increased transfer from HIC to social service facilities</t>
  </si>
  <si>
    <t>Expenditure caused by the war in Ukraine</t>
  </si>
  <si>
    <t>Increased child allowance</t>
  </si>
  <si>
    <t>14th pension (one-time transfer)</t>
  </si>
  <si>
    <t>Dočasné príjmy z nariadenia EÚ ohľadom nadmerných ziskov</t>
  </si>
  <si>
    <t>Prvotná implementácia účtovného štandardu IFRS 17 na poisťovne</t>
  </si>
  <si>
    <t>Zavedenie sezónnej odvodovo-odpočítateľnej položky na sociálne odvody</t>
  </si>
  <si>
    <t>Introduction of a seasonal contribution-deductible item for social contributions</t>
  </si>
  <si>
    <t>Nominálne saldo</t>
  </si>
  <si>
    <t>Nominal balance</t>
  </si>
  <si>
    <t>Nominal balance at budgeting</t>
  </si>
  <si>
    <t>Celkové príjmy</t>
  </si>
  <si>
    <t>Daňovo odvodové príjmy prognózované Výborom</t>
  </si>
  <si>
    <t>Mzdy a platy</t>
  </si>
  <si>
    <t>Sociálne transfery mimo zdravotníctva</t>
  </si>
  <si>
    <t>Výdavky na zdravotníctvo</t>
  </si>
  <si>
    <t>Tax revenue forecasted by the Committee</t>
  </si>
  <si>
    <t>Total expenses</t>
  </si>
  <si>
    <t>Wages and salaries</t>
  </si>
  <si>
    <t>Interest expenses</t>
  </si>
  <si>
    <t>Social transfers outside the health sector</t>
  </si>
  <si>
    <t>Health expenditure</t>
  </si>
  <si>
    <t>Other current transfers</t>
  </si>
  <si>
    <t>Likvidné finančné aktíva (LFA)</t>
  </si>
  <si>
    <t xml:space="preserve">Zdroj: MF SR       </t>
  </si>
  <si>
    <t>General governance balance (ESA2010, % of GDP)</t>
  </si>
  <si>
    <t>Zrušenie krátenia príspevku na opatrovanie poberateľom dôchodkov</t>
  </si>
  <si>
    <t>2022 S</t>
  </si>
  <si>
    <t>2026 NRVS</t>
  </si>
  <si>
    <t>Opatrenie</t>
  </si>
  <si>
    <t>Measurement</t>
  </si>
  <si>
    <t xml:space="preserve">Zastropovanie cien elektriny a plynu pre neregulované podniky </t>
  </si>
  <si>
    <t xml:space="preserve">Zastropovanie cien elektriny a plynu pre regulované podniky </t>
  </si>
  <si>
    <t>Zastropovanie cien distribučných a systémových poplatkov elektriny pre podniky</t>
  </si>
  <si>
    <t>Zastropovanie cien tepla pre domácnosti</t>
  </si>
  <si>
    <t>Podpora vybraných zraniteľných odberateľov (plyn + elektrina)</t>
  </si>
  <si>
    <t>Preplatenie nákladov schém z nevyužitých EÚ fondov</t>
  </si>
  <si>
    <t>Cenové stropy pre výrobcov elektrickej energie</t>
  </si>
  <si>
    <t xml:space="preserve">Dočasné príjmy z osobitného odvodu pre Vodohospodársku výstavbu </t>
  </si>
  <si>
    <t>Implementation of price ceilings on electricity and gas prices for unregulated businesses</t>
  </si>
  <si>
    <t>Implementation of price ceilings on electricity and gas prices for regulated businesses</t>
  </si>
  <si>
    <t>Implementation of price ceilings on distribution and system charges for electricity for businesses</t>
  </si>
  <si>
    <t>Implementation of price ceilings on gas prices for households</t>
  </si>
  <si>
    <t>Implementation of price ceilings on heat prices for households</t>
  </si>
  <si>
    <t>Implementation of price ceilings on electricity prices for households (distribution and system fees)</t>
  </si>
  <si>
    <t>Support of selected vulnerable customers (gas + electricity)</t>
  </si>
  <si>
    <t>Reimbursement of scheme costs from unused EU funds</t>
  </si>
  <si>
    <t>Implementation of price ceilings for electricity producers</t>
  </si>
  <si>
    <t xml:space="preserve">Temporary income from a special levy for the state enterprise Water-management Construction </t>
  </si>
  <si>
    <t xml:space="preserve">Zdroj: MF SR a MH SR
</t>
  </si>
  <si>
    <t xml:space="preserve">Source: MoF SR and MoE SR
</t>
  </si>
  <si>
    <t>Temporary income from the EU regulation regarding excessive profits</t>
  </si>
  <si>
    <t>Reforma II. piliera (automatický vstup, sporenie aj počas dôchodku, zníženie poplatkov)</t>
  </si>
  <si>
    <t>Zrušenie koncesionárskych poplatkov RTVS</t>
  </si>
  <si>
    <t>Zmena v registračnom poplatku motorového vozidla</t>
  </si>
  <si>
    <t>Skorší odchod do dôchodku ženám, ktoré vychovali deti (ročníky 57 až 65)</t>
  </si>
  <si>
    <t>Časový nesúlad dodávok (akrualizácia) vojenskej techniky</t>
  </si>
  <si>
    <t>Kolektívne vyjednávanie zdravotníckych pracovníkov</t>
  </si>
  <si>
    <t>Dofinancovanie ambulantného sektora</t>
  </si>
  <si>
    <t>Increase in defence expenditure to 2% from 2023</t>
  </si>
  <si>
    <t>Time mismatch of deliveries (accrual) of military equipment</t>
  </si>
  <si>
    <t>Increase in reimbursement of long-term care by the Social Insurance Institution (ZP)</t>
  </si>
  <si>
    <t>Total compensation for rising energy prices</t>
  </si>
  <si>
    <t>Stabilisation allowance for social services workers</t>
  </si>
  <si>
    <t>Change in assessment of disability pensions</t>
  </si>
  <si>
    <t>Abolition of the reduction of the pensioner's care allowance</t>
  </si>
  <si>
    <t>Accelerated valorization of the parental allowance</t>
  </si>
  <si>
    <t>Amendment to the Education Act (right to admission to kindergarten and right to special support)</t>
  </si>
  <si>
    <t>Performance contracts for universities and colleges</t>
  </si>
  <si>
    <t>Increase in spending on R&amp;D</t>
  </si>
  <si>
    <t>Zhrnutie</t>
  </si>
  <si>
    <t>Summary</t>
  </si>
  <si>
    <t>Pozn. 2: (+) zlepšuje bilanciu VS, (-) zhoršuje bilanciu VS</t>
  </si>
  <si>
    <t>Note 2: (+) improves the VS balance, (-) worsens the VS balance</t>
  </si>
  <si>
    <t>Saldo</t>
  </si>
  <si>
    <t>Balance</t>
  </si>
  <si>
    <t>Položka</t>
  </si>
  <si>
    <t>Item</t>
  </si>
  <si>
    <t>%</t>
  </si>
  <si>
    <t>D.61</t>
  </si>
  <si>
    <t>Zvýšenie poplatku za udržiavanie núdzových zásob ropy o 1 cent</t>
  </si>
  <si>
    <t>D.1</t>
  </si>
  <si>
    <t>Zrušenie podpory zníženia koncovej ceny elektriny pre podniky</t>
  </si>
  <si>
    <t>P.2</t>
  </si>
  <si>
    <t>Opatrenia na výdavkoch spolu</t>
  </si>
  <si>
    <t>Opatrenia na príjmoch spolu</t>
  </si>
  <si>
    <t>Summary of revenue measures</t>
  </si>
  <si>
    <t>Summary of expenditure measures</t>
  </si>
  <si>
    <t>P.11</t>
  </si>
  <si>
    <t xml:space="preserve">Reform of the second pension pillar </t>
  </si>
  <si>
    <t>Implementation of accounting standard IFRS 17 for insurance companies</t>
  </si>
  <si>
    <t>Zákaz skládkovania komunálneho odpadu bez predúpravy</t>
  </si>
  <si>
    <t>Modification of the motor vehicle registration fee</t>
  </si>
  <si>
    <t>Rozšírenie osobitného odvodu z podnikania v regulovaných odvetviach (banková daň)</t>
  </si>
  <si>
    <t>Compesatory tax on the enterpirse tax</t>
  </si>
  <si>
    <t xml:space="preserve">Mimoriadna valorizácia dôchodkov od júla 2023 </t>
  </si>
  <si>
    <t>Cancellation of support for reduction of the final price of electricity for businesses</t>
  </si>
  <si>
    <t>Increased spending on healthcare (unspecified)</t>
  </si>
  <si>
    <t>Graf 7</t>
  </si>
  <si>
    <t>Figure 7</t>
  </si>
  <si>
    <t>P.č</t>
  </si>
  <si>
    <t>Ukazovateľ</t>
  </si>
  <si>
    <t>Program stability</t>
  </si>
  <si>
    <t>Návrh rozpočtu</t>
  </si>
  <si>
    <t>m.j.</t>
  </si>
  <si>
    <t>mld. eur</t>
  </si>
  <si>
    <t>HDP, stále ceny</t>
  </si>
  <si>
    <t xml:space="preserve">   Konečná spotreba domácností a NISD</t>
  </si>
  <si>
    <t xml:space="preserve">   Konečná spotreba verejnej správy </t>
  </si>
  <si>
    <t xml:space="preserve">   Tvorba hrubého fixného kapitálu </t>
  </si>
  <si>
    <t xml:space="preserve">   Export tovarov a služieb </t>
  </si>
  <si>
    <t xml:space="preserve">   Import tovarov a služieb </t>
  </si>
  <si>
    <t>Produkčná medzera (podiel na potenciálnom produkte)</t>
  </si>
  <si>
    <t>Priemerná mesačná mzda za hospodárstvo (nominálny rast)</t>
  </si>
  <si>
    <t>Priemerný rast zamestnanosti, podľa VZPS</t>
  </si>
  <si>
    <t>Priemerný rast zamestnanosti, podľa ESA 2010</t>
  </si>
  <si>
    <t>Priemerná miera nezamestnanosti, podľa VZPS</t>
  </si>
  <si>
    <t>Priemerná evidovaná miera nezamestnanosti</t>
  </si>
  <si>
    <t>Harmonizovaný index spotrebiteľských cien (HICP)</t>
  </si>
  <si>
    <t>Bilancia bežného účtu (podiel na HDP)</t>
  </si>
  <si>
    <t>No.</t>
  </si>
  <si>
    <t>Indicator</t>
  </si>
  <si>
    <t>Stability programme</t>
  </si>
  <si>
    <t>Draft budgetary plan</t>
  </si>
  <si>
    <t>unit</t>
  </si>
  <si>
    <t>GDP, current prices</t>
  </si>
  <si>
    <t>bn. eur</t>
  </si>
  <si>
    <t>GDP, constant prices</t>
  </si>
  <si>
    <t>Final consumption of households and NPISH</t>
  </si>
  <si>
    <t>Final consumption of general government</t>
  </si>
  <si>
    <t>Gross fixed capital formation</t>
  </si>
  <si>
    <t>Export of goods and services</t>
  </si>
  <si>
    <t>Import of goods and services</t>
  </si>
  <si>
    <t>Output gap (share of potential output)</t>
  </si>
  <si>
    <t>Average monthly wage (nominal growth)</t>
  </si>
  <si>
    <t>Average employment growth (LFS)</t>
  </si>
  <si>
    <t>Average employment growth (ESA 2010)</t>
  </si>
  <si>
    <t>Average unemployment rate (LFS)</t>
  </si>
  <si>
    <t>Average unemployment rate (registered)</t>
  </si>
  <si>
    <t>Harmonized index of consumer prices (HICP)</t>
  </si>
  <si>
    <t>Current account balance (share of GDP)</t>
  </si>
  <si>
    <t>Source: MF SR</t>
  </si>
  <si>
    <t>ESA kód</t>
  </si>
  <si>
    <t>% HDP</t>
  </si>
  <si>
    <t>Cieľové saldá verejnej správy</t>
  </si>
  <si>
    <t>B.9</t>
  </si>
  <si>
    <t>Program stability (1)</t>
  </si>
  <si>
    <t>Návrh rozpočtového plánu (2)</t>
  </si>
  <si>
    <t>Rozdiel (2-1)</t>
  </si>
  <si>
    <t>ESA code</t>
  </si>
  <si>
    <t>2023 E</t>
  </si>
  <si>
    <t>% GDP</t>
  </si>
  <si>
    <t>Target balances of general government</t>
  </si>
  <si>
    <t>Stability Programme (1)</t>
  </si>
  <si>
    <t>Draft Budgetary Plan (2)</t>
  </si>
  <si>
    <t>Difference (2-1)</t>
  </si>
  <si>
    <t>Člen výboru</t>
  </si>
  <si>
    <t xml:space="preserve">Charakteristika prognózy </t>
  </si>
  <si>
    <t>realistická</t>
  </si>
  <si>
    <t>MFC member</t>
  </si>
  <si>
    <t>Assessment</t>
  </si>
  <si>
    <t>realistic</t>
  </si>
  <si>
    <t> v %, ak nie je uvedené inak</t>
  </si>
  <si>
    <t>Výbor</t>
  </si>
  <si>
    <t>MFSR</t>
  </si>
  <si>
    <t>Hrubý domáci produkt; reálny rast</t>
  </si>
  <si>
    <t>Hrubý domáci produkt v bežných cenách; mld. eur**</t>
  </si>
  <si>
    <t>Konečná spotreba domácností; reálny rast</t>
  </si>
  <si>
    <t>Konečná spotreba domácností; nominálny rast</t>
  </si>
  <si>
    <t>Priemerná mesačná mzda; reálny rast</t>
  </si>
  <si>
    <t>Priemerná mesačná mzda; nominálny rast</t>
  </si>
  <si>
    <t>Rast zamestnanosti (štat. výkazníctvo)</t>
  </si>
  <si>
    <t>Index spotrebiteľských cien; priemerný rast; CPI</t>
  </si>
  <si>
    <t>% unless otherwise stated</t>
  </si>
  <si>
    <t>MFC</t>
  </si>
  <si>
    <t>Mof SR</t>
  </si>
  <si>
    <t>GDP, real growth</t>
  </si>
  <si>
    <t>Final consumption of households, real growth</t>
  </si>
  <si>
    <t>Final consumption of households, nominal growth</t>
  </si>
  <si>
    <t>Average monthly wage, real growth</t>
  </si>
  <si>
    <t>Average monthly wage, nominal growth</t>
  </si>
  <si>
    <t>Employment growth</t>
  </si>
  <si>
    <t>CPI (average growth)</t>
  </si>
  <si>
    <t>Source: Macroeconomic forecast committee</t>
  </si>
  <si>
    <t>Vstupné dáta</t>
  </si>
  <si>
    <t>Input data</t>
  </si>
  <si>
    <t>spodná hranica</t>
  </si>
  <si>
    <t>lower bound</t>
  </si>
  <si>
    <t>25. percentil</t>
  </si>
  <si>
    <t>25th percentile</t>
  </si>
  <si>
    <t>75. percentil</t>
  </si>
  <si>
    <t>75th percentile</t>
  </si>
  <si>
    <t>horná hranica</t>
  </si>
  <si>
    <t>upper bound</t>
  </si>
  <si>
    <t>prognóza MF SR</t>
  </si>
  <si>
    <t>medián Výboru</t>
  </si>
  <si>
    <t>MFC median</t>
  </si>
  <si>
    <t>TFC member</t>
  </si>
  <si>
    <t>Increase in excise duty rates on tobacco products</t>
  </si>
  <si>
    <t>Gradual growth of the contribution to the second pension pillar, its temporary freeze and decrease to 4% from 2024</t>
  </si>
  <si>
    <t>Minimálne poistné zo zdravotných odvodov</t>
  </si>
  <si>
    <t>Zmena posudzovania invalidných dôchodkov</t>
  </si>
  <si>
    <t>2024F</t>
  </si>
  <si>
    <t>2025F</t>
  </si>
  <si>
    <t>2026F</t>
  </si>
  <si>
    <t>Súkromná spotreba</t>
  </si>
  <si>
    <t>Vládna spotreba</t>
  </si>
  <si>
    <t>Investície</t>
  </si>
  <si>
    <t>Čistý export</t>
  </si>
  <si>
    <t>Zásoby a št. disk.</t>
  </si>
  <si>
    <t>Rast HDP</t>
  </si>
  <si>
    <t>Private consumption</t>
  </si>
  <si>
    <t>Government consumption</t>
  </si>
  <si>
    <t>Fixed investment</t>
  </si>
  <si>
    <t>Net export</t>
  </si>
  <si>
    <t>Inventories</t>
  </si>
  <si>
    <t>GDP growth</t>
  </si>
  <si>
    <t>2027F</t>
  </si>
  <si>
    <t>GRAF 2 – Čerpanie EÚ zdrojov (mil. EUR)</t>
  </si>
  <si>
    <t>EU funds - capital</t>
  </si>
  <si>
    <t>RRF - other</t>
  </si>
  <si>
    <t>Prod. medzera (% pot. HDP)</t>
  </si>
  <si>
    <t>Pot. HDP (rast, %)</t>
  </si>
  <si>
    <t>Kapitál</t>
  </si>
  <si>
    <t xml:space="preserve"> Práca</t>
  </si>
  <si>
    <t>Output gap
(% pot. GDP)</t>
  </si>
  <si>
    <t>Pot. GDP (growth, %)</t>
  </si>
  <si>
    <t>Capital stock</t>
  </si>
  <si>
    <t>Labour</t>
  </si>
  <si>
    <t xml:space="preserve">Budget  </t>
  </si>
  <si>
    <t>Compensation for the increase in mortgage payments</t>
  </si>
  <si>
    <t>NRVS</t>
  </si>
  <si>
    <t>S</t>
  </si>
  <si>
    <t>TR</t>
  </si>
  <si>
    <t>Dane z produkcie a dovozu</t>
  </si>
  <si>
    <t>Taxes on production and imports</t>
  </si>
  <si>
    <t>Current taxes on income, wealth</t>
  </si>
  <si>
    <t>Dane z kapitálu</t>
  </si>
  <si>
    <t>Capital taxes</t>
  </si>
  <si>
    <t>D.91</t>
  </si>
  <si>
    <t>Social security contributions</t>
  </si>
  <si>
    <t>Dôchodky z majetku</t>
  </si>
  <si>
    <t>Property income</t>
  </si>
  <si>
    <t>D.4R</t>
  </si>
  <si>
    <t>Ostatné*</t>
  </si>
  <si>
    <t>Other*</t>
  </si>
  <si>
    <t>Total expenditure</t>
  </si>
  <si>
    <t>TE</t>
  </si>
  <si>
    <t>Compensations for employees</t>
  </si>
  <si>
    <t>D.1P</t>
  </si>
  <si>
    <t>Subsidies</t>
  </si>
  <si>
    <t>D.3P</t>
  </si>
  <si>
    <t>Interest cost</t>
  </si>
  <si>
    <t>D.41P</t>
  </si>
  <si>
    <t>Total social transfers</t>
  </si>
  <si>
    <t>D.6P,D632</t>
  </si>
  <si>
    <t>z toho: Dávky v nezamestnanosti</t>
  </si>
  <si>
    <t>thereof: Unemployment benefits</t>
  </si>
  <si>
    <t>Tvorba hrubého fixného kapitálu</t>
  </si>
  <si>
    <t>Gross fixed capital generation</t>
  </si>
  <si>
    <t>P.51G</t>
  </si>
  <si>
    <t>Capital transfers</t>
  </si>
  <si>
    <t>D.9P</t>
  </si>
  <si>
    <t>Ostatné**</t>
  </si>
  <si>
    <t>Other**</t>
  </si>
  <si>
    <t>Nešpecifikované opatrenia v RVS voči rozp. cieľom</t>
  </si>
  <si>
    <t>Unspecified measures</t>
  </si>
  <si>
    <t>Saldo verejnej správy</t>
  </si>
  <si>
    <t>General Government Balance</t>
  </si>
  <si>
    <t>Saldo bez nešpecifikovaných opatrení</t>
  </si>
  <si>
    <t>Pozn.: * P.11+P.12+P131+D.39rec+D.7rec+D.9rec (iné ako D.91rec)</t>
  </si>
  <si>
    <t>** D.29p+D.5p+D.7p+P.5M+NP</t>
  </si>
  <si>
    <t xml:space="preserve">B.9 </t>
  </si>
  <si>
    <t>Deficit hospodárenia verejnej správy (% HDP)</t>
  </si>
  <si>
    <t>General government deficit (ESA2010, % of GDP)</t>
  </si>
  <si>
    <t>Hrubý dlh v % HDP</t>
  </si>
  <si>
    <t>Gross debt in % of GDP</t>
  </si>
  <si>
    <t>Graf 3</t>
  </si>
  <si>
    <t>Figure 3</t>
  </si>
  <si>
    <t>2025 F</t>
  </si>
  <si>
    <t>2024 F</t>
  </si>
  <si>
    <t>2026 F</t>
  </si>
  <si>
    <t>Note: * P.11+P.12+P131+D.39rec+D.7rec+D.9rec (other than D.91rec)</t>
  </si>
  <si>
    <t>Rozpočtové ciele</t>
  </si>
  <si>
    <t>Celková hodnota</t>
  </si>
  <si>
    <t>z toho:</t>
  </si>
  <si>
    <t xml:space="preserve">  Počiatočná rozpočtová pozícia štrukturálneho salda a dlhu</t>
  </si>
  <si>
    <t xml:space="preserve">       z toho primárne štrukturálne saldo (-):</t>
  </si>
  <si>
    <t xml:space="preserve">  Výdavky na penzie</t>
  </si>
  <si>
    <t xml:space="preserve">  Zdravotná starostlivosť</t>
  </si>
  <si>
    <t xml:space="preserve">  Dlhodobá starostlivosť</t>
  </si>
  <si>
    <t xml:space="preserve">  Výdavky na vzdelanie </t>
  </si>
  <si>
    <t xml:space="preserve">  Ostatné</t>
  </si>
  <si>
    <t>Total value</t>
  </si>
  <si>
    <t xml:space="preserve">   Initial budgetary position of structural balance and debt</t>
  </si>
  <si>
    <t xml:space="preserve">  Pension expenses</t>
  </si>
  <si>
    <t xml:space="preserve">  Health care</t>
  </si>
  <si>
    <t xml:space="preserve">  Long-term care</t>
  </si>
  <si>
    <t xml:space="preserve">  Expenditure on education</t>
  </si>
  <si>
    <t xml:space="preserve">  Other</t>
  </si>
  <si>
    <t>Podniky</t>
  </si>
  <si>
    <t>Domácnosti</t>
  </si>
  <si>
    <t>Housholds</t>
  </si>
  <si>
    <t>Zdroje krytia</t>
  </si>
  <si>
    <t xml:space="preserve">Sources of covergae </t>
  </si>
  <si>
    <t>TABLE 6 – Quantification of income and expenditure measures (impact on the budget in ESA2010, in EUR millions)</t>
  </si>
  <si>
    <t>TABUĽKA 6  – Kvantifikácie príjmových a výdavkových opatrení (vplyv na rozpočet v ESA2010, mil. eur)</t>
  </si>
  <si>
    <t>Zdroj: Výbor pre makroekonomické prognózy</t>
  </si>
  <si>
    <t>z toho: Eximbanka</t>
  </si>
  <si>
    <t>D. Zmena hrubého dlhu oproti Programu stability (p. b.)</t>
  </si>
  <si>
    <t xml:space="preserve">z toho: príspevok zmeny prognózy nom. HDP </t>
  </si>
  <si>
    <t xml:space="preserve">            príspevok zmeny prognózy nom. dlhu</t>
  </si>
  <si>
    <t>p.m. príspevok SR do ESM</t>
  </si>
  <si>
    <t xml:space="preserve"> - ostatné*</t>
  </si>
  <si>
    <t>thereof: Eximbank</t>
  </si>
  <si>
    <t xml:space="preserve">TABUĽKA 14 – Zoznam jednorazových a dočasných opatrení </t>
  </si>
  <si>
    <t>TABLE 14 – One-off and temporary measures</t>
  </si>
  <si>
    <t>Net impact of expenses caused by the war in Ukraine (reduced by reimbursement from EU funds)</t>
  </si>
  <si>
    <t>Čistý vplyv výdavkov vyvolaných vojnou na Ukrajine (ponížený o preplatenie z EU fondov)</t>
  </si>
  <si>
    <t>Čistý vplyv opatrení vlády v boji s pandémiou COVID-19 (ponížený o preplatenie z EU fondov)</t>
  </si>
  <si>
    <t>Net impact of the government's measures in the fight against the COVID-19 pandemic (reduced by reimbursement from EU funds)</t>
  </si>
  <si>
    <t>Čistý vplyv schém podpory súvisiace z vysokými cenami energií (ponížený o preplatenie z EU fondov)</t>
  </si>
  <si>
    <t>Net impact of support schemes related to high energy prices (reduced by reimbursement from EU funds)</t>
  </si>
  <si>
    <t>TABUĽKA 15 – Príjmové diskrečné opatrenia – medziročné vplyvy opatrení (mil. eur, ESA2010) / TABLE 15 – Discretionary revenue measure - incremental impact (in EUR millions, ESA2010)</t>
  </si>
  <si>
    <t>TABUĽKA 16 – Výdavkové diskrečné opatrenia – medziročné vplyvy (mil. eur, ESA2010) / TABLE 16 – Discretionary expenditure measure - incremental impact (in EUR millions, ESA2010)</t>
  </si>
  <si>
    <t>Poznámka: V prípade opatrení súvisiacich s pandémiou COVID-19 ide o doznievanie vplyvov opatrení prijatých na začiatku pandémie. Keďže išlo o jednorazové opatrenia, najskôr mali v inkrementálnom vyjadrení negatívny vplyv na príjmy a v roku 2021 a čiastočne v roku 2022 pozitívny.</t>
  </si>
  <si>
    <t>Note: In the case of measures related to the COVID-19 pandemic, the effects of measures taken at the beginning of the pandemic are fading. As these were one-off measures, they initially had a negative impact on revenues in incremental terms and a positive impact in 2021 and partially in 2022.</t>
  </si>
  <si>
    <t>Poznámka: V prípade opatrení súvisiacich s pandémiou COVID-19 ide o doznievanie vplyvov opatrení prijatých na začiatku pandémie. Keďže išlo o jednorazové opatrenia, najskôr v inkrementálnom vyjadrení navyšovali výdavky (zhoršovali saldo) a následne sa ich efekt postupne zmenšoval (zlepšoval sa vplyv na saldo)</t>
  </si>
  <si>
    <t>Note: In the case of measures related to the COVID-19 pandemic, the effects of measures taken at the beginning of the pandemic are fading. As these were one-off measures, they first increased spending in incremental terms (deteriorating the balance) and then their effect gradually decreased (improving the effect on the balance)</t>
  </si>
  <si>
    <t>Zdroj: MF SR
Source: MoF SR</t>
  </si>
  <si>
    <t>TABUĽKA 16 – Výdavkové diskrečné opatrenia – medziročné vplyvy (mil. eur, ESA2010)</t>
  </si>
  <si>
    <t>TABUĽKA 1 – Produkčná medzera a príspevky faktorov k rastu potenciálneho produktu – národná metodika</t>
  </si>
  <si>
    <t>GRAF 22 – Porovnanie prognóz makroekonomických základní pre rozpočtové príjmy s členmi výboru</t>
  </si>
  <si>
    <t>TABUĽKA 15 – Príjmové diskrečné opatrenia – medziročné vplyvy opatrení (mil. eur, ESA2010)</t>
  </si>
  <si>
    <t>TABLE 15 – Discretionary revenue measure - incremental impact (in EUR millions, ESA2010)</t>
  </si>
  <si>
    <t>TABLE 16 – Discretionary expenditure measure - incremental impact (in EUR millions, ESA2010)</t>
  </si>
  <si>
    <t>Poznámka: Pre roky 2018 až 2022 boli použité údaje, ktoré ŠU SR poslal do jesennej notifikácie 2023 Eurostatu. Položka Naturálne sociálne transfery (D632) na výdavkovej strane a položka Trhová produkcia (P1M) na príjmovej strane nie je konzistentná s údajmi pred rokom 2018. Je to spôsobené očistením dvojitého započítavania časti výdavkov na zdravotníctvo po roku 2017. Avšak staršie údaje sa budú revidovať až v rámci veľkej benchmarkovej revízie. Tá sa koná spravidla raz za 5 rokov.</t>
  </si>
  <si>
    <t>Overall</t>
  </si>
  <si>
    <t>Vplyv na výdavky</t>
  </si>
  <si>
    <t>Balance without unspecified measures</t>
  </si>
  <si>
    <t>Businesses</t>
  </si>
  <si>
    <t>Budget</t>
  </si>
  <si>
    <t>Budgetary target</t>
  </si>
  <si>
    <t>MoF forecast</t>
  </si>
  <si>
    <t>Budgetary targets</t>
  </si>
  <si>
    <t>thereof:</t>
  </si>
  <si>
    <t xml:space="preserve">       thereof the primary structural balance (-)</t>
  </si>
  <si>
    <t>Interests</t>
  </si>
  <si>
    <t>Source: MoF SR, EC</t>
  </si>
  <si>
    <t>Hrubý dlh v scenári rozpočtových cieľov deficitov</t>
  </si>
  <si>
    <t>Čistý dlh v scenári rozpočtových cieľov deficitov</t>
  </si>
  <si>
    <t>Gross debt in budgetary targets scenario</t>
  </si>
  <si>
    <t>Net debt in budgetary targets scenario</t>
  </si>
  <si>
    <t>FIGURE 2 – Abosrption of EU and RRF funds (EUR million)</t>
  </si>
  <si>
    <t>EÚ fondy</t>
  </si>
  <si>
    <t>RRP</t>
  </si>
  <si>
    <t>EK (Máj)</t>
  </si>
  <si>
    <t>EC (May)</t>
  </si>
  <si>
    <t>MoF SR (June)</t>
  </si>
  <si>
    <t>MFSR (Jún)</t>
  </si>
  <si>
    <t>MFSR (Sept)</t>
  </si>
  <si>
    <t>MoF SR (Sept)</t>
  </si>
  <si>
    <t>2028F</t>
  </si>
  <si>
    <t>nehodnotili</t>
  </si>
  <si>
    <t>SLSP, Tatrabanka</t>
  </si>
  <si>
    <t>RRZ, NBS, SAV, Infostat, ČSOB, VÚB, Unicredit</t>
  </si>
  <si>
    <t>without evaluation</t>
  </si>
  <si>
    <t>GRAF 3 – Príspevok domácich a zahraničných pracovníkov ku ESA zamestnanosti (v p. b.)</t>
  </si>
  <si>
    <t>Zamestnanosť cudzincov</t>
  </si>
  <si>
    <t>Domáca zamestnanosť</t>
  </si>
  <si>
    <t>Rast zamestnanosti</t>
  </si>
  <si>
    <t>Domestic employment</t>
  </si>
  <si>
    <t>Foreign workers employment</t>
  </si>
  <si>
    <t>Kompozit</t>
  </si>
  <si>
    <t>Priemysel</t>
  </si>
  <si>
    <t>Služby</t>
  </si>
  <si>
    <t>EA Objednávky</t>
  </si>
  <si>
    <t>EA Exportné objednávky</t>
  </si>
  <si>
    <t>DE Objednávky</t>
  </si>
  <si>
    <t>DE Exportné objednávky</t>
  </si>
  <si>
    <t>Celkové očakávania</t>
  </si>
  <si>
    <t>Automobilky</t>
  </si>
  <si>
    <t>Chemický priemysel</t>
  </si>
  <si>
    <t>Strojárstvo</t>
  </si>
  <si>
    <t>eurozóna</t>
  </si>
  <si>
    <t>rozv. krajiny</t>
  </si>
  <si>
    <t>IFP Jun</t>
  </si>
  <si>
    <t>IFP Sep</t>
  </si>
  <si>
    <t>Composite</t>
  </si>
  <si>
    <t>Manufacturing</t>
  </si>
  <si>
    <t>Services</t>
  </si>
  <si>
    <t>DE ord.</t>
  </si>
  <si>
    <t>DE exp. ord.</t>
  </si>
  <si>
    <t>EA orders</t>
  </si>
  <si>
    <t>Expectations</t>
  </si>
  <si>
    <t>Automobile</t>
  </si>
  <si>
    <t>Chemicals</t>
  </si>
  <si>
    <t>Mechanical Engineering</t>
  </si>
  <si>
    <t>EA exp. ord.</t>
  </si>
  <si>
    <t>euro area</t>
  </si>
  <si>
    <t>adv. countries</t>
  </si>
  <si>
    <t>Celková inflácia</t>
  </si>
  <si>
    <t>Headline inflation</t>
  </si>
  <si>
    <t>Čistá inflácia</t>
  </si>
  <si>
    <t>Net inflation</t>
  </si>
  <si>
    <t>Ceny potravín</t>
  </si>
  <si>
    <t>Food prices</t>
  </si>
  <si>
    <t>Regulované ceny</t>
  </si>
  <si>
    <t>Regulated prices</t>
  </si>
  <si>
    <t>Zmena nepriamych daní</t>
  </si>
  <si>
    <t>Change in indirect taxes</t>
  </si>
  <si>
    <t>Graf 4</t>
  </si>
  <si>
    <t>Figure 4</t>
  </si>
  <si>
    <t>Finančná kríza</t>
  </si>
  <si>
    <t>Financial crisis</t>
  </si>
  <si>
    <t>COVID-19</t>
  </si>
  <si>
    <t>Energetická kríza</t>
  </si>
  <si>
    <t>Energy crisis</t>
  </si>
  <si>
    <t>Hranica nadmerného deficitu</t>
  </si>
  <si>
    <t>Excessive deficit threshold</t>
  </si>
  <si>
    <t>Nominálny cieľ rozpočtu</t>
  </si>
  <si>
    <t>Vplyv na indikátor S2</t>
  </si>
  <si>
    <t>Impact on S2 indicator</t>
  </si>
  <si>
    <t>Zrušenie RD</t>
  </si>
  <si>
    <t>Cancellation of the parnetal pension</t>
  </si>
  <si>
    <t>Zavedenie RD ako asignácie dane</t>
  </si>
  <si>
    <t>Introduction of parental pension in the form of tax assignment</t>
  </si>
  <si>
    <t>Inmpact on expenditure</t>
  </si>
  <si>
    <t>nove</t>
  </si>
  <si>
    <t>uspora</t>
  </si>
  <si>
    <t>Capital expenditure</t>
  </si>
  <si>
    <t>GRAF 12 – Vývoj nominálneho salda v % HDP</t>
  </si>
  <si>
    <t>FIGURE 12 – Development of the nominal balance in % of GDP</t>
  </si>
  <si>
    <t>GRAF 13 – Medziročné rasty vybraných položiek v roku 2024 očistených o fondy EÚ a POO (% rast, ESA2010)</t>
  </si>
  <si>
    <t>FIGURE 13 – Annual growth rates of selected items in 2024, excluding EU and POO funds (% growth, ESA2010)</t>
  </si>
  <si>
    <t>Nontax revenue</t>
  </si>
  <si>
    <t>RD - súčasné nastavenie</t>
  </si>
  <si>
    <t>RD - asignácia dane</t>
  </si>
  <si>
    <t>PP - current legislation</t>
  </si>
  <si>
    <t>PP - tax assignment</t>
  </si>
  <si>
    <t>RVS 2024-2027</t>
  </si>
  <si>
    <t>8,7 (vysoké riziko)</t>
  </si>
  <si>
    <t>7,0 (vysoké riziko)</t>
  </si>
  <si>
    <t>8,7 (high risk)</t>
  </si>
  <si>
    <t>7,0 (high risk)</t>
  </si>
  <si>
    <t>GGB 2024-2027</t>
  </si>
  <si>
    <t xml:space="preserve">Capping the retirement age </t>
  </si>
  <si>
    <t/>
  </si>
  <si>
    <t>Opatrenia v boji s pandémiou COVID-19 (očistené o EÚ fondy)</t>
  </si>
  <si>
    <t xml:space="preserve">Rozmrazenie výšky minimálneho dôchodku </t>
  </si>
  <si>
    <t>Freezing of the amount of minimum pension in 2021 and its unfreezing in 2023</t>
  </si>
  <si>
    <t>Zvýšenie prostriedkov na údržbu a opravy ciest 1. triedy</t>
  </si>
  <si>
    <t>Increase of maintenance funds of 1st class roads managed by Slovak Road Administration</t>
  </si>
  <si>
    <t>Navýšenie obranných výdavkov na 2 % od roku 2025</t>
  </si>
  <si>
    <t>Podpora v čase skrátenej práce (trvalý kurzarbeit)</t>
  </si>
  <si>
    <t>Výdavky spojené s vojnou na Ukrajine (očistené o EÚ fondy)</t>
  </si>
  <si>
    <t>Inflačná pomoc pre rodiny a sociálne znevýhodnené skupiny obyvateľov</t>
  </si>
  <si>
    <t>Inflation aid for families and socially disadvantaged groups</t>
  </si>
  <si>
    <t>Jednorazové dotácie pre zariadenia sociálnych služieb</t>
  </si>
  <si>
    <t>Súdna reforma a správne súdy (projekt súdnej mapy)</t>
  </si>
  <si>
    <t>Judicial reform and administrative courts (judicial map project)</t>
  </si>
  <si>
    <t>Zákon o výstavbe, územnom plánovaní a zriadenie centrálneho úradu</t>
  </si>
  <si>
    <t>Law on construction, spatial planning and the establishment of a central construction authority</t>
  </si>
  <si>
    <t>Zvýšenie úhrad zdravotnej poisťovne za starostlivosť (dlhodobá a paliatívna)</t>
  </si>
  <si>
    <t>Odchod do dôchodku po 40 odpracovaných rokoch</t>
  </si>
  <si>
    <t>Retirement after 40 years of work</t>
  </si>
  <si>
    <t>Zvýšenie prídavku na dieťa na 60 eur mesačne</t>
  </si>
  <si>
    <t>Kompenzácia rastúcich cien energií spolu (ponížené o EÚ fondy)</t>
  </si>
  <si>
    <t>Collective negotiation of healthcare workers</t>
  </si>
  <si>
    <t>Stabilizačný príspevok pre pracovníkov v zariadeniach sociálnych služieb</t>
  </si>
  <si>
    <t>Zvýšenie príspevku poisťovní pre záchrannú zdravotnú službu a NCZI</t>
  </si>
  <si>
    <t>Increasing the contribution of insurance companies for the emergency health service and NHIC</t>
  </si>
  <si>
    <t>Additional financing of the ambulatory sector</t>
  </si>
  <si>
    <t>Opätovné zavedenie obedov zadarmo (2023)</t>
  </si>
  <si>
    <t>Reintroduction of free lunches measure</t>
  </si>
  <si>
    <t>Special valorization of pensions from July 2023</t>
  </si>
  <si>
    <t>Rodičovský dôchodok pre rodičov pracovníkov s výsluhovým dôchodkom</t>
  </si>
  <si>
    <t>Parental pension for parents of workers with service pension</t>
  </si>
  <si>
    <t>Mimoriadna valorizácia rodičovského príspevku</t>
  </si>
  <si>
    <t>Novela školského zákona (posilnenie kapacít zamestnancov v školstve)</t>
  </si>
  <si>
    <t>Rodičovský príspevok (na deti od 3 rokov neprijaté do škôlky)</t>
  </si>
  <si>
    <t>Parental allowance (for children older than 3 years whom are not admitted to kindergarten)</t>
  </si>
  <si>
    <t>Rozšírenie osobnej asistencie na školách</t>
  </si>
  <si>
    <t>Expansion of personal assistance in schools</t>
  </si>
  <si>
    <t>Navýšenie príspevku na bývanie v rámci pomoci v hmotnej núdzi</t>
  </si>
  <si>
    <t>Increase in the housing allowance within the framework of assistance in material need</t>
  </si>
  <si>
    <t>Výkonnostné zmluvy verejných vysokých škôl (VVŠ)</t>
  </si>
  <si>
    <t>Zvýšenie výdavkov na výskum a vývoj (VaV)</t>
  </si>
  <si>
    <t>Jednorazová dávka pre poberateľov dôchodkov vo výške 300 eur</t>
  </si>
  <si>
    <t>One-time pensioner's allowance of 300 euros</t>
  </si>
  <si>
    <t>Doubling of the 13th pension from 2024 and its subsequent capping</t>
  </si>
  <si>
    <t xml:space="preserve">Kompenzácia nárastu hypotekárnych splátok </t>
  </si>
  <si>
    <t>Zvýšené výdavky na zdravotníctvo</t>
  </si>
  <si>
    <t>Zrušenie dotovania nočnej železničnej dopravy a linky Košice/Prešov – Praha</t>
  </si>
  <si>
    <t>Cancellation of subsidies for night train services and the Košice/Prešov – Prague line</t>
  </si>
  <si>
    <t>Rezerva na riešenie negatívnych vplyvov vývoja rozpočtového hospodárenia</t>
  </si>
  <si>
    <t>Reserve for addressing the negative impacts of budget development</t>
  </si>
  <si>
    <t>Zvýšenie osobných príplatkov zamestnancov súdov</t>
  </si>
  <si>
    <t>Increase in personal allowances for court employees</t>
  </si>
  <si>
    <t>Zlepšenie podmienok odmeňovania ozbrojených zložiek SR</t>
  </si>
  <si>
    <t>Enhancement of compensation terms for the Slovak Armed Forces</t>
  </si>
  <si>
    <t>Reforma daňového bonusu na dieťa</t>
  </si>
  <si>
    <t>Transfer of kindergartens under state administration</t>
  </si>
  <si>
    <t>Rozšírenie oblastí podpory Fondu na podporu umenia</t>
  </si>
  <si>
    <t>Expansion of support areas of the Art Support Fund</t>
  </si>
  <si>
    <t>Zvýšenie výdavkov na audiovizuálny priemysel</t>
  </si>
  <si>
    <t>Increase in spending on the audiovisual industry</t>
  </si>
  <si>
    <t>Zníženie valorizácie miezd zdravotníkov v roku 2025 na 3 % (výnimka pre nízkopríjmových zdravotníkov)</t>
  </si>
  <si>
    <t>Diminishment of salary escalation for medical personnel in 2025 to a rate of 3% (with an exemption for those earning lower wages)</t>
  </si>
  <si>
    <t>Úpravy v superodpočte (veda a výskum a priemysel 4.0)</t>
  </si>
  <si>
    <t>Changes to the super deduction (research and development and Industry 4.0)</t>
  </si>
  <si>
    <t>Zvýšenie sadzby odvodu z internetových hazardných hier​</t>
  </si>
  <si>
    <t>Gaming taxes</t>
  </si>
  <si>
    <t>Minimum health insurance contributions</t>
  </si>
  <si>
    <t>Abolition of license fees for Radio and Television Slovakia (RTVS)</t>
  </si>
  <si>
    <t>Príjem z odvodu z nadmerných príjmov - elektrárne</t>
  </si>
  <si>
    <t>Revenue from excess profits tax - power plants</t>
  </si>
  <si>
    <t>Valorizácia správnych a súdnych poplatkov - od 1Q 2024</t>
  </si>
  <si>
    <t>Valorization of administrative and court fees - from Q1 2024</t>
  </si>
  <si>
    <t>Increase in the fee for maintaining emergency oil reserves by 1 cent</t>
  </si>
  <si>
    <t>Osobitný odvod pre Vodohospodársku výstavbu</t>
  </si>
  <si>
    <t>Regulation on excessive profits -  revenue from the special levy for "Vodohospodárska výstavba"</t>
  </si>
  <si>
    <t>Waste charges - ban on landfilling of waste without pre-treatment</t>
  </si>
  <si>
    <t>Extension of the special levy on business in regulated sectors</t>
  </si>
  <si>
    <t>Solidárny príspevok z činností v odvetviach ropy a iných</t>
  </si>
  <si>
    <t>Extension of the solidarity contribution from activities in the oil sector and others</t>
  </si>
  <si>
    <t>Zavedenie minimálnej dane pre nadnárodné spoločnosti (dorovnávacia daň)</t>
  </si>
  <si>
    <t>Zvýšenie sadzby spotrebnej dane z liehu</t>
  </si>
  <si>
    <t>Increase in the excise duty rate on alcohol from 1.1.2024</t>
  </si>
  <si>
    <t>Zvýšenie sadzby zdravotného poistného zamestnávateľa o 1 p. b.</t>
  </si>
  <si>
    <t>Increase in health contributions for emplyers by 1%</t>
  </si>
  <si>
    <t>Zmena sadzieb daní z nehnuteľností podľa VZN</t>
  </si>
  <si>
    <t>Change in property tax rates according to the Municipal Regulation</t>
  </si>
  <si>
    <t>Zvýšenie sadzieb poplatku za komunálny odpad podľa VZN</t>
  </si>
  <si>
    <t>Local Waste Fee (local taxes) - increase in rates annually</t>
  </si>
  <si>
    <t>Odpustenie soc. odvodov zamestnávateľa za zamestnancov v potravinárskom priemysle</t>
  </si>
  <si>
    <t>Exemption from employer's social security contributions for employees in the food industry</t>
  </si>
  <si>
    <t>Zavedenie spotrebnej dane zo sladených nápojov</t>
  </si>
  <si>
    <t>Introduction of excise duty rates on sweetend baverages</t>
  </si>
  <si>
    <t>Zvýšenie spotrebnej dane z tabakových výrobkov a výrobkov súvisiacich s tabakovými výrobkami</t>
  </si>
  <si>
    <t>Raising the excise tax on tobacco and nicotine products</t>
  </si>
  <si>
    <t>Predĺženie odpustenia soc. odvodov zamestnávateľov pre poľnohospodárov</t>
  </si>
  <si>
    <t>Extension of social security contribution relief for farmers</t>
  </si>
  <si>
    <t>Zníženie zdanenia nákladných vozidiel</t>
  </si>
  <si>
    <t>Reduced tax burden on heavy-duty vehicles</t>
  </si>
  <si>
    <t>Zavedenie dane z finančných transakcií</t>
  </si>
  <si>
    <t>Implementation of a financial transaction tax</t>
  </si>
  <si>
    <t>Nepeňažný príjem oslobodený pri vozidlách s alternatívnym pohonom</t>
  </si>
  <si>
    <t>Tax exemption on non-monetary income derived from alternative fuel vehicles</t>
  </si>
  <si>
    <t>Oslobodenie úrokových výnosov zo štátnych dlhopisov zo základu osobitného odvodu</t>
  </si>
  <si>
    <t>Relief of interest yields on government bonds from the special levy tax base</t>
  </si>
  <si>
    <t>Pokles odvodu do II. piliera</t>
  </si>
  <si>
    <t>Úprava minimálnej DPPO a zmena hranice príjmu mikrodaňovníkov</t>
  </si>
  <si>
    <t>Changes to corporate tax rules and benefits for small businesses</t>
  </si>
  <si>
    <t>Osobitný odvod z podnikania v regulovaných odvetviach (energie, fosílne palivá)</t>
  </si>
  <si>
    <t>Special levy on businesses in regulated sectors (energy, fossil fuels)</t>
  </si>
  <si>
    <t>Úprava sadzby zrážkovej dane z dividend</t>
  </si>
  <si>
    <t>Modification (increase) of the dividend withholding tax rate</t>
  </si>
  <si>
    <t>Úprava cien diaľničných známok a mýta (Eurovignette)</t>
  </si>
  <si>
    <t>Amendment of toll charges and motorway tolls (Eurovignette)</t>
  </si>
  <si>
    <t>Navýšenie platby za poistencov štátu</t>
  </si>
  <si>
    <t>Increase in payments for state insured persons</t>
  </si>
  <si>
    <t>Zmena sadzieb DPH (základná 23 % a dve znížené – 19 % a 5 %)</t>
  </si>
  <si>
    <t>Amendment of VAT rates (standard rate set at 23%, with two reduced rates of 19% and 5%)</t>
  </si>
  <si>
    <t>Zvýšenie stropov pre platenie sociálnych odvodov</t>
  </si>
  <si>
    <t>Elevation of the contribution ceilings for social security</t>
  </si>
  <si>
    <t>Zvýšenie dane z príjmov právnických osôb na 24 %</t>
  </si>
  <si>
    <t>Enhancement of the corporate income tax rate to 24%</t>
  </si>
  <si>
    <t>VÚB</t>
  </si>
  <si>
    <t>optimistická</t>
  </si>
  <si>
    <t>NBS, Infostat, Tatra banka, ČSOB, KRRZ, SLSP, UniCredit Bank</t>
  </si>
  <si>
    <t>optimistic</t>
  </si>
  <si>
    <t>v %</t>
  </si>
  <si>
    <t>in %</t>
  </si>
  <si>
    <t>makroekonomické ukazovatele</t>
  </si>
  <si>
    <t>macro</t>
  </si>
  <si>
    <t>efektívna daňová sadzba</t>
  </si>
  <si>
    <t>ETR</t>
  </si>
  <si>
    <t>legislatíva</t>
  </si>
  <si>
    <t>legisaltion</t>
  </si>
  <si>
    <t>jednorazové faktory</t>
  </si>
  <si>
    <t>one-offs</t>
  </si>
  <si>
    <t>ostatné faktory</t>
  </si>
  <si>
    <t>other</t>
  </si>
  <si>
    <t>Zdroj: MF SR</t>
  </si>
  <si>
    <t>kvartál</t>
  </si>
  <si>
    <t>Efektívna daňová sadzba DPH</t>
  </si>
  <si>
    <t>Effective tax rates - VAT</t>
  </si>
  <si>
    <t>Source: SO SR, MoF SR</t>
  </si>
  <si>
    <t>Zdroj: ŠÚ SR, MF SR</t>
  </si>
  <si>
    <t>GRAF 4 – Príspevky zložiek k inflácii (p. b.)</t>
  </si>
  <si>
    <t>FIGURE 4 – Contributions of components to inflation (p. p.)</t>
  </si>
  <si>
    <t>Zdroj: Bloomberg, MF SR</t>
  </si>
  <si>
    <t>Source: Bloomberg, MoF SR</t>
  </si>
  <si>
    <t>Zdroj: EK, MF SR</t>
  </si>
  <si>
    <t>Source: EC, MoF SR</t>
  </si>
  <si>
    <t>GRAF 1 – Príspevky k rastu HDP - prognóza (p. b.)</t>
  </si>
  <si>
    <t>FIGURE 1 – Contribution to GDP growth - forecast (p. p.)</t>
  </si>
  <si>
    <t>FIGURE 3 – Contributions of domestic and foreign workers to employment growth (p. p.)</t>
  </si>
  <si>
    <r>
      <t>TFP</t>
    </r>
    <r>
      <rPr>
        <b/>
        <vertAlign val="superscript"/>
        <sz val="10"/>
        <color theme="1"/>
        <rFont val="Arial Narrow"/>
        <family val="2"/>
        <charset val="238"/>
      </rPr>
      <t>*</t>
    </r>
  </si>
  <si>
    <t>GRAF 9 – Vážený index zahraničného dopytu (level)</t>
  </si>
  <si>
    <t>FIGURE 9 – Weighted index of external demand (level)</t>
  </si>
  <si>
    <t>GRAF 8 – World Trade Monitor Index, importy (body)</t>
  </si>
  <si>
    <t>FIGURE 8 – World Trade Monitor Index, imports (points)</t>
  </si>
  <si>
    <r>
      <t>GRAF 7 – ZEW Index očakávaní v nemeckej ekonomike (body)</t>
    </r>
    <r>
      <rPr>
        <sz val="10"/>
        <color rgb="FF2C9ADC"/>
        <rFont val="Arial Narrow"/>
        <family val="2"/>
        <charset val="238"/>
      </rPr>
      <t xml:space="preserve"> </t>
    </r>
  </si>
  <si>
    <r>
      <t>FIGURE 7 – ZEW Index of economic expectations in Germany (points)</t>
    </r>
    <r>
      <rPr>
        <sz val="10"/>
        <color rgb="FF2C9ADC"/>
        <rFont val="Arial Narrow"/>
        <family val="2"/>
        <charset val="238"/>
      </rPr>
      <t xml:space="preserve"> </t>
    </r>
  </si>
  <si>
    <t>GRAF 11 – Vývoj produkčnej medzery (% pot. HDP) – porovnanie MF SR, NBS, EK</t>
  </si>
  <si>
    <t>FIGURE 11 – Output gap (% pot. GDP) – comparing MoF SR, NBS, EC</t>
  </si>
  <si>
    <t>Zdroj: Macrobond, MF SR</t>
  </si>
  <si>
    <t>Source: Macrobond, MoF SR</t>
  </si>
  <si>
    <t>Zdroj: MF SR, NBS, AMECO</t>
  </si>
  <si>
    <t>Source: MoF SR, NBS, AMECO</t>
  </si>
  <si>
    <t>GRAF 5 – Index nákupných manažérov v eurozóne (hodnoty nad 50 = expanzia)</t>
  </si>
  <si>
    <t>FIGURE 5 – Purchasing Managers´ Index (readings above 50 = expansion)</t>
  </si>
  <si>
    <t>GRAF 6 – Objednávky v priemysle v eurozóne a Nemecku (ESI, body)  </t>
  </si>
  <si>
    <t>FIGURE 6 – Manufacturing orders in euro area and Germany (ESI, points)  </t>
  </si>
  <si>
    <t>GRAF 10 – Medziročná zmena váž. ind. zahr. dopytu (%)</t>
  </si>
  <si>
    <t>FIGURE 10 – Annual growth of weigh. ext. demand ind. (%)</t>
  </si>
  <si>
    <t>TABLE 1 – Output gap and factor contributions to potential growth – national methodology</t>
  </si>
  <si>
    <t xml:space="preserve">GRAF 7 – ZEW Index očakávaní v nemeckej ekonomike (body) </t>
  </si>
  <si>
    <t xml:space="preserve">FIGURE 7 – ZEW Index of economic expectations in Germany (points) </t>
  </si>
  <si>
    <t>quarter</t>
  </si>
  <si>
    <t>Zastropovanie cien  plynu pre domácnosti</t>
  </si>
  <si>
    <t>Zastropovanie cien distribučných a systémových poplatkov plynu</t>
  </si>
  <si>
    <t>Zastropovanie cien elektriny pre dom. (distribučné a systémové poplatky)</t>
  </si>
  <si>
    <t>Spolu čistý vplyv</t>
  </si>
  <si>
    <t>Total netto ...</t>
  </si>
  <si>
    <t>Výdavkové opatrenia spolu</t>
  </si>
  <si>
    <t>TABUĽKA 2 – Opatrenia prijaté vládou v boji s energetickou krízou s vplyvom na rozpočet (v mil. eur)</t>
  </si>
  <si>
    <t>TABLE 2 – Measures taken by the government to combat the energy crisis with budget impact (in EUR millions)</t>
  </si>
  <si>
    <t>2024 Odhad celý rok*</t>
  </si>
  <si>
    <t>Utilisation as of 31.8.2024</t>
  </si>
  <si>
    <t>2024 Full Year Estimate*</t>
  </si>
  <si>
    <t xml:space="preserve">Poznámka: Hodnoty za rok 2023 predstavujú vyplatené hotovostné pomoci bez očistenia o vratky (približne 44 mil. eur, hlavne za teplo domácnostiam v objeme 40 mil. eur). </t>
  </si>
  <si>
    <t xml:space="preserve">Note: The values for 2023 represent the paid cash benefits without adjustment for refunds (approximately 44 million euros, mainly for household heating in the amount of 40 million euros). </t>
  </si>
  <si>
    <t xml:space="preserve">         Cash payments include payments made by the end of August 2024 that relate to schemes valid in 2023 (thus, the values for 2023 are accrued).</t>
  </si>
  <si>
    <t xml:space="preserve">                K hotovostnému vyplateniu sú pripočítané vyplatené finančné prostriedky ku koncu augusta 2024, ktoré sa vzťahujú na schémy platné v roku 2023 (hodnoty za rok 2023 sú teda akrualizované).</t>
  </si>
  <si>
    <t>* These costs relate to schemes that were in effect in 2024. Payments made in 2024 for schemes that were implemented in 2023 are not included.</t>
  </si>
  <si>
    <t>* Ide o výdavky na schémy platné v roku 2024. Nezahŕňa vyplatené prostriedky v roku 2024 za schémy roka 2023.</t>
  </si>
  <si>
    <t>Implementing a price ceiling for gas distribution and system charges</t>
  </si>
  <si>
    <t>GRAF 16 – Vývoj čistých výdavkov rozpočtu verejnej správy (%)</t>
  </si>
  <si>
    <t>TABUĽKA 5 – Bilancia výdavkov a príjmov v metodike ESA2010 (% HDP)</t>
  </si>
  <si>
    <t>TABLE 5 – Expenditure and Revenue Balance in ESA 2010 (% of GDP)</t>
  </si>
  <si>
    <t>Nižšie kompenzácie energií</t>
  </si>
  <si>
    <t>Nárast obranných výdavkov</t>
  </si>
  <si>
    <t>Nárast úrokových nákladov</t>
  </si>
  <si>
    <t>Increase in interest expenses</t>
  </si>
  <si>
    <t>2023 S</t>
  </si>
  <si>
    <t>2024 OS</t>
  </si>
  <si>
    <t>2027 NRVS</t>
  </si>
  <si>
    <t>-1,7*</t>
  </si>
  <si>
    <t>-4,9*</t>
  </si>
  <si>
    <t>Medziročná zmena nominálneho salda (2)</t>
  </si>
  <si>
    <t>Rozdiel medzi cieľmi vlády a aktuálne nastaveným rozpočtom (3-1)</t>
  </si>
  <si>
    <t>* Podľa údajov jarnej notifikácie Eurostatu.</t>
  </si>
  <si>
    <t>TABLE 4 – Government’s nominal targets (ESA2010, % of GDP)</t>
  </si>
  <si>
    <t>TABUĽKA 4 – Nominálne ciele vlády (ESA2010, % HDP)</t>
  </si>
  <si>
    <t>2024 E</t>
  </si>
  <si>
    <t>2027 F</t>
  </si>
  <si>
    <t>E</t>
  </si>
  <si>
    <t>F</t>
  </si>
  <si>
    <t>Net lending/borrowing (Non policy change) - targets (1)</t>
  </si>
  <si>
    <t>Year-on-year change in nominal balance (2)</t>
  </si>
  <si>
    <t>Current approved budget (3)</t>
  </si>
  <si>
    <t>The difference between the government's goals and the current budget (3-1)</t>
  </si>
  <si>
    <t>* According to the data from the spring notification of Eurostat.</t>
  </si>
  <si>
    <t>Opatrenia súvisiace s príspevkami na opatrovanie (ZŤP deti, seniori a i.)</t>
  </si>
  <si>
    <t>Financovanie sociálnych služieb a iných opatrení (osobná asistencia a príspevok na pohreb)</t>
  </si>
  <si>
    <t>Zvýšená základná sadzba 23 %</t>
  </si>
  <si>
    <t>Znížená sadzba 19 % (potraviny, energie, nápoje v gastre)</t>
  </si>
  <si>
    <t>Znížená sadzba 5 % (základné potraviny, lieky, učebnice, a ďalšie)</t>
  </si>
  <si>
    <t>Daň z finančných transakcií a posun hranice pre nižšiu sadzbu dane z príjmu</t>
  </si>
  <si>
    <t>Úprava zníženej dane z príjmov právnických osôb (z 15 % na 10 %)</t>
  </si>
  <si>
    <t>Zmena hranice príjmu mikrodaňovníkov pre nižšiu sadzbu dane z príjmov</t>
  </si>
  <si>
    <t>Vyššia daň z príjmov podnikov a nižšia zrážková daň z dividend</t>
  </si>
  <si>
    <t>Zvýšenie spotrebných daní (sladené nápoje, tabak)</t>
  </si>
  <si>
    <t>Zvýšenie dane spotrebných sadzieb z tabakových výrobkov</t>
  </si>
  <si>
    <t>Zvýšenie spotrebnej dane z výrobkov súvisiacich s tabakovými výrobkami</t>
  </si>
  <si>
    <t>Úprava cien diaľničnej známky, mýta a daní z motorových vozidiel</t>
  </si>
  <si>
    <t>Zvýšenie mýta pre nákladné motorové vozidlá (Eurovignette)</t>
  </si>
  <si>
    <t>Zvýšenie cien diaľničných známok (ročná z 60 € na 90 €)</t>
  </si>
  <si>
    <t>D.2/P.11</t>
  </si>
  <si>
    <t>Zvýšenie dane zo všetkých motorových vozidiel</t>
  </si>
  <si>
    <t>D.5/D.6</t>
  </si>
  <si>
    <t>Osobitný odvod z podnikania v regulovaných odvetviach</t>
  </si>
  <si>
    <t>Zavedenie odvodu z podnikania v odvetví spracovania ropy</t>
  </si>
  <si>
    <t>Zvýšenie odvod z podnikania v odvetví poskytovania telekomunikačných služieb</t>
  </si>
  <si>
    <t>Čiastočné zacielenie sociálnych transferov</t>
  </si>
  <si>
    <t xml:space="preserve">Reforma rodičovského dôchodku, z toho: </t>
  </si>
  <si>
    <t>D.7</t>
  </si>
  <si>
    <t>Tlmenie rastu výdavkov na mzdovej obálke</t>
  </si>
  <si>
    <t>Zníženie valorizácie miezd väčšiny zdravotníkov v roku 2025 na 3 %</t>
  </si>
  <si>
    <t>D.1/D.632</t>
  </si>
  <si>
    <t>Úspora 10 % mzdových výdavkoch centrálne štátnej správy</t>
  </si>
  <si>
    <t>Opatrenia vlády zvyšujúce výdavky</t>
  </si>
  <si>
    <t>Rezerva na riešenie negatívnych vplyvov rozpočtového hospodárenia</t>
  </si>
  <si>
    <t xml:space="preserve">Zlepšenie podmienok odmeňovania ozbrojených zložiek SR </t>
  </si>
  <si>
    <t>D.1/P.2/D.7</t>
  </si>
  <si>
    <r>
      <t>Oslobodenie</t>
    </r>
    <r>
      <rPr>
        <sz val="10"/>
        <color theme="1"/>
        <rFont val="Arial Narrow"/>
        <family val="2"/>
        <charset val="238"/>
      </rPr>
      <t xml:space="preserve"> </t>
    </r>
    <r>
      <rPr>
        <sz val="10"/>
        <color rgb="FF000000"/>
        <rFont val="Arial Narrow"/>
        <family val="2"/>
        <charset val="238"/>
      </rPr>
      <t>úrokových výnosov zo št. dlhopisov zo základu osob. odvodu</t>
    </r>
  </si>
  <si>
    <t>Úprava sadzby zrážkovej dane z dividend (a i.)*</t>
  </si>
  <si>
    <t>Opatrenia v sociálnej oblasti**</t>
  </si>
  <si>
    <t>Presun materských škôl pod správu štátu***</t>
  </si>
  <si>
    <t>Ostatné****</t>
  </si>
  <si>
    <t>* V tomto prípade zohľadňujeme aj ďalšie drobné opatrenia, ktoré rovnako ako úprava sadzby zrážkovej dane z dividend majú kompenzačný charakter, sú nimi predĺženie daňového superodpisu na investície do priemyslu 4.0 (pre Volkswagen) a vyňatie sociálnych podnikov z povinnosti platiť daňovú licenciu.</t>
  </si>
  <si>
    <t>** V sociálnej oblasti rástli výdavky hneď v niekoľkých oblastiach príspevkov na opatrovanie spolu za vyše 110 mil. EUR už v roku 2025, súčasťou sú aj opatrenia na iné sociálne služby (26 mil. EUR) a rôzne menšie opatrenia za viac ako 15 mil. EUR.</t>
  </si>
  <si>
    <t>*** Okrem už videných 53 mil. EUR je ďalších takmer 55 mil. EUR už súčasťou rozpočtu kapitoly ministerstva školstva. Spolu teda bude opatrenie stáť vyše 108 mil. EUR.</t>
  </si>
  <si>
    <t>**** Okrem už uvedených opatrení navýšia deficit aj ďalšie opatrenia: zvyšovať sa budú osobné príplatky zamestnancov súdov (každoročne približne 33 mil. EUR), na deficit budú vplývať aj dotácie a fondy súvisiace s kultúrou (zhruba 50 mil. EUR) a nárast výdavkov z Environmentálneho fondu (viac ako 40 mil. EUR). V tejto položke sú obsiahnuté aj opatrenia ministerstva cestovného ruchu a športu, konkrétne novo vytvorené alebo výrazne navýšené fondy cestovného ruchu a športu.</t>
  </si>
  <si>
    <t>Changes in VAT rates (standard rate of 23% and two reduced rates - 19% and 5%)</t>
  </si>
  <si>
    <t>Increased standard VAT rate to 23%</t>
  </si>
  <si>
    <t>Reduced rate of 19% (for food, energy, and beverages in restaurants)</t>
  </si>
  <si>
    <t>Reduced rate of 5% (for basic foodstuffs, medicines, textbooks, and others)</t>
  </si>
  <si>
    <t>Financial transaction tax and adjustment of the threshold for the lower income tax rate</t>
  </si>
  <si>
    <t>Introduction of a financial transaction tax</t>
  </si>
  <si>
    <t>Adjustment of the reduced corporate income tax rate (from 15% to 10%)</t>
  </si>
  <si>
    <t>Change in the income threshold for micro-entrepreneurs to benefit from the lower income tax rate</t>
  </si>
  <si>
    <t>Higher corporate income tax and lower withholding tax on dividends</t>
  </si>
  <si>
    <t>Increase in corporate income tax to 24%</t>
  </si>
  <si>
    <t>Adjustment of the withholding tax rate on dividends (and others)*</t>
  </si>
  <si>
    <t>Increase in excise duties (on sugary drinks and tobacco)</t>
  </si>
  <si>
    <t>Introduction of excise duty on sugary drinks</t>
  </si>
  <si>
    <t>Increase in excise duty on products related to tobacco products</t>
  </si>
  <si>
    <t>Adjustment of prices for highway vignettes, tolls, and motor vehicle taxes</t>
  </si>
  <si>
    <t>Increase in tolls for heavy goods vehicles (Eurovignette)</t>
  </si>
  <si>
    <t>Increase in the price of annual highway vignettes (from €60 to €90)</t>
  </si>
  <si>
    <t>Increase in tax on all motor vehicles</t>
  </si>
  <si>
    <t>Tax exemption for non-monetary income from vehicles with alternative fuels</t>
  </si>
  <si>
    <t>Reduction in taxation of heavy goods vehicles</t>
  </si>
  <si>
    <t>Special levy on businesses in regulated sectors</t>
  </si>
  <si>
    <t>Introduction of a levy on businesses in the oil processing sector</t>
  </si>
  <si>
    <t>Increase in the levy on businesses in the telecommunications sector</t>
  </si>
  <si>
    <t>Exemption of interest income from government bonds from the personal income tax base</t>
  </si>
  <si>
    <t>Increase in ceilings for social security contributions</t>
  </si>
  <si>
    <t>Partial targeting of social transfers</t>
  </si>
  <si>
    <t>Reform of parental pension, including:</t>
  </si>
  <si>
    <t>Abolition of the link between parental pension and average wage</t>
  </si>
  <si>
    <t>Replacement with an allocation from personal income tax (2% + 2%)</t>
  </si>
  <si>
    <t>Zrušenie naviazania rodičovského dôchodku na priemernú mzdu</t>
  </si>
  <si>
    <t>Nahradenie asignáciou z DPFO (2 + 2 %)</t>
  </si>
  <si>
    <t>Reform of child tax benefit</t>
  </si>
  <si>
    <t>Dampening the growth of wage bill expenditures</t>
  </si>
  <si>
    <t>Reduction of the wage increase for most healthcare professionals in 2025 to 3%</t>
  </si>
  <si>
    <t>Saving 10% of wage expenditures in central state administration</t>
  </si>
  <si>
    <t>Government measures increasing expenditures</t>
  </si>
  <si>
    <t>Reserve for addressing the negative impacts of budget management</t>
  </si>
  <si>
    <t>Measures in the social area</t>
  </si>
  <si>
    <t>Improvement of remuneration conditions for the Slovak Armed Forces</t>
  </si>
  <si>
    <t>Others</t>
  </si>
  <si>
    <t>* In this case, we also consider other minor measures, which, like the adjustment of the withholding tax rate on dividends, have a compensatory nature. These include the extension of the tax super-deduction for investments in Industry 4.0 (for Volkswagen) and the exemption of social enterprises from the obligation to pay a business license fee.</t>
  </si>
  <si>
    <t>** In the social area, expenditures grew in several areas, including contributions to care, which increased by more than 110 millions EUR in 2025 alone. This also includes measures for other social services (26 millions EUR) and various smaller measures worth more than 15 millions EUR.</t>
  </si>
  <si>
    <t>*** In addition to the already mentioned 53 millions EUR, another nearly 55 millions EUR is already included in the budget of the Ministry of Education. In total, the measure will cost over 108 millions EUR.</t>
  </si>
  <si>
    <t>**** In addition to the measures already mentioned, the deficit will also be increased by other measures: personal allowances for court employees will increase (approximately 33 millions EUR annually), the deficit will also be affected by subsidies and funds related to culture (approximately 50 millions EUR), and an increase in expenditures from the Environmental Fund (over 40 millions EUR). This item also includes measures of the Ministry of Tourism and Sport, specifically newly created or significantly increased tourism and sports funds.</t>
  </si>
  <si>
    <t>Measures related to care allowances (for children with disabilities, seniors, etc.)</t>
  </si>
  <si>
    <t>Funding for social services and additional measures (personal assistance and burial allowances)</t>
  </si>
  <si>
    <t>Zvýšenie výdavkov environmentálneho fondu (vyššia alokácia z emisných povoleniek)</t>
  </si>
  <si>
    <t>Podpora priemyselných parkov (Valaliky, Šurany)</t>
  </si>
  <si>
    <t>Vyššie financovanie materských škôl (presun materských škôl pod správu štátu)</t>
  </si>
  <si>
    <t>Úspora na mzdách v ústrednej štátnej správe (5 % a následne 10 %)</t>
  </si>
  <si>
    <t>Zdvojnásobenie 13. dôchodku od roku 2024 a jeho následne zastropovanie</t>
  </si>
  <si>
    <t>Reduction in wages for central government employees (5% initially, followed by an additional 10%)</t>
  </si>
  <si>
    <t>Increased government funding for preschool education (by transferring preschools to state administration)</t>
  </si>
  <si>
    <t>Support for industrial parks (Valaliky, Šurany)</t>
  </si>
  <si>
    <t>Increased funding for the environmental fund (through a higher allocation of emission allowances)</t>
  </si>
  <si>
    <t>Vznik nového ministerstva cestovného ruchu (následné opatrenia na podporu športu a cestovného ruchu)</t>
  </si>
  <si>
    <t>Establishment of a new Ministry of Tourism (followed by its measures to support sports and tourism)</t>
  </si>
  <si>
    <t>Daňový bonus na dieťa (postupné plošné zvyšovanie od 2022 - 2024 a následné zacielenie na nízkopríjmové skupiny)</t>
  </si>
  <si>
    <t>Child tax benefit (phased-in increase from 2022-2024, with subsequent targeting of low-income households)</t>
  </si>
  <si>
    <t>Zavedenie rodičovského dôchodku a jeho následná úprava na asignáciu 2 % z dane</t>
  </si>
  <si>
    <t>Introduction of a parental pension and its subsequent adjustment to a 2% tax assignment</t>
  </si>
  <si>
    <t>GDP</t>
  </si>
  <si>
    <t>NBS (Október)</t>
  </si>
  <si>
    <t>NBS (October)</t>
  </si>
  <si>
    <t>Medziročné znížene deficitu v 2025</t>
  </si>
  <si>
    <t>Konsolidačné opatrenia</t>
  </si>
  <si>
    <t>Opatrenia vlády na výdavkoch, vrátane rezervy na riešenie negatívnych vplyvov vývoja rozpočtového hospodárenia</t>
  </si>
  <si>
    <t>Zdroj: MF SR, EK</t>
  </si>
  <si>
    <t>Year-on-year deficit reduction in 2025</t>
  </si>
  <si>
    <t>Increase in defense spending</t>
  </si>
  <si>
    <t>Lower energy compensations</t>
  </si>
  <si>
    <t>Fiscal consolidation measures</t>
  </si>
  <si>
    <t>Government spending measures, including a reserve for addressing negative impacts on budgetary developments</t>
  </si>
  <si>
    <t>TABUĽKA 3 – Hlavné faktory vysvetľujúce medziročnú zmenu nominálneho deficitu v 2025 (% HDP)</t>
  </si>
  <si>
    <t>TABLE 3 – The key drivers of the year-on-year change in the nominal deficit in 2025 (% of GDP)</t>
  </si>
  <si>
    <t>* Údaje vyplnené za návrh rozpočtu nie sú upravené o benchmarkovú revíziu z roku 2024.</t>
  </si>
  <si>
    <t>HDP, bežné ceny*</t>
  </si>
  <si>
    <t>* The budget proposal data has not been adjusted for the 2024 benchmark revision</t>
  </si>
  <si>
    <t>GDP, current prices*</t>
  </si>
  <si>
    <r>
      <t>*</t>
    </r>
    <r>
      <rPr>
        <sz val="10"/>
        <color theme="1"/>
        <rFont val="Arial Narrow"/>
        <family val="2"/>
        <charset val="238"/>
      </rPr>
      <t xml:space="preserve"> 2018 – priebežný monitoring plnenia RVS 2018</t>
    </r>
  </si>
  <si>
    <t>* Macroeconomic forecast committee                                                                                                                                                             Source: Macroeconomic forecast committee</t>
  </si>
  <si>
    <t>Zdroj: Výbor pre daňové prognózy</t>
  </si>
  <si>
    <r>
      <rPr>
        <sz val="10"/>
        <color theme="0"/>
        <rFont val="Arial Narrow"/>
        <family val="2"/>
        <charset val="238"/>
      </rPr>
      <t>.</t>
    </r>
    <r>
      <rPr>
        <sz val="10"/>
        <color theme="1"/>
        <rFont val="Arial Narrow"/>
        <family val="2"/>
        <charset val="238"/>
      </rPr>
      <t>- other*</t>
    </r>
  </si>
  <si>
    <t>GRAF 14 – Medziročná zmena daní po faktoroch (2024, ESA 2010, v p. b.)</t>
  </si>
  <si>
    <t>FIGURE 14 – Year-on-year change in taxes by factor (2024, ESA 2010, in p. p.)</t>
  </si>
  <si>
    <t>GRAF 15 – Efektívna daňová sadzba DPH (v %)</t>
  </si>
  <si>
    <t>FIGURE 15 – GDP effective tax rate (in %)</t>
  </si>
  <si>
    <t>FIGURE 16 – Development of net government budget expenditures (%)</t>
  </si>
  <si>
    <t>GRAF 17 – Prognóza hrubého a čistého dlhu verejnej správy (% HDP)</t>
  </si>
  <si>
    <t xml:space="preserve">FIGURE 17 – Projection of gross and net budget debt of the general governemnt (% of GDP) </t>
  </si>
  <si>
    <t>GRAF 18 a 19 – Faktory spôsobujúce zmenu hrubého dlhu na horizonte do roku 2027 (% HDP)</t>
  </si>
  <si>
    <t>FIGURE 18 &amp; 19 – The drivers of the change in gross debt over the horizon to 2027 (% of GDP)</t>
  </si>
  <si>
    <t>GRAF 20 – Vplyv zmien v rodičovskom dôchodku na indikátor dlhodobej udržateľnosti S2 (% HDP)</t>
  </si>
  <si>
    <t>FIGURE 20 – The impact of changes in the parental pension on the long-term sustainability indicator S2 (% of GDP)</t>
  </si>
  <si>
    <t>TABUĽKA 7 – Rozklad indikátora dlhodobej udržateľnosti S2 k roku 2028 (% HDP)</t>
  </si>
  <si>
    <t>TABLE 7 – Breakdown of long-term sustainability indicator S2 as of 2028 (% of GDP)</t>
  </si>
  <si>
    <t>TABUĽKA 7 – Rozklad indikátora dlhodobej udržateľnosti S2 k roku 2027 (% HDP)</t>
  </si>
  <si>
    <t>TABLE 7 – Breakdown of long-term sustainability indicator S2 as of 2027 (% of GDP)</t>
  </si>
  <si>
    <t>GRAF 21 – Výdavky na rodičovský dôchodok (% HDP)</t>
  </si>
  <si>
    <t>FIGURE 21 – Expenditure on parental pension (% of GDP)</t>
  </si>
  <si>
    <t>GRAF 22 – Porovnanie prognóz makroekonomických základní* pre rozpočtové príjmy s členmi výboru</t>
  </si>
  <si>
    <t>* Makroekonomické základne pre rozpočtové príjmy (váha ukazovateľov závisí od podielu jednotlivých daní na celkových daňových a odvodových príjmoch);</t>
  </si>
  <si>
    <t>Mzdová báza (zamestnanosť + nominálna mzda) – 51,1 %, Nominálna súkromná spotreba – 25,7 %, Reálna súkromná spotreba – 6,6 %, Nominálny rast HDP – 9,9 %, Reálny rast HDP – 6,7 %.</t>
  </si>
  <si>
    <t>Wage base (employment + nominal wage) - 51.1%, Nominal private consumption - 25.7%, Real private consumption - 6.6%, Nominal GDP growth - 9.9%, Real GDP growth - 6.7%.</t>
  </si>
  <si>
    <t>* Macroeconomic bases for budget revenues (the weight of indicators depends on the share of individual taxes in total tax and contribution revenues);</t>
  </si>
  <si>
    <t>FIGURE 22 – Comparison of forecasts of macroeconomic bases* for tax revenues with MFC members</t>
  </si>
  <si>
    <t>TABUĽKA 8 – Prognóza vybraných indikátorov vývoja ekonomiky SR</t>
  </si>
  <si>
    <t>TABLE 8 – Forecast of selected economic indicators in SR</t>
  </si>
  <si>
    <t>TABUĽKA 9 – Porovnanie rozpočtových cieľov s programom stability</t>
  </si>
  <si>
    <t>TABLE 9 – Comparison of the budgetary targets with the Stability Programme</t>
  </si>
  <si>
    <t>TABUĽKA 10 – Hodnotenie decembrovej prognózy MF SR vo Výbore pre makroekonomické prognózy</t>
  </si>
  <si>
    <t>TABLE 10 – Assessment of the September MoF forecast by the Macroeconomic Forecast Committee</t>
  </si>
  <si>
    <t xml:space="preserve">* Výbor pre makroekonomické prognózy     
</t>
  </si>
  <si>
    <t>TABUĽKA 11 – Priemerná prognóza členov Výboru* (okrem MF SR) a prognóza MF SR</t>
  </si>
  <si>
    <t>TABLE 11 – Average forecast of MFC members and forecast of MoF SR</t>
  </si>
  <si>
    <t>TABUĽKA 12 – Hodnotenie prognózy MF SR vo Výbore pre daňové prognózy</t>
  </si>
  <si>
    <t>TABLE 12 – Assessment of the  MoF forecast by the Tax Forecast Committee</t>
  </si>
  <si>
    <t>Source: Tax Forecast Committee</t>
  </si>
  <si>
    <t>2025 N / F</t>
  </si>
  <si>
    <t>2026 N / F</t>
  </si>
  <si>
    <t>TABUĽKA 13 – Hotovostné vplyvy na zmenu nominálneho hrubého dlhu podľa deficitov aktuálneho návrhu rozpočtu (v mil. eur)</t>
  </si>
  <si>
    <t>TABLE 13 – Impact of cash changes in nominal gross debt according to the deficits of the current draft budget (in EUR mil.)</t>
  </si>
  <si>
    <t>Nominálne saldo / Ciele pre schodok rozpočtu verejnej správy  (1)</t>
  </si>
  <si>
    <t>Návrh rozpočtu verejnej správy  (3)</t>
  </si>
  <si>
    <t>Ciele rozpočtu verejnej správy</t>
  </si>
  <si>
    <t>Návrh rozpočtu verejnej správy (bez ďalších opatrení)</t>
  </si>
  <si>
    <t>Pozn.: * vrátane zmeny zdrojov subjektov mimo sektora verejnej správy. Plusové položky zvyšujú dlh verejnej správy k 31.12. príslušného roku, mínusové položky dlh znižujú.</t>
  </si>
  <si>
    <t>Note: including change of sources from entities outside the public administration sector.Plus amounts increase the general government debt as at 31 December of the relevant year, minus amounts decrease the debt.</t>
  </si>
  <si>
    <t>1 743</t>
  </si>
  <si>
    <t>2024 OS / E</t>
  </si>
  <si>
    <t>2027 N / F</t>
  </si>
  <si>
    <t>5,2 (medium risk)</t>
  </si>
  <si>
    <t>5,2 (stredné riziko)</t>
  </si>
  <si>
    <t>Čerpanie k
31. 8. 2024</t>
  </si>
  <si>
    <t>Obsah – Návrh rozpočtového plánu SR na rok 2025</t>
  </si>
  <si>
    <t>Content of Draft Budgetary Plan of SR for 2025</t>
  </si>
  <si>
    <t>FIGURE 15 – VAT effective tax rate (in %)</t>
  </si>
  <si>
    <t>Hrubý dlh verejnej správy (% HDP, stav k 31.12.) </t>
  </si>
  <si>
    <t>Limit stanovený v MTP</t>
  </si>
  <si>
    <t>Aktuálny návrh RVS 2025-2027</t>
  </si>
  <si>
    <t>Draft budget 2025-2027</t>
  </si>
  <si>
    <t>FIGURE 16 – Growth of net expenditures of General Government (%)</t>
  </si>
  <si>
    <t>Upper and lower sanction bands</t>
  </si>
  <si>
    <t>Horné a spodné sankčné pásma hrubého dlhu</t>
  </si>
  <si>
    <t>Zosúladenie deficitu a dlhu</t>
  </si>
  <si>
    <t>Stock-flow adjustment</t>
  </si>
  <si>
    <t>2025-2027 kumulatívne</t>
  </si>
  <si>
    <t>2025-2027 cumulative</t>
  </si>
  <si>
    <t>Ceilings set in the MTP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</si>
</sst>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 _€_-;\-* #,##0.00\ _€_-;_-* &quot;-&quot;??\ _€_-;_-@_-"/>
    <numFmt numFmtId="165" formatCode="[$-409]mmm\-yy;@"/>
    <numFmt numFmtId="166" formatCode="0.0"/>
    <numFmt numFmtId="167" formatCode="#,##0.0"/>
    <numFmt numFmtId="168" formatCode="0.0%"/>
    <numFmt numFmtId="169" formatCode="_-[$€-2]* #,##0.00_-;\-[$€-2]* #,##0.00_-;_-[$€-2]* &quot;-&quot;??_-"/>
    <numFmt numFmtId="170" formatCode="_-* #,##0.00\ _S_k_-;\-* #,##0.00\ _S_k_-;_-* &quot;-&quot;??\ _S_k_-;_-@_-"/>
    <numFmt numFmtId="171" formatCode="#,##0.000"/>
    <numFmt numFmtId="172" formatCode="&quot; &quot;#,##0.00&quot; &quot;;&quot;-&quot;#,##0.00&quot; &quot;;&quot; -&quot;00&quot; &quot;;&quot; &quot;@&quot; &quot;"/>
    <numFmt numFmtId="173" formatCode="0.000"/>
    <numFmt numFmtId="174" formatCode="_-* #,##0\ _€_-;\-* #,##0\ _€_-;_-* &quot;-&quot;??\ _€_-;_-@_-"/>
    <numFmt numFmtId="175" formatCode="_-* #,##0.00\ _S_k_-;\-* #,##0.00\ _S_k_-;_-* \-??\ _S_k_-;_-@_-"/>
    <numFmt numFmtId="176" formatCode="0.000000"/>
    <numFmt numFmtId="177" formatCode="[$-41B]mmmm\ yy;@"/>
    <numFmt numFmtId="178" formatCode="m/yy"/>
    <numFmt numFmtId="179" formatCode="_-* #,##0.0\ _€_-;\-* #,##0.0\ _€_-;_-* &quot;-&quot;??\ _€_-;_-@_-"/>
  </numFmts>
  <fonts count="15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Narrow"/>
      <family val="2"/>
      <charset val="238"/>
    </font>
    <font>
      <sz val="10"/>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Narrow"/>
      <family val="2"/>
      <charset val="238"/>
    </font>
    <font>
      <sz val="11"/>
      <color theme="1"/>
      <name val="Calibri"/>
      <family val="2"/>
      <charset val="238"/>
      <scheme val="minor"/>
    </font>
    <font>
      <sz val="11"/>
      <color theme="1"/>
      <name val="Calibri"/>
      <family val="2"/>
      <scheme val="minor"/>
    </font>
    <font>
      <sz val="10"/>
      <name val="Arial"/>
      <family val="2"/>
    </font>
    <font>
      <sz val="11"/>
      <color theme="1"/>
      <name val="Arial Narrow"/>
      <family val="2"/>
      <charset val="238"/>
    </font>
    <font>
      <u/>
      <sz val="11"/>
      <color theme="10"/>
      <name val="Calibri"/>
      <family val="2"/>
      <scheme val="minor"/>
    </font>
    <font>
      <sz val="10"/>
      <name val="Arial"/>
      <family val="2"/>
      <charset val="238"/>
    </font>
    <font>
      <sz val="10"/>
      <color theme="1"/>
      <name val="Arial Narrow"/>
      <family val="2"/>
    </font>
    <font>
      <sz val="11"/>
      <name val="Arial"/>
      <family val="2"/>
      <charset val="238"/>
    </font>
    <font>
      <sz val="11"/>
      <color indexed="8"/>
      <name val="Arial Narrow"/>
      <family val="2"/>
      <charset val="238"/>
    </font>
    <font>
      <sz val="10"/>
      <name val="Garamond"/>
      <family val="1"/>
      <charset val="238"/>
    </font>
    <font>
      <sz val="11"/>
      <color theme="1"/>
      <name val="Garamond"/>
      <family val="2"/>
      <charset val="238"/>
    </font>
    <font>
      <sz val="11"/>
      <color indexed="8"/>
      <name val="Calibri"/>
      <family val="2"/>
      <charset val="238"/>
    </font>
    <font>
      <sz val="10"/>
      <color rgb="FF000000"/>
      <name val="Arial"/>
      <family val="2"/>
      <charset val="238"/>
    </font>
    <font>
      <sz val="11"/>
      <color rgb="FFFFFFFF"/>
      <name val="Calibri"/>
      <family val="2"/>
      <charset val="238"/>
    </font>
    <font>
      <u/>
      <sz val="10"/>
      <color rgb="FF0000FF"/>
      <name val="Arial"/>
      <family val="2"/>
      <charset val="238"/>
    </font>
    <font>
      <b/>
      <sz val="10"/>
      <color rgb="FFFFFFFF"/>
      <name val="Arial"/>
      <family val="2"/>
      <charset val="238"/>
    </font>
    <font>
      <b/>
      <sz val="15"/>
      <color rgb="FF1F497D"/>
      <name val="Arial"/>
      <family val="2"/>
      <charset val="238"/>
    </font>
    <font>
      <u/>
      <sz val="10"/>
      <color rgb="FF800080"/>
      <name val="Arial"/>
      <family val="2"/>
      <charset val="238"/>
    </font>
    <font>
      <sz val="10"/>
      <color rgb="FF9C0006"/>
      <name val="Arial"/>
      <family val="2"/>
      <charset val="238"/>
    </font>
    <font>
      <u/>
      <sz val="11"/>
      <color theme="10"/>
      <name val="Calibri"/>
      <family val="2"/>
      <charset val="238"/>
      <scheme val="minor"/>
    </font>
    <font>
      <sz val="10"/>
      <name val="MS Sans Serif"/>
      <family val="2"/>
    </font>
    <font>
      <sz val="11"/>
      <color theme="1"/>
      <name val="Arial"/>
      <family val="2"/>
      <charset val="238"/>
    </font>
    <font>
      <sz val="10"/>
      <name val="Arial CE"/>
      <charset val="238"/>
    </font>
    <font>
      <sz val="9"/>
      <color rgb="FF000000"/>
      <name val="Arial Narrow"/>
      <family val="2"/>
      <charset val="238"/>
    </font>
    <font>
      <b/>
      <sz val="9"/>
      <color rgb="FF000000"/>
      <name val="Arial Narrow"/>
      <family val="2"/>
      <charset val="238"/>
    </font>
    <font>
      <sz val="9"/>
      <name val="Arial Narrow"/>
      <family val="2"/>
      <charset val="238"/>
    </font>
    <font>
      <sz val="9"/>
      <color theme="1"/>
      <name val="Arial Narrow"/>
      <family val="2"/>
      <charset val="238"/>
    </font>
    <font>
      <b/>
      <sz val="9"/>
      <color theme="1"/>
      <name val="Arial Narrow"/>
      <family val="2"/>
      <charset val="238"/>
    </font>
    <font>
      <b/>
      <sz val="9"/>
      <name val="Arial Narrow"/>
      <family val="2"/>
      <charset val="238"/>
    </font>
    <font>
      <i/>
      <sz val="9"/>
      <color rgb="FF000000"/>
      <name val="Arial Narrow"/>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indexed="8"/>
      <name val="Arial Narrow"/>
      <family val="2"/>
      <charset val="238"/>
    </font>
    <font>
      <b/>
      <sz val="9"/>
      <color theme="4"/>
      <name val="Arial Narrow"/>
      <family val="2"/>
      <charset val="238"/>
    </font>
    <font>
      <sz val="9"/>
      <color rgb="FFFF0000"/>
      <name val="Arial Narrow"/>
      <family val="2"/>
      <charset val="238"/>
    </font>
    <font>
      <b/>
      <sz val="9"/>
      <color rgb="FF2C9ADC"/>
      <name val="Arial Narrow"/>
      <family val="2"/>
      <charset val="238"/>
    </font>
    <font>
      <b/>
      <sz val="9"/>
      <color indexed="9"/>
      <name val="Arial Narrow"/>
      <family val="2"/>
      <charset val="238"/>
    </font>
    <font>
      <b/>
      <sz val="9"/>
      <color indexed="8"/>
      <name val="Arial Narrow"/>
      <family val="2"/>
      <charset val="238"/>
    </font>
    <font>
      <i/>
      <sz val="9"/>
      <color indexed="8"/>
      <name val="Arial Narrow"/>
      <family val="2"/>
      <charset val="238"/>
    </font>
    <font>
      <i/>
      <sz val="9"/>
      <color rgb="FFFF0000"/>
      <name val="Arial Narrow"/>
      <family val="2"/>
      <charset val="238"/>
    </font>
    <font>
      <b/>
      <sz val="9"/>
      <color rgb="FFFF0000"/>
      <name val="Arial Narrow"/>
      <family val="2"/>
      <charset val="238"/>
    </font>
    <font>
      <sz val="9"/>
      <color theme="4"/>
      <name val="Arial Narrow"/>
      <family val="2"/>
      <charset val="238"/>
    </font>
    <font>
      <sz val="18"/>
      <color theme="1"/>
      <name val="Arial Narrow"/>
      <family val="2"/>
      <charset val="238"/>
    </font>
    <font>
      <b/>
      <sz val="18"/>
      <color theme="1"/>
      <name val="Arial Narrow"/>
      <family val="2"/>
      <charset val="238"/>
    </font>
    <font>
      <sz val="11"/>
      <color theme="1"/>
      <name val="Arial Narrow"/>
      <family val="2"/>
    </font>
    <font>
      <sz val="10"/>
      <name val="Courier"/>
      <family val="1"/>
      <charset val="238"/>
    </font>
    <font>
      <b/>
      <sz val="10"/>
      <color indexed="8"/>
      <name val="Arial"/>
      <family val="2"/>
    </font>
    <font>
      <u/>
      <sz val="10"/>
      <color theme="10"/>
      <name val="Arial Narrow"/>
      <family val="2"/>
    </font>
    <font>
      <sz val="11"/>
      <name val="Times New Roman"/>
      <family val="1"/>
      <charset val="238"/>
    </font>
    <font>
      <sz val="10"/>
      <color indexed="8"/>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8"/>
      <color rgb="FF000000"/>
      <name val="Arial Narrow"/>
      <family val="2"/>
      <charset val="238"/>
    </font>
    <font>
      <sz val="10"/>
      <color rgb="FF000000"/>
      <name val="Arial Narrow"/>
      <family val="2"/>
      <charset val="238"/>
    </font>
    <font>
      <b/>
      <sz val="10"/>
      <color rgb="FF000000"/>
      <name val="Arial Narrow"/>
      <family val="2"/>
      <charset val="238"/>
    </font>
    <font>
      <sz val="10"/>
      <name val="Arial Narrow"/>
      <family val="2"/>
      <charset val="238"/>
    </font>
    <font>
      <i/>
      <sz val="9"/>
      <name val="Arial Narrow"/>
      <family val="2"/>
      <charset val="238"/>
    </font>
    <font>
      <b/>
      <sz val="10"/>
      <color rgb="FF2C9ADC"/>
      <name val="Arial Narrow"/>
      <family val="2"/>
      <charset val="238"/>
    </font>
    <font>
      <b/>
      <sz val="10"/>
      <color rgb="FFA6A6A6"/>
      <name val="Arial Narrow"/>
      <family val="2"/>
      <charset val="238"/>
    </font>
    <font>
      <b/>
      <sz val="10"/>
      <color theme="1"/>
      <name val="Arial Narrow"/>
      <family val="2"/>
      <charset val="238"/>
    </font>
    <font>
      <b/>
      <sz val="10"/>
      <color indexed="8"/>
      <name val="Arial Narrow"/>
      <family val="2"/>
      <charset val="238"/>
    </font>
    <font>
      <sz val="10"/>
      <color indexed="8"/>
      <name val="Arial Narrow"/>
      <family val="2"/>
      <charset val="238"/>
    </font>
    <font>
      <b/>
      <sz val="10"/>
      <name val="Arial Narrow"/>
      <family val="2"/>
      <charset val="238"/>
    </font>
    <font>
      <b/>
      <sz val="9"/>
      <color rgb="FFFFFFFF"/>
      <name val="Arial Narrow"/>
      <family val="2"/>
      <charset val="238"/>
    </font>
    <font>
      <sz val="9"/>
      <color indexed="81"/>
      <name val="Segoe UI"/>
      <family val="2"/>
      <charset val="238"/>
    </font>
    <font>
      <b/>
      <sz val="9"/>
      <color indexed="81"/>
      <name val="Segoe UI"/>
      <family val="2"/>
      <charset val="238"/>
    </font>
    <font>
      <sz val="10"/>
      <color theme="1"/>
      <name val="Calibri"/>
      <family val="2"/>
      <charset val="238"/>
      <scheme val="minor"/>
    </font>
    <font>
      <b/>
      <sz val="10"/>
      <color rgb="FF00B0F0"/>
      <name val="Arial Narrow"/>
      <family val="2"/>
      <charset val="238"/>
    </font>
    <font>
      <i/>
      <sz val="10"/>
      <color theme="1"/>
      <name val="Arial Narrow"/>
      <family val="2"/>
      <charset val="238"/>
    </font>
    <font>
      <u/>
      <sz val="10"/>
      <color theme="10"/>
      <name val="Arial Narrow"/>
      <family val="2"/>
      <charset val="238"/>
    </font>
    <font>
      <sz val="10"/>
      <color rgb="FF2C9ADC"/>
      <name val="Arial Narrow"/>
      <family val="2"/>
      <charset val="238"/>
    </font>
    <font>
      <b/>
      <i/>
      <sz val="10"/>
      <color theme="1"/>
      <name val="Arial Narrow"/>
      <family val="2"/>
      <charset val="238"/>
    </font>
    <font>
      <b/>
      <sz val="10"/>
      <color theme="4"/>
      <name val="Arial Narrow"/>
      <family val="2"/>
      <charset val="238"/>
    </font>
    <font>
      <sz val="10"/>
      <color rgb="FFFF0000"/>
      <name val="Arial Narrow"/>
      <family val="2"/>
      <charset val="238"/>
    </font>
    <font>
      <b/>
      <vertAlign val="superscript"/>
      <sz val="10"/>
      <color theme="1"/>
      <name val="Arial Narrow"/>
      <family val="2"/>
      <charset val="238"/>
    </font>
    <font>
      <sz val="10"/>
      <color theme="0" tint="-0.249977111117893"/>
      <name val="Arial Narrow"/>
      <family val="2"/>
      <charset val="238"/>
    </font>
    <font>
      <i/>
      <sz val="10"/>
      <color rgb="FF000000"/>
      <name val="Arial Narrow"/>
      <family val="2"/>
      <charset val="238"/>
    </font>
    <font>
      <b/>
      <i/>
      <sz val="10"/>
      <color rgb="FFFF0000"/>
      <name val="Arial Narrow"/>
      <family val="2"/>
      <charset val="238"/>
    </font>
    <font>
      <sz val="10"/>
      <color theme="0"/>
      <name val="Arial Narrow"/>
      <family val="2"/>
      <charset val="238"/>
    </font>
    <font>
      <b/>
      <sz val="10"/>
      <color theme="0"/>
      <name val="Arial Narrow"/>
      <family val="2"/>
      <charset val="238"/>
    </font>
    <font>
      <b/>
      <sz val="10"/>
      <color rgb="FFFF0000"/>
      <name val="Arial Narrow"/>
      <family val="2"/>
      <charset val="238"/>
    </font>
    <font>
      <sz val="10"/>
      <color theme="10"/>
      <name val="Arial Narrow"/>
      <family val="2"/>
      <charset val="238"/>
    </font>
  </fonts>
  <fills count="71">
    <fill>
      <patternFill patternType="none"/>
    </fill>
    <fill>
      <patternFill patternType="gray125"/>
    </fill>
    <fill>
      <patternFill patternType="solid">
        <fgColor rgb="FFFFFFFF"/>
        <bgColor indexed="64"/>
      </patternFill>
    </fill>
    <fill>
      <patternFill patternType="solid">
        <fgColor rgb="FF33CCCC"/>
        <bgColor rgb="FF33CCCC"/>
      </patternFill>
    </fill>
    <fill>
      <patternFill patternType="solid">
        <fgColor rgb="FFFF6600"/>
        <bgColor rgb="FFFF6600"/>
      </patternFill>
    </fill>
    <fill>
      <patternFill patternType="solid">
        <fgColor rgb="FFA5A5A5"/>
        <bgColor rgb="FFA5A5A5"/>
      </patternFill>
    </fill>
    <fill>
      <patternFill patternType="solid">
        <fgColor rgb="FFFFC7CE"/>
        <bgColor rgb="FFFFC7CE"/>
      </patternFill>
    </fill>
    <fill>
      <patternFill patternType="solid">
        <fgColor theme="5"/>
        <bgColor indexed="64"/>
      </patternFill>
    </fill>
    <fill>
      <patternFill patternType="solid">
        <fgColor theme="0" tint="-0.14999847407452621"/>
        <bgColor indexed="64"/>
      </patternFill>
    </fill>
    <fill>
      <patternFill patternType="solid">
        <fgColor rgb="FFBFBFBF"/>
        <bgColor indexed="64"/>
      </patternFill>
    </fill>
    <fill>
      <patternFill patternType="solid">
        <fgColor rgb="FF000000"/>
        <bgColor indexed="64"/>
      </patternFill>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C00000"/>
        <bgColor indexed="64"/>
      </patternFill>
    </fill>
    <fill>
      <patternFill patternType="solid">
        <fgColor rgb="FFFFFF97"/>
        <bgColor indexed="64"/>
      </patternFill>
    </fill>
    <fill>
      <patternFill patternType="solid">
        <fgColor rgb="FFFFC000"/>
        <bgColor indexed="64"/>
      </patternFill>
    </fill>
  </fills>
  <borders count="56">
    <border>
      <left/>
      <right/>
      <top/>
      <bottom/>
      <diagonal/>
    </border>
    <border>
      <left/>
      <right/>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top/>
      <bottom style="medium">
        <color rgb="FF000000"/>
      </bottom>
      <diagonal/>
    </border>
    <border>
      <left/>
      <right/>
      <top style="medium">
        <color rgb="FF000000"/>
      </top>
      <bottom/>
      <diagonal/>
    </border>
    <border>
      <left style="double">
        <color rgb="FF3F3F3F"/>
      </left>
      <right style="double">
        <color rgb="FF3F3F3F"/>
      </right>
      <top style="double">
        <color rgb="FF3F3F3F"/>
      </top>
      <bottom style="double">
        <color rgb="FF3F3F3F"/>
      </bottom>
      <diagonal/>
    </border>
    <border>
      <left/>
      <right/>
      <top/>
      <bottom style="thick">
        <color rgb="FF4F81BD"/>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indexed="64"/>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top/>
      <bottom style="medium">
        <color indexed="64"/>
      </bottom>
      <diagonal/>
    </border>
    <border>
      <left/>
      <right/>
      <top/>
      <bottom style="thin">
        <color rgb="FF000000"/>
      </bottom>
      <diagonal/>
    </border>
    <border>
      <left/>
      <right/>
      <top style="thin">
        <color indexed="64"/>
      </top>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right style="medium">
        <color indexed="64"/>
      </right>
      <top style="medium">
        <color indexed="64"/>
      </top>
      <bottom/>
      <diagonal/>
    </border>
    <border>
      <left/>
      <right style="thin">
        <color auto="1"/>
      </right>
      <top style="thin">
        <color auto="1"/>
      </top>
      <bottom/>
      <diagonal/>
    </border>
    <border>
      <left/>
      <right style="thin">
        <color indexed="64"/>
      </right>
      <top style="thin">
        <color indexed="64"/>
      </top>
      <bottom style="thin">
        <color indexed="64"/>
      </bottom>
      <diagonal/>
    </border>
  </borders>
  <cellStyleXfs count="1507">
    <xf numFmtId="0" fontId="0" fillId="0" borderId="0"/>
    <xf numFmtId="0" fontId="34" fillId="0" borderId="0"/>
    <xf numFmtId="0" fontId="35" fillId="0" borderId="0"/>
    <xf numFmtId="0" fontId="34" fillId="0" borderId="0"/>
    <xf numFmtId="0" fontId="36" fillId="0" borderId="0" applyNumberFormat="0" applyFill="0" applyBorder="0" applyAlignment="0" applyProtection="0"/>
    <xf numFmtId="0" fontId="37" fillId="0" borderId="0"/>
    <xf numFmtId="165" fontId="38" fillId="0" borderId="0"/>
    <xf numFmtId="9" fontId="37" fillId="0" borderId="0" applyFont="0" applyFill="0" applyBorder="0" applyAlignment="0" applyProtection="0"/>
    <xf numFmtId="164" fontId="33" fillId="0" borderId="0" applyFont="0" applyFill="0" applyBorder="0" applyAlignment="0" applyProtection="0"/>
    <xf numFmtId="0" fontId="32" fillId="0" borderId="0"/>
    <xf numFmtId="0" fontId="40" fillId="0" borderId="0"/>
    <xf numFmtId="0" fontId="30" fillId="0" borderId="0"/>
    <xf numFmtId="9" fontId="33"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164" fontId="37" fillId="0" borderId="0" applyFont="0" applyFill="0" applyBorder="0" applyAlignment="0" applyProtection="0"/>
    <xf numFmtId="169" fontId="37" fillId="0" borderId="0"/>
    <xf numFmtId="0" fontId="33" fillId="0" borderId="0"/>
    <xf numFmtId="0" fontId="29" fillId="0" borderId="0"/>
    <xf numFmtId="0" fontId="41" fillId="0" borderId="0"/>
    <xf numFmtId="9" fontId="41" fillId="0" borderId="0" applyFont="0" applyFill="0" applyBorder="0" applyAlignment="0" applyProtection="0"/>
    <xf numFmtId="0" fontId="39" fillId="0" borderId="0"/>
    <xf numFmtId="0" fontId="31" fillId="0" borderId="0"/>
    <xf numFmtId="9" fontId="31" fillId="0" borderId="0" applyFont="0" applyFill="0" applyBorder="0" applyAlignment="0" applyProtection="0"/>
    <xf numFmtId="9" fontId="35" fillId="0" borderId="0" applyFont="0" applyFill="0" applyBorder="0" applyAlignment="0" applyProtection="0"/>
    <xf numFmtId="0" fontId="42" fillId="0" borderId="0"/>
    <xf numFmtId="9" fontId="42" fillId="0" borderId="0" applyFont="0" applyFill="0" applyBorder="0" applyAlignment="0" applyProtection="0"/>
    <xf numFmtId="164" fontId="35" fillId="0" borderId="0" applyFont="0" applyFill="0" applyBorder="0" applyAlignment="0" applyProtection="0"/>
    <xf numFmtId="170" fontId="43" fillId="0" borderId="0" applyFont="0" applyFill="0" applyBorder="0" applyAlignment="0" applyProtection="0"/>
    <xf numFmtId="0" fontId="35" fillId="0" borderId="0"/>
    <xf numFmtId="0" fontId="28" fillId="0" borderId="0"/>
    <xf numFmtId="0" fontId="27" fillId="0" borderId="0"/>
    <xf numFmtId="164" fontId="27" fillId="0" borderId="0" applyFont="0" applyFill="0" applyBorder="0" applyAlignment="0" applyProtection="0"/>
    <xf numFmtId="0" fontId="37" fillId="0" borderId="0"/>
    <xf numFmtId="0" fontId="44" fillId="0" borderId="0"/>
    <xf numFmtId="172" fontId="44" fillId="0" borderId="0" applyFont="0" applyFill="0" applyBorder="0" applyAlignment="0" applyProtection="0"/>
    <xf numFmtId="9" fontId="44" fillId="0" borderId="0" applyFont="0" applyFill="0" applyBorder="0" applyAlignment="0" applyProtection="0"/>
    <xf numFmtId="0" fontId="48" fillId="0" borderId="15" applyNumberFormat="0" applyFill="0" applyAlignment="0" applyProtection="0"/>
    <xf numFmtId="0" fontId="50" fillId="6" borderId="0" applyNumberFormat="0" applyBorder="0" applyAlignment="0" applyProtection="0"/>
    <xf numFmtId="0" fontId="47" fillId="5" borderId="14" applyNumberFormat="0" applyAlignment="0" applyProtection="0"/>
    <xf numFmtId="0" fontId="45" fillId="3" borderId="0" applyNumberFormat="0" applyBorder="0" applyAlignment="0" applyProtection="0"/>
    <xf numFmtId="0" fontId="45" fillId="4" borderId="0" applyNumberFormat="0" applyBorder="0" applyAlignment="0" applyProtection="0"/>
    <xf numFmtId="0" fontId="46" fillId="0" borderId="0" applyNumberFormat="0" applyFill="0" applyBorder="0" applyAlignment="0" applyProtection="0"/>
    <xf numFmtId="0" fontId="44" fillId="0" borderId="0" applyNumberFormat="0" applyBorder="0" applyProtection="0"/>
    <xf numFmtId="0" fontId="44" fillId="0" borderId="0" applyNumberFormat="0" applyBorder="0" applyProtection="0"/>
    <xf numFmtId="0" fontId="44" fillId="0" borderId="0" applyNumberFormat="0" applyBorder="0" applyProtection="0"/>
    <xf numFmtId="0" fontId="49" fillId="0" borderId="0" applyNumberFormat="0" applyFill="0" applyBorder="0" applyAlignment="0" applyProtection="0"/>
    <xf numFmtId="0" fontId="51" fillId="0" borderId="0" applyNumberForma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33" fillId="0" borderId="0"/>
    <xf numFmtId="0" fontId="26" fillId="0" borderId="0"/>
    <xf numFmtId="0" fontId="35" fillId="0" borderId="0"/>
    <xf numFmtId="0" fontId="25" fillId="0" borderId="0"/>
    <xf numFmtId="0" fontId="43" fillId="0" borderId="0"/>
    <xf numFmtId="0" fontId="24" fillId="0" borderId="0"/>
    <xf numFmtId="0" fontId="52" fillId="0" borderId="0"/>
    <xf numFmtId="9" fontId="43" fillId="0" borderId="0" applyFont="0" applyFill="0" applyBorder="0" applyAlignment="0" applyProtection="0"/>
    <xf numFmtId="0" fontId="39" fillId="0" borderId="0"/>
    <xf numFmtId="0" fontId="43" fillId="0" borderId="0"/>
    <xf numFmtId="170" fontId="43" fillId="0" borderId="0" applyFont="0" applyFill="0" applyBorder="0" applyAlignment="0" applyProtection="0"/>
    <xf numFmtId="0" fontId="53" fillId="0" borderId="0"/>
    <xf numFmtId="164" fontId="53" fillId="0" borderId="0" applyFont="0" applyFill="0" applyBorder="0" applyAlignment="0" applyProtection="0"/>
    <xf numFmtId="0" fontId="41" fillId="0" borderId="0"/>
    <xf numFmtId="0" fontId="41" fillId="0" borderId="0"/>
    <xf numFmtId="0" fontId="31" fillId="0" borderId="0"/>
    <xf numFmtId="9" fontId="31" fillId="0" borderId="0" applyFont="0" applyFill="0" applyBorder="0" applyAlignment="0" applyProtection="0"/>
    <xf numFmtId="0" fontId="23" fillId="0" borderId="0"/>
    <xf numFmtId="0" fontId="40" fillId="0" borderId="0"/>
    <xf numFmtId="0" fontId="43" fillId="0" borderId="0"/>
    <xf numFmtId="0" fontId="22" fillId="0" borderId="0"/>
    <xf numFmtId="0" fontId="40" fillId="0" borderId="0"/>
    <xf numFmtId="0" fontId="21" fillId="0" borderId="0"/>
    <xf numFmtId="164" fontId="21" fillId="0" borderId="0" applyFont="0" applyFill="0" applyBorder="0" applyAlignment="0" applyProtection="0"/>
    <xf numFmtId="0" fontId="62" fillId="0" borderId="0" applyNumberFormat="0" applyFill="0" applyBorder="0" applyAlignment="0" applyProtection="0"/>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0" fontId="66" fillId="13" borderId="0" applyNumberFormat="0" applyBorder="0" applyAlignment="0" applyProtection="0"/>
    <xf numFmtId="0" fontId="67" fillId="14" borderId="0" applyNumberFormat="0" applyBorder="0" applyAlignment="0" applyProtection="0"/>
    <xf numFmtId="0" fontId="68" fillId="15" borderId="0" applyNumberFormat="0" applyBorder="0" applyAlignment="0" applyProtection="0"/>
    <xf numFmtId="0" fontId="69" fillId="16" borderId="25" applyNumberFormat="0" applyAlignment="0" applyProtection="0"/>
    <xf numFmtId="0" fontId="70" fillId="17" borderId="26" applyNumberFormat="0" applyAlignment="0" applyProtection="0"/>
    <xf numFmtId="0" fontId="71" fillId="17" borderId="25" applyNumberFormat="0" applyAlignment="0" applyProtection="0"/>
    <xf numFmtId="0" fontId="72" fillId="0" borderId="27" applyNumberFormat="0" applyFill="0" applyAlignment="0" applyProtection="0"/>
    <xf numFmtId="0" fontId="73" fillId="18" borderId="14"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29" applyNumberFormat="0" applyFill="0" applyAlignment="0" applyProtection="0"/>
    <xf numFmtId="0" fontId="77"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77" fillId="35" borderId="0" applyNumberFormat="0" applyBorder="0" applyAlignment="0" applyProtection="0"/>
    <xf numFmtId="0" fontId="77"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77" fillId="39" borderId="0" applyNumberFormat="0" applyBorder="0" applyAlignment="0" applyProtection="0"/>
    <xf numFmtId="0" fontId="77"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77" fillId="43" borderId="0" applyNumberFormat="0" applyBorder="0" applyAlignment="0" applyProtection="0"/>
    <xf numFmtId="0" fontId="18" fillId="0" borderId="0"/>
    <xf numFmtId="0" fontId="18" fillId="19" borderId="28" applyNumberFormat="0" applyFont="0" applyAlignment="0" applyProtection="0"/>
    <xf numFmtId="0" fontId="17" fillId="0" borderId="0"/>
    <xf numFmtId="0" fontId="20" fillId="0" borderId="0"/>
    <xf numFmtId="0" fontId="16" fillId="0" borderId="0"/>
    <xf numFmtId="9" fontId="16" fillId="0" borderId="0" applyFont="0" applyFill="0" applyBorder="0" applyAlignment="0" applyProtection="0"/>
    <xf numFmtId="0" fontId="16" fillId="0" borderId="0"/>
    <xf numFmtId="0" fontId="15" fillId="0" borderId="0"/>
    <xf numFmtId="0" fontId="15" fillId="0" borderId="0"/>
    <xf numFmtId="0" fontId="14" fillId="0" borderId="0"/>
    <xf numFmtId="9" fontId="14" fillId="0" borderId="0" applyFont="0" applyFill="0" applyBorder="0" applyAlignment="0" applyProtection="0"/>
    <xf numFmtId="0" fontId="19" fillId="0" borderId="0"/>
    <xf numFmtId="0" fontId="37" fillId="0" borderId="0">
      <alignment vertical="center"/>
    </xf>
    <xf numFmtId="170" fontId="37" fillId="0" borderId="0" applyFont="0" applyFill="0" applyBorder="0" applyAlignment="0" applyProtection="0"/>
    <xf numFmtId="0" fontId="91" fillId="0" borderId="0"/>
    <xf numFmtId="9" fontId="37" fillId="0" borderId="0" applyFont="0" applyFill="0" applyBorder="0" applyAlignment="0" applyProtection="0"/>
    <xf numFmtId="0" fontId="37" fillId="0" borderId="0">
      <alignment vertical="center"/>
    </xf>
    <xf numFmtId="0" fontId="37" fillId="0" borderId="0">
      <alignment vertical="center"/>
    </xf>
    <xf numFmtId="0" fontId="38" fillId="0" borderId="0"/>
    <xf numFmtId="0" fontId="33" fillId="0" borderId="0"/>
    <xf numFmtId="4" fontId="92" fillId="45" borderId="30" applyNumberFormat="0" applyProtection="0">
      <alignment vertical="center"/>
    </xf>
    <xf numFmtId="0" fontId="38" fillId="0" borderId="0"/>
    <xf numFmtId="0" fontId="93" fillId="0" borderId="0" applyNumberFormat="0" applyFill="0" applyBorder="0" applyAlignment="0" applyProtection="0">
      <alignment vertical="top"/>
      <protection locked="0"/>
    </xf>
    <xf numFmtId="0" fontId="37" fillId="0" borderId="0">
      <alignment vertical="center"/>
    </xf>
    <xf numFmtId="0" fontId="37" fillId="0" borderId="0">
      <alignment vertical="center"/>
    </xf>
    <xf numFmtId="0" fontId="37" fillId="0" borderId="0">
      <alignment vertical="center"/>
    </xf>
    <xf numFmtId="0" fontId="38" fillId="0" borderId="0"/>
    <xf numFmtId="0" fontId="38" fillId="0" borderId="0"/>
    <xf numFmtId="0" fontId="38" fillId="0" borderId="0"/>
    <xf numFmtId="0" fontId="54" fillId="0" borderId="0"/>
    <xf numFmtId="0" fontId="37" fillId="0" borderId="0">
      <alignment vertical="center"/>
    </xf>
    <xf numFmtId="0" fontId="38" fillId="0" borderId="0"/>
    <xf numFmtId="0" fontId="33" fillId="0" borderId="0"/>
    <xf numFmtId="9" fontId="33" fillId="0" borderId="0" applyFont="0" applyFill="0" applyBorder="0" applyAlignment="0" applyProtection="0"/>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0" fontId="38" fillId="0" borderId="0"/>
    <xf numFmtId="0" fontId="38" fillId="0" borderId="0"/>
    <xf numFmtId="0" fontId="38" fillId="0" borderId="0"/>
    <xf numFmtId="0" fontId="13" fillId="0" borderId="0"/>
    <xf numFmtId="9" fontId="1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7" fillId="0" borderId="0">
      <alignment vertical="center"/>
    </xf>
    <xf numFmtId="0" fontId="37" fillId="0" borderId="0">
      <alignment vertical="center"/>
    </xf>
    <xf numFmtId="0" fontId="38" fillId="0" borderId="0"/>
    <xf numFmtId="0" fontId="38" fillId="0" borderId="0"/>
    <xf numFmtId="0" fontId="37" fillId="0" borderId="0">
      <alignment vertical="center"/>
    </xf>
    <xf numFmtId="9" fontId="37" fillId="0" borderId="0" applyFont="0" applyFill="0" applyBorder="0" applyAlignment="0" applyProtection="0"/>
    <xf numFmtId="0" fontId="37" fillId="0" borderId="0">
      <alignment vertical="center"/>
    </xf>
    <xf numFmtId="0" fontId="37" fillId="0" borderId="0">
      <alignment vertical="center"/>
    </xf>
    <xf numFmtId="0" fontId="38" fillId="0" borderId="0"/>
    <xf numFmtId="0" fontId="38" fillId="0" borderId="0"/>
    <xf numFmtId="0" fontId="38" fillId="0" borderId="0"/>
    <xf numFmtId="0" fontId="37" fillId="0" borderId="0">
      <alignment vertical="center"/>
    </xf>
    <xf numFmtId="0" fontId="38" fillId="0" borderId="0"/>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9" fontId="38" fillId="0" borderId="0" applyFont="0" applyFill="0" applyBorder="0" applyAlignment="0" applyProtection="0"/>
    <xf numFmtId="0" fontId="90" fillId="0" borderId="0"/>
    <xf numFmtId="9" fontId="90" fillId="0" borderId="0" applyFont="0" applyFill="0" applyBorder="0" applyAlignment="0" applyProtection="0"/>
    <xf numFmtId="0" fontId="90" fillId="0" borderId="0"/>
    <xf numFmtId="0" fontId="94" fillId="0" borderId="0"/>
    <xf numFmtId="0" fontId="38" fillId="0" borderId="0"/>
    <xf numFmtId="0" fontId="37" fillId="0" borderId="0">
      <alignment vertical="center"/>
    </xf>
    <xf numFmtId="0" fontId="37" fillId="0" borderId="0">
      <alignment vertical="center"/>
    </xf>
    <xf numFmtId="0" fontId="37" fillId="0" borderId="0">
      <alignment vertical="center"/>
    </xf>
    <xf numFmtId="0" fontId="38" fillId="0" borderId="0"/>
    <xf numFmtId="0" fontId="33" fillId="0" borderId="0"/>
    <xf numFmtId="0" fontId="94"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0" fontId="38" fillId="0" borderId="0"/>
    <xf numFmtId="0" fontId="33" fillId="0" borderId="0"/>
    <xf numFmtId="9" fontId="33" fillId="0" borderId="0" applyFont="0" applyFill="0" applyBorder="0" applyAlignment="0" applyProtection="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94"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90" fillId="0" borderId="0"/>
    <xf numFmtId="9" fontId="90"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90" fillId="0" borderId="0"/>
    <xf numFmtId="9" fontId="90"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90" fillId="0" borderId="0"/>
    <xf numFmtId="9" fontId="90" fillId="0" borderId="0" applyFont="0" applyFill="0" applyBorder="0" applyAlignment="0" applyProtection="0"/>
    <xf numFmtId="0" fontId="38" fillId="0" borderId="0"/>
    <xf numFmtId="0" fontId="37" fillId="0" borderId="0" applyFont="0" applyFill="0" applyBorder="0" applyAlignment="0" applyProtection="0"/>
    <xf numFmtId="0" fontId="13"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37" fillId="0" borderId="0">
      <alignment vertical="center"/>
    </xf>
    <xf numFmtId="0" fontId="37" fillId="0" borderId="0">
      <alignment vertical="center"/>
    </xf>
    <xf numFmtId="0" fontId="37" fillId="0" borderId="0">
      <alignment vertical="center"/>
    </xf>
    <xf numFmtId="0" fontId="38" fillId="0" borderId="0"/>
    <xf numFmtId="0" fontId="33" fillId="0" borderId="0"/>
    <xf numFmtId="0" fontId="38"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3" fillId="0" borderId="0"/>
    <xf numFmtId="9" fontId="33" fillId="0" borderId="0" applyFont="0" applyFill="0" applyBorder="0" applyAlignment="0" applyProtection="0"/>
    <xf numFmtId="0" fontId="38" fillId="0" borderId="0"/>
    <xf numFmtId="0" fontId="38" fillId="0" borderId="0"/>
    <xf numFmtId="0" fontId="38"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9" fontId="95"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pplyNumberFormat="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13" fillId="0" borderId="0"/>
    <xf numFmtId="0" fontId="90" fillId="0" borderId="0"/>
    <xf numFmtId="9" fontId="90" fillId="0" borderId="0" applyFont="0" applyFill="0" applyBorder="0" applyAlignment="0" applyProtection="0"/>
    <xf numFmtId="0" fontId="33" fillId="0" borderId="0"/>
    <xf numFmtId="0" fontId="38" fillId="0" borderId="0"/>
    <xf numFmtId="0" fontId="38" fillId="0" borderId="0"/>
    <xf numFmtId="0" fontId="38" fillId="0" borderId="0"/>
    <xf numFmtId="0" fontId="38" fillId="0" borderId="0"/>
    <xf numFmtId="0" fontId="33" fillId="0" borderId="0"/>
    <xf numFmtId="9" fontId="33" fillId="0" borderId="0" applyFont="0" applyFill="0" applyBorder="0" applyAlignment="0" applyProtection="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3" fillId="0" borderId="0"/>
    <xf numFmtId="0" fontId="33" fillId="0" borderId="0"/>
    <xf numFmtId="0" fontId="33"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9" fontId="90"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3" fillId="0" borderId="0"/>
    <xf numFmtId="0" fontId="38" fillId="0" borderId="0"/>
    <xf numFmtId="0" fontId="38" fillId="0" borderId="0"/>
    <xf numFmtId="0" fontId="33" fillId="0" borderId="0"/>
    <xf numFmtId="0" fontId="38" fillId="0" borderId="0"/>
    <xf numFmtId="0" fontId="33" fillId="0" borderId="0"/>
    <xf numFmtId="0" fontId="33"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9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9" fontId="33"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3" fillId="0" borderId="0"/>
    <xf numFmtId="0" fontId="38" fillId="0" borderId="0"/>
    <xf numFmtId="0" fontId="38" fillId="0" borderId="0"/>
    <xf numFmtId="0" fontId="38" fillId="0" borderId="0"/>
    <xf numFmtId="0" fontId="38" fillId="0" borderId="0"/>
    <xf numFmtId="0" fontId="33" fillId="0" borderId="0"/>
    <xf numFmtId="0" fontId="38" fillId="0" borderId="0"/>
    <xf numFmtId="9" fontId="33" fillId="0" borderId="0" applyFont="0" applyFill="0" applyBorder="0" applyAlignment="0" applyProtection="0"/>
    <xf numFmtId="0" fontId="38" fillId="0" borderId="0"/>
    <xf numFmtId="0" fontId="38" fillId="0" borderId="0"/>
    <xf numFmtId="9" fontId="37" fillId="0" borderId="0" applyFont="0" applyFill="0" applyBorder="0" applyAlignment="0" applyProtection="0"/>
    <xf numFmtId="0" fontId="37" fillId="0" borderId="0">
      <alignment vertical="center"/>
    </xf>
    <xf numFmtId="0" fontId="38" fillId="0" borderId="0"/>
    <xf numFmtId="0" fontId="38" fillId="0" borderId="0"/>
    <xf numFmtId="0" fontId="37" fillId="0" borderId="0">
      <alignment vertical="center"/>
    </xf>
    <xf numFmtId="0" fontId="37" fillId="0" borderId="0">
      <alignment vertical="center"/>
    </xf>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7" fillId="0" borderId="0">
      <alignment vertical="center"/>
    </xf>
    <xf numFmtId="0" fontId="38" fillId="0" borderId="0"/>
    <xf numFmtId="170" fontId="37" fillId="0" borderId="0" applyFont="0" applyFill="0" applyBorder="0" applyAlignment="0" applyProtection="0"/>
    <xf numFmtId="9" fontId="37" fillId="0" borderId="0" applyFont="0" applyFill="0" applyBorder="0" applyAlignment="0" applyProtection="0"/>
    <xf numFmtId="0" fontId="37" fillId="0" borderId="0">
      <alignment vertical="center"/>
    </xf>
    <xf numFmtId="0" fontId="38" fillId="0" borderId="0"/>
    <xf numFmtId="0" fontId="38" fillId="0" borderId="0"/>
    <xf numFmtId="0" fontId="37" fillId="0" borderId="0">
      <alignment vertical="center"/>
    </xf>
    <xf numFmtId="0" fontId="37" fillId="0" borderId="0">
      <alignment vertical="center"/>
    </xf>
    <xf numFmtId="0" fontId="38" fillId="0" borderId="0"/>
    <xf numFmtId="9" fontId="37" fillId="0" borderId="0" applyFont="0" applyFill="0" applyBorder="0" applyAlignment="0" applyProtection="0"/>
    <xf numFmtId="0" fontId="38" fillId="0" borderId="0"/>
    <xf numFmtId="0" fontId="38" fillId="0" borderId="0"/>
    <xf numFmtId="0" fontId="37" fillId="0" borderId="0">
      <alignment vertical="center"/>
    </xf>
    <xf numFmtId="170" fontId="37" fillId="0" borderId="0" applyFont="0" applyFill="0" applyBorder="0" applyAlignment="0" applyProtection="0"/>
    <xf numFmtId="0" fontId="37" fillId="0" borderId="0">
      <alignment vertical="center"/>
    </xf>
    <xf numFmtId="0" fontId="38" fillId="0" borderId="0"/>
    <xf numFmtId="0" fontId="38" fillId="0" borderId="0"/>
    <xf numFmtId="0" fontId="38" fillId="0" borderId="0"/>
    <xf numFmtId="0" fontId="37" fillId="0" borderId="0">
      <alignment vertical="center"/>
    </xf>
    <xf numFmtId="9" fontId="37" fillId="0" borderId="0" applyFont="0" applyFill="0" applyBorder="0" applyAlignment="0" applyProtection="0"/>
    <xf numFmtId="0" fontId="37" fillId="0" borderId="0">
      <alignment vertical="center"/>
    </xf>
    <xf numFmtId="9" fontId="37" fillId="0" borderId="0" applyFont="0" applyFill="0" applyBorder="0" applyAlignment="0" applyProtection="0"/>
    <xf numFmtId="0" fontId="38" fillId="0" borderId="0"/>
    <xf numFmtId="170" fontId="37" fillId="0" borderId="0" applyFont="0" applyFill="0" applyBorder="0" applyAlignment="0" applyProtection="0"/>
    <xf numFmtId="0" fontId="37" fillId="0" borderId="0">
      <alignment vertical="center"/>
    </xf>
    <xf numFmtId="0" fontId="38" fillId="0" borderId="0"/>
    <xf numFmtId="9" fontId="37" fillId="0" borderId="0" applyFont="0" applyFill="0" applyBorder="0" applyAlignment="0" applyProtection="0"/>
    <xf numFmtId="0" fontId="37" fillId="0" borderId="0">
      <alignment vertical="center"/>
    </xf>
    <xf numFmtId="0" fontId="38" fillId="0" borderId="0"/>
    <xf numFmtId="0" fontId="37" fillId="0" borderId="0">
      <alignment vertical="center"/>
    </xf>
    <xf numFmtId="0" fontId="38" fillId="0" borderId="0"/>
    <xf numFmtId="170"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8" fillId="0" borderId="0"/>
    <xf numFmtId="9" fontId="37" fillId="0" borderId="0" applyFont="0" applyFill="0" applyBorder="0" applyAlignment="0" applyProtection="0"/>
    <xf numFmtId="9" fontId="37" fillId="0" borderId="0" applyFont="0" applyFill="0" applyBorder="0" applyAlignment="0" applyProtection="0"/>
    <xf numFmtId="0" fontId="37" fillId="0" borderId="0">
      <alignment vertical="center"/>
    </xf>
    <xf numFmtId="0" fontId="38" fillId="0" borderId="0"/>
    <xf numFmtId="0" fontId="38" fillId="0" borderId="0"/>
    <xf numFmtId="0" fontId="38" fillId="0" borderId="0"/>
    <xf numFmtId="0" fontId="37" fillId="0" borderId="0">
      <alignment vertical="center"/>
    </xf>
    <xf numFmtId="0" fontId="37" fillId="0" borderId="0">
      <alignment vertical="center"/>
    </xf>
    <xf numFmtId="170" fontId="37" fillId="0" borderId="0" applyFont="0" applyFill="0" applyBorder="0" applyAlignment="0" applyProtection="0"/>
    <xf numFmtId="9" fontId="37" fillId="0" borderId="0" applyFont="0" applyFill="0" applyBorder="0" applyAlignment="0" applyProtection="0"/>
    <xf numFmtId="0" fontId="38" fillId="0" borderId="0"/>
    <xf numFmtId="0" fontId="38" fillId="0" borderId="0"/>
    <xf numFmtId="170" fontId="37" fillId="0" borderId="0" applyFont="0" applyFill="0" applyBorder="0" applyAlignment="0" applyProtection="0"/>
    <xf numFmtId="9" fontId="37" fillId="0" borderId="0" applyFont="0" applyFill="0" applyBorder="0" applyAlignment="0" applyProtection="0"/>
    <xf numFmtId="0" fontId="37" fillId="0" borderId="0">
      <alignment vertical="center"/>
    </xf>
    <xf numFmtId="0" fontId="38" fillId="0" borderId="0"/>
    <xf numFmtId="0" fontId="38" fillId="0" borderId="0"/>
    <xf numFmtId="0" fontId="37" fillId="0" borderId="0">
      <alignment vertical="center"/>
    </xf>
    <xf numFmtId="9" fontId="37" fillId="0" borderId="0" applyFont="0" applyFill="0" applyBorder="0" applyAlignment="0" applyProtection="0"/>
    <xf numFmtId="0" fontId="38" fillId="0" borderId="0"/>
    <xf numFmtId="0" fontId="38" fillId="0" borderId="0"/>
    <xf numFmtId="0" fontId="37" fillId="0" borderId="0">
      <alignment vertical="center"/>
    </xf>
    <xf numFmtId="170" fontId="37" fillId="0" borderId="0" applyFont="0" applyFill="0" applyBorder="0" applyAlignment="0" applyProtection="0"/>
    <xf numFmtId="0" fontId="37" fillId="0" borderId="0">
      <alignment vertical="center"/>
    </xf>
    <xf numFmtId="0" fontId="38" fillId="0" borderId="0"/>
    <xf numFmtId="0" fontId="38" fillId="0" borderId="0"/>
    <xf numFmtId="0" fontId="37" fillId="0" borderId="0">
      <alignment vertical="center"/>
    </xf>
    <xf numFmtId="0" fontId="37" fillId="0" borderId="0">
      <alignment vertical="center"/>
    </xf>
    <xf numFmtId="0" fontId="37" fillId="0" borderId="0">
      <alignment vertical="center"/>
    </xf>
    <xf numFmtId="0" fontId="38" fillId="0" borderId="0"/>
    <xf numFmtId="0" fontId="38" fillId="0" borderId="0"/>
    <xf numFmtId="9"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0" fontId="38" fillId="0" borderId="0"/>
    <xf numFmtId="0" fontId="38" fillId="0" borderId="0"/>
    <xf numFmtId="0" fontId="38" fillId="0" borderId="0"/>
    <xf numFmtId="0" fontId="38" fillId="0" borderId="0"/>
    <xf numFmtId="9" fontId="37" fillId="0" borderId="0" applyFont="0" applyFill="0" applyBorder="0" applyAlignment="0" applyProtection="0"/>
    <xf numFmtId="0" fontId="38" fillId="0" borderId="0"/>
    <xf numFmtId="0" fontId="38" fillId="0" borderId="0"/>
    <xf numFmtId="0" fontId="37" fillId="0" borderId="0">
      <alignment vertical="center"/>
    </xf>
    <xf numFmtId="0" fontId="38" fillId="0" borderId="0"/>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7" fillId="0" borderId="0">
      <alignment vertical="center"/>
    </xf>
    <xf numFmtId="9" fontId="37" fillId="0" borderId="0" applyFont="0" applyFill="0" applyBorder="0" applyAlignment="0" applyProtection="0"/>
    <xf numFmtId="0" fontId="38" fillId="0" borderId="0"/>
    <xf numFmtId="0" fontId="38" fillId="0" borderId="0"/>
    <xf numFmtId="0" fontId="38" fillId="0" borderId="0"/>
    <xf numFmtId="0" fontId="38" fillId="0" borderId="0"/>
    <xf numFmtId="0" fontId="37" fillId="0" borderId="0">
      <alignment vertical="center"/>
    </xf>
    <xf numFmtId="0" fontId="33" fillId="0" borderId="0"/>
    <xf numFmtId="0" fontId="37" fillId="0" borderId="0">
      <alignment vertical="center"/>
    </xf>
    <xf numFmtId="0" fontId="37" fillId="0" borderId="0">
      <alignment vertical="center"/>
    </xf>
    <xf numFmtId="0" fontId="37" fillId="0" borderId="0">
      <alignment vertical="center"/>
    </xf>
    <xf numFmtId="0" fontId="13" fillId="0" borderId="0"/>
    <xf numFmtId="0" fontId="37" fillId="0" borderId="0"/>
    <xf numFmtId="0" fontId="37" fillId="0" borderId="0">
      <alignment vertical="center"/>
    </xf>
    <xf numFmtId="0" fontId="37" fillId="0" borderId="0" applyNumberFormat="0" applyFont="0" applyFill="0" applyBorder="0" applyAlignment="0" applyProtection="0"/>
    <xf numFmtId="0" fontId="13" fillId="0" borderId="0"/>
    <xf numFmtId="0" fontId="37" fillId="0" borderId="0">
      <alignment vertical="center"/>
    </xf>
    <xf numFmtId="9" fontId="95" fillId="0" borderId="0" applyFont="0" applyFill="0" applyBorder="0" applyAlignment="0" applyProtection="0"/>
    <xf numFmtId="0" fontId="38" fillId="0" borderId="0"/>
    <xf numFmtId="0" fontId="38"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38"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38"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38"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38"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13" fillId="0" borderId="0"/>
    <xf numFmtId="0" fontId="13" fillId="0" borderId="0"/>
    <xf numFmtId="0" fontId="37" fillId="0" borderId="0" applyNumberFormat="0" applyFont="0" applyFill="0" applyBorder="0" applyAlignment="0" applyProtection="0"/>
    <xf numFmtId="9" fontId="95" fillId="0" borderId="0" applyFont="0" applyFill="0" applyBorder="0" applyAlignment="0" applyProtection="0"/>
    <xf numFmtId="0" fontId="33" fillId="0" borderId="0"/>
    <xf numFmtId="0" fontId="37" fillId="0" borderId="0"/>
    <xf numFmtId="0" fontId="96" fillId="0" borderId="0" applyNumberFormat="0" applyFill="0" applyBorder="0" applyAlignment="0" applyProtection="0"/>
    <xf numFmtId="0" fontId="97" fillId="0" borderId="22" applyNumberFormat="0" applyFill="0" applyAlignment="0" applyProtection="0"/>
    <xf numFmtId="0" fontId="98" fillId="0" borderId="23" applyNumberFormat="0" applyFill="0" applyAlignment="0" applyProtection="0"/>
    <xf numFmtId="0" fontId="99" fillId="0" borderId="24" applyNumberFormat="0" applyFill="0" applyAlignment="0" applyProtection="0"/>
    <xf numFmtId="0" fontId="99" fillId="0" borderId="0" applyNumberFormat="0" applyFill="0" applyBorder="0" applyAlignment="0" applyProtection="0"/>
    <xf numFmtId="0" fontId="100" fillId="13" borderId="0" applyNumberFormat="0" applyBorder="0" applyAlignment="0" applyProtection="0"/>
    <xf numFmtId="0" fontId="101" fillId="14" borderId="0" applyNumberFormat="0" applyBorder="0" applyAlignment="0" applyProtection="0"/>
    <xf numFmtId="0" fontId="102" fillId="15" borderId="0" applyNumberFormat="0" applyBorder="0" applyAlignment="0" applyProtection="0"/>
    <xf numFmtId="0" fontId="103" fillId="16" borderId="25" applyNumberFormat="0" applyAlignment="0" applyProtection="0"/>
    <xf numFmtId="0" fontId="104" fillId="17" borderId="26" applyNumberFormat="0" applyAlignment="0" applyProtection="0"/>
    <xf numFmtId="0" fontId="105" fillId="17" borderId="25" applyNumberFormat="0" applyAlignment="0" applyProtection="0"/>
    <xf numFmtId="0" fontId="106" fillId="0" borderId="27" applyNumberFormat="0" applyFill="0" applyAlignment="0" applyProtection="0"/>
    <xf numFmtId="0" fontId="107" fillId="18" borderId="14" applyNumberFormat="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10" fillId="0" borderId="29" applyNumberFormat="0" applyFill="0" applyAlignment="0" applyProtection="0"/>
    <xf numFmtId="0" fontId="11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11" fillId="23" borderId="0" applyNumberFormat="0" applyBorder="0" applyAlignment="0" applyProtection="0"/>
    <xf numFmtId="0" fontId="11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11" fillId="27" borderId="0" applyNumberFormat="0" applyBorder="0" applyAlignment="0" applyProtection="0"/>
    <xf numFmtId="0" fontId="11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11" fillId="31" borderId="0" applyNumberFormat="0" applyBorder="0" applyAlignment="0" applyProtection="0"/>
    <xf numFmtId="0" fontId="11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11" fillId="35" borderId="0" applyNumberFormat="0" applyBorder="0" applyAlignment="0" applyProtection="0"/>
    <xf numFmtId="0" fontId="111"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11" fillId="43" borderId="0" applyNumberFormat="0" applyBorder="0" applyAlignment="0" applyProtection="0"/>
    <xf numFmtId="0" fontId="33" fillId="19" borderId="28" applyNumberFormat="0" applyFont="0" applyAlignment="0" applyProtection="0"/>
    <xf numFmtId="0" fontId="33" fillId="19" borderId="28" applyNumberFormat="0" applyFont="0" applyAlignment="0" applyProtection="0"/>
    <xf numFmtId="0" fontId="33" fillId="19" borderId="28" applyNumberFormat="0" applyFont="0" applyAlignment="0" applyProtection="0"/>
    <xf numFmtId="0" fontId="33" fillId="19" borderId="28" applyNumberFormat="0" applyFont="0" applyAlignment="0" applyProtection="0"/>
    <xf numFmtId="0" fontId="33" fillId="19" borderId="28" applyNumberFormat="0" applyFont="0" applyAlignment="0" applyProtection="0"/>
    <xf numFmtId="0" fontId="33" fillId="19" borderId="28" applyNumberFormat="0" applyFont="0" applyAlignment="0" applyProtection="0"/>
    <xf numFmtId="0" fontId="33" fillId="0" borderId="0"/>
    <xf numFmtId="0" fontId="3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9" fillId="0" borderId="0"/>
    <xf numFmtId="0" fontId="39" fillId="0" borderId="0"/>
    <xf numFmtId="0" fontId="90" fillId="0" borderId="0"/>
    <xf numFmtId="9" fontId="90" fillId="0" borderId="0" applyFont="0" applyFill="0" applyBorder="0" applyAlignment="0" applyProtection="0"/>
    <xf numFmtId="0" fontId="37" fillId="0" borderId="0">
      <alignment vertical="center"/>
    </xf>
    <xf numFmtId="9" fontId="37" fillId="0" borderId="0" applyFont="0" applyFill="0" applyBorder="0" applyAlignment="0" applyProtection="0"/>
    <xf numFmtId="9" fontId="37" fillId="0" borderId="0" applyFont="0" applyFill="0" applyBorder="0" applyAlignment="0" applyProtection="0"/>
    <xf numFmtId="0" fontId="37" fillId="0" borderId="0">
      <alignment vertical="center"/>
    </xf>
    <xf numFmtId="9" fontId="37" fillId="0" borderId="0" applyFont="0" applyFill="0" applyBorder="0" applyAlignment="0" applyProtection="0"/>
    <xf numFmtId="0" fontId="113" fillId="58" borderId="0" applyNumberFormat="0" applyBorder="0" applyAlignment="0" applyProtection="0"/>
    <xf numFmtId="0" fontId="112" fillId="52" borderId="0" applyNumberFormat="0" applyBorder="0" applyAlignment="0" applyProtection="0"/>
    <xf numFmtId="0" fontId="113" fillId="54" borderId="0" applyNumberFormat="0" applyBorder="0" applyAlignment="0" applyProtection="0"/>
    <xf numFmtId="0" fontId="37" fillId="0" borderId="0"/>
    <xf numFmtId="0" fontId="118" fillId="48" borderId="0" applyNumberFormat="0" applyBorder="0" applyAlignment="0" applyProtection="0"/>
    <xf numFmtId="0" fontId="37" fillId="0" borderId="0"/>
    <xf numFmtId="0" fontId="112" fillId="66" borderId="37" applyNumberFormat="0" applyFont="0" applyAlignment="0" applyProtection="0"/>
    <xf numFmtId="0" fontId="37" fillId="0" borderId="0"/>
    <xf numFmtId="0" fontId="127" fillId="0" borderId="39" applyNumberFormat="0" applyFill="0" applyAlignment="0" applyProtection="0"/>
    <xf numFmtId="0" fontId="37" fillId="0" borderId="0"/>
    <xf numFmtId="0" fontId="37" fillId="0" borderId="0"/>
    <xf numFmtId="0" fontId="37" fillId="0" borderId="0"/>
    <xf numFmtId="0" fontId="116" fillId="65" borderId="32" applyNumberFormat="0" applyAlignment="0" applyProtection="0"/>
    <xf numFmtId="0" fontId="39" fillId="0" borderId="0"/>
    <xf numFmtId="0" fontId="37" fillId="0" borderId="0"/>
    <xf numFmtId="9" fontId="37" fillId="0" borderId="0" applyFont="0" applyFill="0" applyBorder="0" applyAlignment="0" applyProtection="0"/>
    <xf numFmtId="0" fontId="113" fillId="57" borderId="0" applyNumberFormat="0" applyBorder="0" applyAlignment="0" applyProtection="0"/>
    <xf numFmtId="0" fontId="112" fillId="48" borderId="0" applyNumberFormat="0" applyBorder="0" applyAlignment="0" applyProtection="0"/>
    <xf numFmtId="0" fontId="113" fillId="62" borderId="0" applyNumberFormat="0" applyBorder="0" applyAlignment="0" applyProtection="0"/>
    <xf numFmtId="0" fontId="37" fillId="0" borderId="0"/>
    <xf numFmtId="0" fontId="37" fillId="0" borderId="0"/>
    <xf numFmtId="0" fontId="112" fillId="52" borderId="0" applyNumberFormat="0" applyBorder="0" applyAlignment="0" applyProtection="0"/>
    <xf numFmtId="0" fontId="37" fillId="0" borderId="0"/>
    <xf numFmtId="0" fontId="122" fillId="51" borderId="31" applyNumberFormat="0" applyAlignment="0" applyProtection="0"/>
    <xf numFmtId="0" fontId="37" fillId="0" borderId="0"/>
    <xf numFmtId="0" fontId="112" fillId="54" borderId="0" applyNumberFormat="0" applyBorder="0" applyAlignment="0" applyProtection="0"/>
    <xf numFmtId="0" fontId="37" fillId="0" borderId="0"/>
    <xf numFmtId="0" fontId="123" fillId="0" borderId="36" applyNumberFormat="0" applyFill="0" applyAlignment="0" applyProtection="0"/>
    <xf numFmtId="0" fontId="37" fillId="0" borderId="0"/>
    <xf numFmtId="0" fontId="37" fillId="0" borderId="0"/>
    <xf numFmtId="0" fontId="37" fillId="0" borderId="0"/>
    <xf numFmtId="0" fontId="112" fillId="49" borderId="0" applyNumberFormat="0" applyBorder="0" applyAlignment="0" applyProtection="0"/>
    <xf numFmtId="0" fontId="112" fillId="47" borderId="0" applyNumberFormat="0" applyBorder="0" applyAlignment="0" applyProtection="0"/>
    <xf numFmtId="0" fontId="125" fillId="64" borderId="38" applyNumberFormat="0" applyAlignment="0" applyProtection="0"/>
    <xf numFmtId="0" fontId="121" fillId="0" borderId="35" applyNumberFormat="0" applyFill="0" applyAlignment="0" applyProtection="0"/>
    <xf numFmtId="0" fontId="112" fillId="55" borderId="0" applyNumberFormat="0" applyBorder="0" applyAlignment="0" applyProtection="0"/>
    <xf numFmtId="0" fontId="119" fillId="0" borderId="33" applyNumberFormat="0" applyFill="0" applyAlignment="0" applyProtection="0"/>
    <xf numFmtId="0" fontId="112" fillId="53" borderId="0" applyNumberFormat="0" applyBorder="0" applyAlignment="0" applyProtection="0"/>
    <xf numFmtId="0" fontId="37" fillId="0" borderId="0"/>
    <xf numFmtId="0" fontId="113" fillId="60" borderId="0" applyNumberFormat="0" applyBorder="0" applyAlignment="0" applyProtection="0"/>
    <xf numFmtId="0" fontId="115" fillId="64" borderId="31" applyNumberFormat="0" applyAlignment="0" applyProtection="0"/>
    <xf numFmtId="0" fontId="112" fillId="50" borderId="0" applyNumberFormat="0" applyBorder="0" applyAlignment="0" applyProtection="0"/>
    <xf numFmtId="0" fontId="120" fillId="0" borderId="34" applyNumberFormat="0" applyFill="0" applyAlignment="0" applyProtection="0"/>
    <xf numFmtId="0" fontId="121" fillId="0" borderId="0" applyNumberFormat="0" applyFill="0" applyBorder="0" applyAlignment="0" applyProtection="0"/>
    <xf numFmtId="0" fontId="113" fillId="58" borderId="0" applyNumberFormat="0" applyBorder="0" applyAlignment="0" applyProtection="0"/>
    <xf numFmtId="0" fontId="113" fillId="53" borderId="0" applyNumberFormat="0" applyBorder="0" applyAlignment="0" applyProtection="0"/>
    <xf numFmtId="0" fontId="37" fillId="0" borderId="0"/>
    <xf numFmtId="0" fontId="37" fillId="0" borderId="0"/>
    <xf numFmtId="0" fontId="37" fillId="0" borderId="0"/>
    <xf numFmtId="9" fontId="37" fillId="0" borderId="0" applyFont="0" applyFill="0" applyBorder="0" applyAlignment="0" applyProtection="0"/>
    <xf numFmtId="9" fontId="37" fillId="0" borderId="0" applyFont="0" applyFill="0" applyBorder="0" applyAlignment="0" applyProtection="0"/>
    <xf numFmtId="0" fontId="37" fillId="0" borderId="0"/>
    <xf numFmtId="0" fontId="126" fillId="0" borderId="0" applyNumberFormat="0" applyFill="0" applyBorder="0" applyAlignment="0" applyProtection="0"/>
    <xf numFmtId="0" fontId="113" fillId="63" borderId="0" applyNumberFormat="0" applyBorder="0" applyAlignment="0" applyProtection="0"/>
    <xf numFmtId="0" fontId="37" fillId="0" borderId="0"/>
    <xf numFmtId="0" fontId="112" fillId="49" borderId="0" applyNumberFormat="0" applyBorder="0" applyAlignment="0" applyProtection="0"/>
    <xf numFmtId="0" fontId="37" fillId="0" borderId="0"/>
    <xf numFmtId="9" fontId="37" fillId="0" borderId="0" applyFont="0" applyFill="0" applyBorder="0" applyAlignment="0" applyProtection="0"/>
    <xf numFmtId="0" fontId="113" fillId="61" borderId="0" applyNumberFormat="0" applyBorder="0" applyAlignment="0" applyProtection="0"/>
    <xf numFmtId="0" fontId="117" fillId="0" borderId="0" applyNumberForma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14" fillId="47" borderId="0" applyNumberFormat="0" applyBorder="0" applyAlignment="0" applyProtection="0"/>
    <xf numFmtId="0" fontId="113" fillId="59" borderId="0" applyNumberFormat="0" applyBorder="0" applyAlignment="0" applyProtection="0"/>
    <xf numFmtId="0" fontId="113" fillId="56" borderId="0" applyNumberFormat="0" applyBorder="0" applyAlignment="0" applyProtection="0"/>
    <xf numFmtId="9" fontId="37" fillId="0" borderId="0" applyFont="0" applyFill="0" applyBorder="0" applyAlignment="0" applyProtection="0"/>
    <xf numFmtId="0" fontId="124" fillId="45" borderId="0" applyNumberFormat="0" applyBorder="0" applyAlignment="0" applyProtection="0"/>
    <xf numFmtId="0" fontId="112" fillId="46" borderId="0" applyNumberFormat="0" applyBorder="0" applyAlignment="0" applyProtection="0"/>
    <xf numFmtId="0" fontId="37" fillId="0" borderId="0"/>
    <xf numFmtId="0" fontId="19" fillId="0" borderId="0"/>
    <xf numFmtId="175" fontId="37" fillId="0" borderId="0" applyFill="0" applyBorder="0" applyAlignment="0" applyProtection="0"/>
    <xf numFmtId="0" fontId="90" fillId="0" borderId="0"/>
    <xf numFmtId="0" fontId="37" fillId="0" borderId="0">
      <alignment vertical="center"/>
    </xf>
    <xf numFmtId="170" fontId="37"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90" fillId="0" borderId="0"/>
    <xf numFmtId="9" fontId="90" fillId="0" borderId="0" applyFont="0" applyFill="0" applyBorder="0" applyAlignment="0" applyProtection="0"/>
    <xf numFmtId="0" fontId="90" fillId="0" borderId="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90" fillId="0" borderId="0"/>
    <xf numFmtId="9" fontId="90"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90" fillId="0" borderId="0"/>
    <xf numFmtId="9" fontId="90" fillId="0" borderId="0" applyFont="0" applyFill="0" applyBorder="0" applyAlignment="0" applyProtection="0"/>
    <xf numFmtId="0" fontId="90" fillId="0" borderId="0"/>
    <xf numFmtId="9" fontId="90" fillId="0" borderId="0" applyFont="0" applyFill="0" applyBorder="0" applyAlignment="0" applyProtection="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0" fontId="90" fillId="0" borderId="0"/>
    <xf numFmtId="9" fontId="90"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9" fontId="90" fillId="0" borderId="0" applyFont="0" applyFill="0" applyBorder="0" applyAlignment="0" applyProtection="0"/>
    <xf numFmtId="0" fontId="33" fillId="0" borderId="0"/>
    <xf numFmtId="0" fontId="33" fillId="0" borderId="0"/>
    <xf numFmtId="0" fontId="33" fillId="0" borderId="0"/>
    <xf numFmtId="9" fontId="33" fillId="0" borderId="0" applyFont="0" applyFill="0" applyBorder="0" applyAlignment="0" applyProtection="0"/>
    <xf numFmtId="0" fontId="33" fillId="0" borderId="0"/>
    <xf numFmtId="0" fontId="90" fillId="0" borderId="0"/>
    <xf numFmtId="9" fontId="33" fillId="0" borderId="0" applyFont="0" applyFill="0" applyBorder="0" applyAlignment="0" applyProtection="0"/>
    <xf numFmtId="0" fontId="33" fillId="0" borderId="0"/>
    <xf numFmtId="9" fontId="33" fillId="0" borderId="0" applyFont="0" applyFill="0" applyBorder="0" applyAlignment="0" applyProtection="0"/>
    <xf numFmtId="0" fontId="33" fillId="0" borderId="0"/>
    <xf numFmtId="0" fontId="33" fillId="0" borderId="0"/>
    <xf numFmtId="9" fontId="33"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9" fontId="37" fillId="0" borderId="0" applyFont="0" applyFill="0" applyBorder="0" applyAlignment="0" applyProtection="0"/>
    <xf numFmtId="0" fontId="90" fillId="0" borderId="0"/>
    <xf numFmtId="9" fontId="90" fillId="0" borderId="0" applyFont="0" applyFill="0" applyBorder="0" applyAlignment="0" applyProtection="0"/>
    <xf numFmtId="0" fontId="128" fillId="0" borderId="0" applyNumberFormat="0" applyFill="0" applyBorder="0" applyAlignment="0" applyProtection="0"/>
    <xf numFmtId="0" fontId="37" fillId="0" borderId="0"/>
    <xf numFmtId="0" fontId="113" fillId="57" borderId="0" applyNumberFormat="0" applyBorder="0" applyAlignment="0" applyProtection="0"/>
    <xf numFmtId="0" fontId="112" fillId="51" borderId="0" applyNumberFormat="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4" fillId="0" borderId="0">
      <alignment vertical="center"/>
    </xf>
    <xf numFmtId="9" fontId="37" fillId="0" borderId="0" applyFont="0" applyFill="0" applyBorder="0" applyAlignment="0" applyProtection="0"/>
    <xf numFmtId="0" fontId="90" fillId="0" borderId="0"/>
    <xf numFmtId="9" fontId="19" fillId="0" borderId="0" applyFont="0" applyFill="0" applyBorder="0" applyAlignment="0" applyProtection="0"/>
    <xf numFmtId="0" fontId="39" fillId="0" borderId="0"/>
    <xf numFmtId="0" fontId="12" fillId="0" borderId="0"/>
    <xf numFmtId="0" fontId="12" fillId="0" borderId="0"/>
    <xf numFmtId="165" fontId="37" fillId="0" borderId="0">
      <alignment vertical="center"/>
    </xf>
    <xf numFmtId="0" fontId="33" fillId="0" borderId="0"/>
    <xf numFmtId="0" fontId="37" fillId="0" borderId="0">
      <alignment vertical="center"/>
    </xf>
    <xf numFmtId="0" fontId="12" fillId="0" borderId="0"/>
    <xf numFmtId="0" fontId="11" fillId="0" borderId="0"/>
    <xf numFmtId="0" fontId="10" fillId="0" borderId="0"/>
    <xf numFmtId="0" fontId="9" fillId="0" borderId="0"/>
    <xf numFmtId="0" fontId="8" fillId="0" borderId="0"/>
    <xf numFmtId="9" fontId="8" fillId="0" borderId="0" applyFont="0" applyFill="0" applyBorder="0" applyAlignment="0" applyProtection="0"/>
    <xf numFmtId="0" fontId="7" fillId="0" borderId="0"/>
    <xf numFmtId="0" fontId="6" fillId="0" borderId="0"/>
    <xf numFmtId="0" fontId="4" fillId="0" borderId="0"/>
    <xf numFmtId="9" fontId="4" fillId="0" borderId="0" applyFont="0" applyFill="0" applyBorder="0" applyAlignment="0" applyProtection="0"/>
    <xf numFmtId="0" fontId="3" fillId="0" borderId="0"/>
    <xf numFmtId="0" fontId="33" fillId="0" borderId="0"/>
    <xf numFmtId="0" fontId="42" fillId="0" borderId="0"/>
    <xf numFmtId="0" fontId="1" fillId="0" borderId="0"/>
  </cellStyleXfs>
  <cellXfs count="753">
    <xf numFmtId="0" fontId="0" fillId="0" borderId="0" xfId="0"/>
    <xf numFmtId="0" fontId="36" fillId="0" borderId="0" xfId="4"/>
    <xf numFmtId="0" fontId="55" fillId="0" borderId="0" xfId="0" applyFont="1" applyAlignment="1">
      <alignment horizontal="center" vertical="center" wrapText="1"/>
    </xf>
    <xf numFmtId="0" fontId="55" fillId="0" borderId="0" xfId="0" applyFont="1" applyAlignment="1">
      <alignment vertical="center"/>
    </xf>
    <xf numFmtId="0" fontId="78" fillId="0" borderId="0" xfId="0" applyFont="1" applyFill="1" applyBorder="1" applyAlignment="1">
      <alignment horizontal="left" indent="3"/>
    </xf>
    <xf numFmtId="0" fontId="78" fillId="0" borderId="0" xfId="0" applyFont="1" applyFill="1" applyBorder="1" applyAlignment="1">
      <alignment horizontal="center"/>
    </xf>
    <xf numFmtId="0" fontId="78" fillId="0" borderId="0" xfId="0" applyFont="1" applyBorder="1" applyAlignment="1">
      <alignment horizontal="center"/>
    </xf>
    <xf numFmtId="0" fontId="78" fillId="0" borderId="0" xfId="0" applyFont="1" applyFill="1" applyBorder="1" applyAlignment="1">
      <alignment horizontal="left" indent="4"/>
    </xf>
    <xf numFmtId="0" fontId="78" fillId="0" borderId="0" xfId="0" applyFont="1" applyFill="1" applyBorder="1" applyAlignment="1">
      <alignment horizontal="left"/>
    </xf>
    <xf numFmtId="0" fontId="58" fillId="0" borderId="0" xfId="0" applyFont="1" applyAlignment="1">
      <alignment vertical="center"/>
    </xf>
    <xf numFmtId="0" fontId="58" fillId="0" borderId="0" xfId="0" applyFont="1"/>
    <xf numFmtId="0" fontId="58" fillId="0" borderId="0" xfId="0" applyFont="1" applyBorder="1"/>
    <xf numFmtId="0" fontId="55" fillId="0" borderId="0" xfId="0" applyFont="1" applyBorder="1" applyAlignment="1">
      <alignment vertical="center"/>
    </xf>
    <xf numFmtId="0" fontId="78" fillId="0" borderId="0" xfId="69" applyNumberFormat="1" applyFont="1" applyFill="1" applyBorder="1" applyAlignment="1" applyProtection="1">
      <alignment horizontal="center"/>
    </xf>
    <xf numFmtId="0" fontId="78" fillId="0" borderId="0" xfId="69" applyNumberFormat="1" applyFont="1" applyFill="1" applyBorder="1" applyAlignment="1" applyProtection="1"/>
    <xf numFmtId="168" fontId="78" fillId="0" borderId="0" xfId="12" applyNumberFormat="1" applyFont="1" applyFill="1" applyBorder="1" applyAlignment="1" applyProtection="1"/>
    <xf numFmtId="0" fontId="80" fillId="0" borderId="0" xfId="69" applyNumberFormat="1" applyFont="1" applyFill="1" applyBorder="1" applyAlignment="1" applyProtection="1"/>
    <xf numFmtId="0" fontId="82" fillId="10" borderId="9" xfId="69" applyFont="1" applyFill="1" applyBorder="1" applyAlignment="1">
      <alignment vertical="center"/>
    </xf>
    <xf numFmtId="0" fontId="82" fillId="10" borderId="9" xfId="69" applyFont="1" applyFill="1" applyBorder="1" applyAlignment="1">
      <alignment horizontal="center"/>
    </xf>
    <xf numFmtId="0" fontId="82" fillId="10" borderId="18" xfId="69" applyFont="1" applyFill="1" applyBorder="1" applyAlignment="1">
      <alignment vertical="center"/>
    </xf>
    <xf numFmtId="0" fontId="82" fillId="10" borderId="0" xfId="69" applyFont="1" applyFill="1" applyBorder="1" applyAlignment="1">
      <alignment vertical="center"/>
    </xf>
    <xf numFmtId="0" fontId="78" fillId="9" borderId="9" xfId="69" applyFont="1" applyFill="1" applyBorder="1" applyAlignment="1">
      <alignment vertical="center"/>
    </xf>
    <xf numFmtId="0" fontId="83" fillId="9" borderId="18" xfId="69" applyFont="1" applyFill="1" applyBorder="1" applyAlignment="1">
      <alignment horizontal="center" vertical="center"/>
    </xf>
    <xf numFmtId="0" fontId="83" fillId="9" borderId="18" xfId="70" applyFont="1" applyFill="1" applyBorder="1" applyAlignment="1">
      <alignment horizontal="center" vertical="center"/>
    </xf>
    <xf numFmtId="0" fontId="60" fillId="9" borderId="18" xfId="70" applyFont="1" applyFill="1" applyBorder="1" applyAlignment="1">
      <alignment horizontal="center" vertical="center"/>
    </xf>
    <xf numFmtId="0" fontId="78" fillId="9" borderId="10" xfId="69" applyFont="1" applyFill="1" applyBorder="1" applyAlignment="1">
      <alignment vertical="center"/>
    </xf>
    <xf numFmtId="0" fontId="83" fillId="9" borderId="19" xfId="69" applyFont="1" applyFill="1" applyBorder="1" applyAlignment="1">
      <alignment horizontal="center" vertical="center"/>
    </xf>
    <xf numFmtId="0" fontId="83" fillId="9" borderId="19" xfId="70" applyFont="1" applyFill="1" applyBorder="1" applyAlignment="1">
      <alignment horizontal="center" vertical="center"/>
    </xf>
    <xf numFmtId="0" fontId="60" fillId="9" borderId="11" xfId="5" applyFont="1" applyFill="1" applyBorder="1" applyAlignment="1" applyProtection="1">
      <alignment horizontal="left" vertical="center"/>
      <protection locked="0"/>
    </xf>
    <xf numFmtId="0" fontId="60" fillId="9" borderId="11" xfId="5" applyFont="1" applyFill="1" applyBorder="1" applyAlignment="1" applyProtection="1">
      <alignment horizontal="center" vertical="center"/>
      <protection locked="0"/>
    </xf>
    <xf numFmtId="4" fontId="60" fillId="9" borderId="20" xfId="5" applyNumberFormat="1" applyFont="1" applyFill="1" applyBorder="1" applyAlignment="1" applyProtection="1">
      <alignment horizontal="right" vertical="center"/>
      <protection locked="0"/>
    </xf>
    <xf numFmtId="0" fontId="60" fillId="9" borderId="10" xfId="5" applyFont="1" applyFill="1" applyBorder="1" applyAlignment="1" applyProtection="1">
      <alignment horizontal="left" vertical="center"/>
      <protection locked="0"/>
    </xf>
    <xf numFmtId="0" fontId="60" fillId="9" borderId="10" xfId="5" applyFont="1" applyFill="1" applyBorder="1" applyAlignment="1" applyProtection="1">
      <alignment horizontal="center"/>
      <protection locked="0"/>
    </xf>
    <xf numFmtId="168" fontId="60" fillId="9" borderId="19" xfId="25" applyNumberFormat="1" applyFont="1" applyFill="1" applyBorder="1" applyAlignment="1" applyProtection="1">
      <alignment horizontal="right" vertical="center"/>
      <protection locked="0"/>
    </xf>
    <xf numFmtId="0" fontId="83" fillId="8" borderId="9" xfId="69" applyFont="1" applyFill="1" applyBorder="1" applyAlignment="1">
      <alignment vertical="center"/>
    </xf>
    <xf numFmtId="0" fontId="60" fillId="8" borderId="9" xfId="5" applyFont="1" applyFill="1" applyBorder="1" applyAlignment="1" applyProtection="1">
      <alignment horizontal="center"/>
      <protection locked="0"/>
    </xf>
    <xf numFmtId="4" fontId="83" fillId="8" borderId="18" xfId="69" applyNumberFormat="1" applyFont="1" applyFill="1" applyBorder="1" applyAlignment="1" applyProtection="1"/>
    <xf numFmtId="0" fontId="83" fillId="0" borderId="0" xfId="69" applyNumberFormat="1" applyFont="1" applyFill="1" applyBorder="1" applyAlignment="1" applyProtection="1"/>
    <xf numFmtId="0" fontId="78" fillId="0" borderId="18" xfId="2" applyFont="1" applyFill="1" applyBorder="1" applyAlignment="1">
      <alignment horizontal="left" indent="2"/>
    </xf>
    <xf numFmtId="0" fontId="78" fillId="0" borderId="18" xfId="71" applyFont="1" applyFill="1" applyBorder="1" applyAlignment="1">
      <alignment horizontal="center"/>
    </xf>
    <xf numFmtId="4" fontId="57" fillId="0" borderId="18" xfId="69" applyNumberFormat="1" applyFont="1" applyFill="1" applyBorder="1" applyAlignment="1" applyProtection="1"/>
    <xf numFmtId="4" fontId="78" fillId="0" borderId="18" xfId="69" applyNumberFormat="1" applyFont="1" applyFill="1" applyBorder="1" applyAlignment="1" applyProtection="1"/>
    <xf numFmtId="0" fontId="78" fillId="0" borderId="0" xfId="69" applyFont="1" applyFill="1"/>
    <xf numFmtId="0" fontId="78" fillId="0" borderId="18" xfId="2" applyFont="1" applyFill="1" applyBorder="1" applyAlignment="1">
      <alignment horizontal="left" wrapText="1" indent="3"/>
    </xf>
    <xf numFmtId="0" fontId="78" fillId="0" borderId="18" xfId="71" applyFont="1" applyFill="1" applyBorder="1" applyAlignment="1">
      <alignment horizontal="center" wrapText="1"/>
    </xf>
    <xf numFmtId="0" fontId="78" fillId="0" borderId="18" xfId="2" applyFont="1" applyBorder="1" applyAlignment="1">
      <alignment horizontal="left" wrapText="1" indent="3"/>
    </xf>
    <xf numFmtId="4" fontId="78" fillId="0" borderId="0" xfId="69" applyNumberFormat="1" applyFont="1" applyFill="1" applyBorder="1" applyAlignment="1" applyProtection="1"/>
    <xf numFmtId="1" fontId="84" fillId="0" borderId="0" xfId="69" applyNumberFormat="1" applyFont="1" applyFill="1"/>
    <xf numFmtId="1" fontId="85" fillId="0" borderId="0" xfId="69" applyNumberFormat="1" applyFont="1" applyFill="1"/>
    <xf numFmtId="0" fontId="78" fillId="0" borderId="18" xfId="2" applyFont="1" applyBorder="1" applyAlignment="1">
      <alignment horizontal="left" wrapText="1" indent="2"/>
    </xf>
    <xf numFmtId="4" fontId="57" fillId="0" borderId="18" xfId="69" applyNumberFormat="1" applyFont="1" applyFill="1" applyBorder="1"/>
    <xf numFmtId="0" fontId="78" fillId="0" borderId="18" xfId="2" applyFont="1" applyFill="1" applyBorder="1" applyAlignment="1">
      <alignment horizontal="left" indent="7"/>
    </xf>
    <xf numFmtId="0" fontId="78" fillId="0" borderId="18" xfId="71" applyFont="1" applyBorder="1" applyAlignment="1">
      <alignment horizontal="center" wrapText="1"/>
    </xf>
    <xf numFmtId="4" fontId="78" fillId="0" borderId="18" xfId="69" applyNumberFormat="1" applyFont="1" applyFill="1" applyBorder="1"/>
    <xf numFmtId="0" fontId="57" fillId="0" borderId="18" xfId="71" applyFont="1" applyFill="1" applyBorder="1" applyAlignment="1">
      <alignment horizontal="center" wrapText="1"/>
    </xf>
    <xf numFmtId="0" fontId="78" fillId="0" borderId="18" xfId="2" applyFont="1" applyBorder="1" applyAlignment="1">
      <alignment horizontal="left" indent="3"/>
    </xf>
    <xf numFmtId="0" fontId="78" fillId="0" borderId="18" xfId="2" applyFont="1" applyFill="1" applyBorder="1" applyAlignment="1">
      <alignment horizontal="left" indent="3"/>
    </xf>
    <xf numFmtId="0" fontId="78" fillId="0" borderId="18" xfId="2" applyFont="1" applyBorder="1" applyAlignment="1">
      <alignment horizontal="left" indent="2"/>
    </xf>
    <xf numFmtId="0" fontId="83" fillId="8" borderId="18" xfId="2" applyFont="1" applyFill="1" applyBorder="1" applyAlignment="1">
      <alignment horizontal="left"/>
    </xf>
    <xf numFmtId="0" fontId="78" fillId="8" borderId="18" xfId="71" applyFont="1" applyFill="1" applyBorder="1" applyAlignment="1">
      <alignment horizontal="center"/>
    </xf>
    <xf numFmtId="0" fontId="83" fillId="8" borderId="9" xfId="69" applyFont="1" applyFill="1" applyBorder="1" applyAlignment="1">
      <alignment horizontal="left" vertical="center"/>
    </xf>
    <xf numFmtId="0" fontId="83" fillId="8" borderId="18" xfId="71" applyFont="1" applyFill="1" applyBorder="1" applyAlignment="1">
      <alignment horizontal="center"/>
    </xf>
    <xf numFmtId="0" fontId="83" fillId="0" borderId="0" xfId="69" applyFont="1" applyFill="1"/>
    <xf numFmtId="0" fontId="86" fillId="0" borderId="0" xfId="69" applyFont="1" applyFill="1"/>
    <xf numFmtId="0" fontId="78" fillId="0" borderId="18" xfId="71" applyFont="1" applyBorder="1" applyAlignment="1">
      <alignment horizontal="center"/>
    </xf>
    <xf numFmtId="0" fontId="83" fillId="0" borderId="18" xfId="2" applyFont="1" applyBorder="1" applyAlignment="1">
      <alignment horizontal="left" indent="2"/>
    </xf>
    <xf numFmtId="0" fontId="60" fillId="0" borderId="18" xfId="71" applyFont="1" applyFill="1" applyBorder="1" applyAlignment="1">
      <alignment horizontal="center"/>
    </xf>
    <xf numFmtId="0" fontId="78" fillId="0" borderId="19" xfId="2" applyFont="1" applyFill="1" applyBorder="1" applyAlignment="1">
      <alignment horizontal="left" indent="2"/>
    </xf>
    <xf numFmtId="0" fontId="83" fillId="0" borderId="18" xfId="2" applyFont="1" applyFill="1" applyBorder="1" applyAlignment="1">
      <alignment horizontal="left"/>
    </xf>
    <xf numFmtId="4" fontId="60" fillId="9" borderId="11" xfId="5" applyNumberFormat="1" applyFont="1" applyFill="1" applyBorder="1" applyAlignment="1" applyProtection="1">
      <alignment horizontal="right" vertical="center"/>
      <protection locked="0"/>
    </xf>
    <xf numFmtId="0" fontId="83" fillId="11" borderId="10" xfId="71" applyFont="1" applyFill="1" applyBorder="1" applyAlignment="1">
      <alignment horizontal="center"/>
    </xf>
    <xf numFmtId="10" fontId="60" fillId="9" borderId="10" xfId="25" applyNumberFormat="1" applyFont="1" applyFill="1" applyBorder="1" applyAlignment="1" applyProtection="1">
      <alignment horizontal="center" vertical="center"/>
      <protection locked="0"/>
    </xf>
    <xf numFmtId="0" fontId="83" fillId="8" borderId="18" xfId="2" applyFont="1" applyFill="1" applyBorder="1" applyAlignment="1">
      <alignment horizontal="left" indent="1"/>
    </xf>
    <xf numFmtId="0" fontId="83" fillId="0" borderId="18" xfId="2" applyFont="1" applyFill="1" applyBorder="1" applyAlignment="1">
      <alignment horizontal="left" indent="2"/>
    </xf>
    <xf numFmtId="0" fontId="78" fillId="0" borderId="9" xfId="72" applyFont="1" applyFill="1" applyBorder="1" applyAlignment="1">
      <alignment horizontal="left" vertical="center" indent="3"/>
    </xf>
    <xf numFmtId="0" fontId="78" fillId="0" borderId="18" xfId="2" applyFont="1" applyBorder="1" applyAlignment="1">
      <alignment horizontal="left" indent="5"/>
    </xf>
    <xf numFmtId="0" fontId="78" fillId="0" borderId="18" xfId="2" applyFont="1" applyBorder="1" applyAlignment="1">
      <alignment horizontal="left" indent="7"/>
    </xf>
    <xf numFmtId="0" fontId="83" fillId="0" borderId="18" xfId="71" applyFont="1" applyFill="1" applyBorder="1" applyAlignment="1">
      <alignment horizontal="center"/>
    </xf>
    <xf numFmtId="4" fontId="60" fillId="8" borderId="18" xfId="69" applyNumberFormat="1" applyFont="1" applyFill="1" applyBorder="1" applyAlignment="1" applyProtection="1"/>
    <xf numFmtId="0" fontId="60" fillId="9" borderId="20" xfId="5" applyFont="1" applyFill="1" applyBorder="1" applyAlignment="1" applyProtection="1">
      <alignment horizontal="center"/>
      <protection locked="0"/>
    </xf>
    <xf numFmtId="4" fontId="60" fillId="9" borderId="20" xfId="5" applyNumberFormat="1" applyFont="1" applyFill="1" applyBorder="1" applyAlignment="1" applyProtection="1">
      <protection locked="0"/>
    </xf>
    <xf numFmtId="4" fontId="60" fillId="12" borderId="20" xfId="5" applyNumberFormat="1" applyFont="1" applyFill="1" applyBorder="1" applyAlignment="1" applyProtection="1">
      <protection locked="0"/>
    </xf>
    <xf numFmtId="167" fontId="60" fillId="12" borderId="20" xfId="5" applyNumberFormat="1" applyFont="1" applyFill="1" applyBorder="1" applyAlignment="1" applyProtection="1">
      <protection locked="0"/>
    </xf>
    <xf numFmtId="0" fontId="60" fillId="9" borderId="9" xfId="5" applyFont="1" applyFill="1" applyBorder="1" applyAlignment="1" applyProtection="1">
      <alignment horizontal="left" vertical="center"/>
      <protection locked="0"/>
    </xf>
    <xf numFmtId="0" fontId="60" fillId="9" borderId="18" xfId="5" applyFont="1" applyFill="1" applyBorder="1" applyAlignment="1" applyProtection="1">
      <alignment horizontal="center"/>
      <protection locked="0"/>
    </xf>
    <xf numFmtId="10" fontId="60" fillId="9" borderId="18" xfId="25" applyNumberFormat="1" applyFont="1" applyFill="1" applyBorder="1" applyAlignment="1" applyProtection="1">
      <protection locked="0"/>
    </xf>
    <xf numFmtId="0" fontId="78" fillId="0" borderId="17" xfId="70" applyFont="1" applyFill="1" applyBorder="1"/>
    <xf numFmtId="0" fontId="78" fillId="0" borderId="17" xfId="69" applyNumberFormat="1" applyFont="1" applyFill="1" applyBorder="1" applyAlignment="1" applyProtection="1">
      <alignment horizontal="center"/>
    </xf>
    <xf numFmtId="1" fontId="78" fillId="0" borderId="17" xfId="69" applyNumberFormat="1" applyFont="1" applyFill="1" applyBorder="1" applyAlignment="1" applyProtection="1">
      <alignment horizontal="center"/>
    </xf>
    <xf numFmtId="4" fontId="58" fillId="0" borderId="0" xfId="0" applyNumberFormat="1" applyFont="1"/>
    <xf numFmtId="173" fontId="78" fillId="0" borderId="0" xfId="69" applyNumberFormat="1" applyFont="1" applyFill="1" applyBorder="1" applyAlignment="1" applyProtection="1"/>
    <xf numFmtId="171" fontId="78" fillId="0" borderId="0" xfId="69" applyNumberFormat="1" applyFont="1" applyFill="1" applyBorder="1" applyAlignment="1" applyProtection="1"/>
    <xf numFmtId="174" fontId="78" fillId="0" borderId="0" xfId="8" applyNumberFormat="1" applyFont="1" applyFill="1" applyBorder="1" applyAlignment="1" applyProtection="1"/>
    <xf numFmtId="166" fontId="78" fillId="0" borderId="0" xfId="69" applyNumberFormat="1" applyFont="1" applyFill="1" applyBorder="1" applyAlignment="1" applyProtection="1"/>
    <xf numFmtId="0" fontId="59" fillId="0" borderId="0" xfId="0" applyFont="1"/>
    <xf numFmtId="1" fontId="58" fillId="0" borderId="0" xfId="0" applyNumberFormat="1" applyFont="1"/>
    <xf numFmtId="166" fontId="55" fillId="0" borderId="0" xfId="0" applyNumberFormat="1" applyFont="1" applyBorder="1" applyAlignment="1">
      <alignment horizontal="center" vertical="center"/>
    </xf>
    <xf numFmtId="0" fontId="58" fillId="0" borderId="0" xfId="0" applyFont="1" applyFill="1"/>
    <xf numFmtId="0" fontId="55" fillId="0" borderId="0" xfId="0" applyFont="1" applyFill="1" applyAlignment="1">
      <alignment vertical="center"/>
    </xf>
    <xf numFmtId="166" fontId="55" fillId="0" borderId="0" xfId="0" applyNumberFormat="1" applyFont="1" applyFill="1" applyAlignment="1">
      <alignment horizontal="center" vertical="center"/>
    </xf>
    <xf numFmtId="0" fontId="88" fillId="0" borderId="0" xfId="0" applyFont="1"/>
    <xf numFmtId="0" fontId="88" fillId="0" borderId="0" xfId="0" applyFont="1" applyBorder="1"/>
    <xf numFmtId="0" fontId="58" fillId="0" borderId="40" xfId="0" applyFont="1" applyBorder="1"/>
    <xf numFmtId="4" fontId="60" fillId="9" borderId="0" xfId="5" applyNumberFormat="1" applyFont="1" applyFill="1" applyBorder="1" applyAlignment="1" applyProtection="1">
      <alignment horizontal="right" vertical="center"/>
      <protection locked="0"/>
    </xf>
    <xf numFmtId="4" fontId="83" fillId="8" borderId="0" xfId="69" applyNumberFormat="1" applyFont="1" applyFill="1" applyBorder="1" applyAlignment="1" applyProtection="1"/>
    <xf numFmtId="4" fontId="57" fillId="0" borderId="0" xfId="69" applyNumberFormat="1" applyFont="1" applyFill="1" applyBorder="1" applyAlignment="1" applyProtection="1"/>
    <xf numFmtId="4" fontId="60" fillId="8" borderId="0" xfId="69" applyNumberFormat="1" applyFont="1" applyFill="1" applyBorder="1" applyAlignment="1" applyProtection="1"/>
    <xf numFmtId="167" fontId="78" fillId="0" borderId="16" xfId="29" applyNumberFormat="1" applyFont="1" applyFill="1" applyBorder="1" applyAlignment="1">
      <alignment wrapText="1"/>
    </xf>
    <xf numFmtId="0" fontId="56" fillId="0" borderId="0" xfId="0" applyFont="1" applyBorder="1" applyAlignment="1">
      <alignment vertical="center"/>
    </xf>
    <xf numFmtId="0" fontId="55" fillId="0" borderId="0" xfId="0" applyFont="1" applyAlignment="1">
      <alignment horizontal="center" vertical="center"/>
    </xf>
    <xf numFmtId="0" fontId="79" fillId="0" borderId="40" xfId="0" applyFont="1" applyBorder="1"/>
    <xf numFmtId="0" fontId="55" fillId="0" borderId="40" xfId="0" applyFont="1" applyBorder="1" applyAlignment="1">
      <alignment horizontal="center" vertical="center"/>
    </xf>
    <xf numFmtId="0" fontId="55" fillId="0" borderId="40" xfId="0" applyFont="1" applyBorder="1" applyAlignment="1">
      <alignment horizontal="center" vertical="center" wrapText="1"/>
    </xf>
    <xf numFmtId="0" fontId="58" fillId="0" borderId="40" xfId="0" applyFont="1" applyBorder="1" applyAlignment="1">
      <alignment horizontal="center" vertical="center"/>
    </xf>
    <xf numFmtId="0" fontId="58" fillId="0" borderId="40" xfId="0" applyFont="1" applyBorder="1" applyAlignment="1">
      <alignment horizontal="right" vertical="center"/>
    </xf>
    <xf numFmtId="0" fontId="55" fillId="2" borderId="0" xfId="0" applyFont="1" applyFill="1" applyAlignment="1">
      <alignment vertical="center" wrapText="1"/>
    </xf>
    <xf numFmtId="0" fontId="55" fillId="2" borderId="0" xfId="0" applyFont="1" applyFill="1" applyAlignment="1">
      <alignment vertical="center"/>
    </xf>
    <xf numFmtId="0" fontId="58" fillId="0" borderId="0" xfId="0" applyFont="1" applyBorder="1" applyAlignment="1">
      <alignment vertical="center"/>
    </xf>
    <xf numFmtId="1" fontId="58" fillId="0" borderId="0" xfId="0" applyNumberFormat="1" applyFont="1" applyBorder="1" applyAlignment="1">
      <alignment horizontal="right" vertical="center" wrapText="1"/>
    </xf>
    <xf numFmtId="173" fontId="55" fillId="0" borderId="0" xfId="0" applyNumberFormat="1" applyFont="1" applyBorder="1" applyAlignment="1">
      <alignment horizontal="center" vertical="center"/>
    </xf>
    <xf numFmtId="166" fontId="56" fillId="0" borderId="0" xfId="0" applyNumberFormat="1" applyFont="1" applyBorder="1" applyAlignment="1">
      <alignment horizontal="center" vertical="center"/>
    </xf>
    <xf numFmtId="173" fontId="56" fillId="0" borderId="0" xfId="0" applyNumberFormat="1" applyFont="1" applyBorder="1" applyAlignment="1">
      <alignment horizontal="center" vertical="center"/>
    </xf>
    <xf numFmtId="0" fontId="59" fillId="0" borderId="0" xfId="0" applyFont="1" applyBorder="1" applyAlignment="1">
      <alignment vertical="center"/>
    </xf>
    <xf numFmtId="166" fontId="58" fillId="0" borderId="0" xfId="0" applyNumberFormat="1" applyFont="1" applyBorder="1" applyAlignment="1">
      <alignment horizontal="right" vertical="center" wrapText="1"/>
    </xf>
    <xf numFmtId="166" fontId="61" fillId="0" borderId="0" xfId="0" applyNumberFormat="1" applyFont="1" applyBorder="1" applyAlignment="1">
      <alignment horizontal="left" vertical="center"/>
    </xf>
    <xf numFmtId="0" fontId="81" fillId="0" borderId="40" xfId="0" applyFont="1" applyBorder="1" applyAlignment="1">
      <alignment vertical="center"/>
    </xf>
    <xf numFmtId="0" fontId="56" fillId="0" borderId="40" xfId="0" applyFont="1" applyBorder="1" applyAlignment="1">
      <alignment horizontal="center" vertical="center" wrapText="1"/>
    </xf>
    <xf numFmtId="166" fontId="58" fillId="0" borderId="0" xfId="0" applyNumberFormat="1" applyFont="1" applyFill="1" applyAlignment="1">
      <alignment horizontal="right" vertical="center" wrapText="1"/>
    </xf>
    <xf numFmtId="0" fontId="130" fillId="0" borderId="0" xfId="0" applyFont="1" applyAlignment="1">
      <alignment horizontal="center" vertical="center"/>
    </xf>
    <xf numFmtId="0" fontId="131" fillId="0" borderId="40" xfId="0" applyFont="1" applyBorder="1" applyAlignment="1">
      <alignment horizontal="center" vertical="center"/>
    </xf>
    <xf numFmtId="0" fontId="88" fillId="0" borderId="0" xfId="0" applyFont="1" applyFill="1"/>
    <xf numFmtId="0" fontId="133" fillId="0" borderId="0" xfId="69" applyNumberFormat="1" applyFont="1" applyFill="1" applyBorder="1" applyAlignment="1" applyProtection="1"/>
    <xf numFmtId="2" fontId="55" fillId="0" borderId="0" xfId="0" applyNumberFormat="1" applyFont="1" applyBorder="1" applyAlignment="1">
      <alignment horizontal="center" vertical="center"/>
    </xf>
    <xf numFmtId="1" fontId="78" fillId="0" borderId="0" xfId="69" applyNumberFormat="1" applyFont="1" applyFill="1" applyBorder="1" applyAlignment="1" applyProtection="1"/>
    <xf numFmtId="0" fontId="81" fillId="0" borderId="40" xfId="0" applyFont="1" applyBorder="1" applyAlignment="1">
      <alignment vertical="center"/>
    </xf>
    <xf numFmtId="166" fontId="61" fillId="0" borderId="0" xfId="0" applyNumberFormat="1" applyFont="1" applyBorder="1" applyAlignment="1">
      <alignment horizontal="center" vertical="center"/>
    </xf>
    <xf numFmtId="0" fontId="134" fillId="0" borderId="0" xfId="0" applyFont="1" applyAlignment="1">
      <alignment horizontal="center" vertical="center"/>
    </xf>
    <xf numFmtId="0" fontId="131" fillId="0" borderId="40" xfId="0" applyFont="1" applyBorder="1" applyAlignment="1">
      <alignment vertical="center"/>
    </xf>
    <xf numFmtId="0" fontId="130" fillId="0" borderId="0" xfId="0" applyFont="1" applyAlignment="1">
      <alignment vertical="center"/>
    </xf>
    <xf numFmtId="0" fontId="130" fillId="0" borderId="0" xfId="0" applyFont="1" applyAlignment="1">
      <alignment horizontal="center" vertical="center" wrapText="1"/>
    </xf>
    <xf numFmtId="0" fontId="135" fillId="0" borderId="7" xfId="0" applyFont="1" applyBorder="1" applyAlignment="1">
      <alignment horizontal="center" vertical="center"/>
    </xf>
    <xf numFmtId="0" fontId="131" fillId="0" borderId="0" xfId="0" applyFont="1" applyAlignment="1">
      <alignment horizontal="center" vertical="center"/>
    </xf>
    <xf numFmtId="0" fontId="134" fillId="0" borderId="0" xfId="0" applyFont="1" applyAlignment="1">
      <alignment vertical="center"/>
    </xf>
    <xf numFmtId="0" fontId="131" fillId="0" borderId="2" xfId="0" applyFont="1" applyBorder="1" applyAlignment="1">
      <alignment vertical="center"/>
    </xf>
    <xf numFmtId="0" fontId="130" fillId="0" borderId="0" xfId="0" applyFont="1" applyFill="1" applyAlignment="1">
      <alignment vertical="center"/>
    </xf>
    <xf numFmtId="0" fontId="137" fillId="0" borderId="0" xfId="2" applyFont="1" applyFill="1"/>
    <xf numFmtId="0" fontId="138" fillId="0" borderId="0" xfId="2" applyFont="1"/>
    <xf numFmtId="0" fontId="137" fillId="0" borderId="0" xfId="2" applyFont="1"/>
    <xf numFmtId="0" fontId="139" fillId="0" borderId="0" xfId="0" applyFont="1" applyAlignment="1">
      <alignment horizontal="center"/>
    </xf>
    <xf numFmtId="3" fontId="83" fillId="8" borderId="0" xfId="69" applyNumberFormat="1" applyFont="1" applyFill="1" applyBorder="1" applyAlignment="1" applyProtection="1"/>
    <xf numFmtId="3" fontId="83" fillId="8" borderId="18" xfId="69" applyNumberFormat="1" applyFont="1" applyFill="1" applyBorder="1" applyAlignment="1" applyProtection="1"/>
    <xf numFmtId="0" fontId="89" fillId="0" borderId="40" xfId="0" applyFont="1" applyBorder="1"/>
    <xf numFmtId="0" fontId="88" fillId="0" borderId="40" xfId="0" applyFont="1" applyBorder="1"/>
    <xf numFmtId="0" fontId="138" fillId="0" borderId="40" xfId="2" applyFont="1" applyBorder="1"/>
    <xf numFmtId="0" fontId="0" fillId="0" borderId="0" xfId="0" applyBorder="1"/>
    <xf numFmtId="0" fontId="132" fillId="0" borderId="0" xfId="0" applyFont="1" applyBorder="1"/>
    <xf numFmtId="166" fontId="58" fillId="0" borderId="0" xfId="0" applyNumberFormat="1" applyFont="1" applyAlignment="1">
      <alignment horizontal="center"/>
    </xf>
    <xf numFmtId="0" fontId="55" fillId="0" borderId="2" xfId="0" applyFont="1" applyBorder="1" applyAlignment="1">
      <alignment horizontal="center" vertical="center"/>
    </xf>
    <xf numFmtId="0" fontId="55" fillId="0" borderId="2" xfId="0" applyFont="1" applyBorder="1" applyAlignment="1">
      <alignment vertical="center" wrapText="1"/>
    </xf>
    <xf numFmtId="0" fontId="61" fillId="0" borderId="0" xfId="0" applyFont="1" applyBorder="1" applyAlignment="1">
      <alignment vertical="center"/>
    </xf>
    <xf numFmtId="0" fontId="56" fillId="0" borderId="2" xfId="0" applyFont="1" applyBorder="1" applyAlignment="1">
      <alignment vertical="center"/>
    </xf>
    <xf numFmtId="0" fontId="56" fillId="0" borderId="2" xfId="0" applyFont="1" applyBorder="1" applyAlignment="1">
      <alignment horizontal="center" vertical="center"/>
    </xf>
    <xf numFmtId="166" fontId="61" fillId="0" borderId="0" xfId="0" applyNumberFormat="1" applyFont="1" applyBorder="1" applyAlignment="1">
      <alignment horizontal="center" vertical="center"/>
    </xf>
    <xf numFmtId="2" fontId="60" fillId="9" borderId="19" xfId="25" applyNumberFormat="1" applyFont="1" applyFill="1" applyBorder="1" applyAlignment="1" applyProtection="1">
      <alignment horizontal="right" vertical="center"/>
      <protection locked="0"/>
    </xf>
    <xf numFmtId="0" fontId="78" fillId="0" borderId="9" xfId="2" applyFont="1" applyFill="1" applyBorder="1" applyAlignment="1">
      <alignment horizontal="left" indent="2"/>
    </xf>
    <xf numFmtId="0" fontId="78" fillId="0" borderId="9" xfId="71" applyFont="1" applyFill="1" applyBorder="1" applyAlignment="1">
      <alignment horizontal="center"/>
    </xf>
    <xf numFmtId="4" fontId="78" fillId="0" borderId="9" xfId="69" applyNumberFormat="1" applyFont="1" applyFill="1" applyBorder="1" applyAlignment="1" applyProtection="1"/>
    <xf numFmtId="4" fontId="57" fillId="0" borderId="9" xfId="69" applyNumberFormat="1" applyFont="1" applyFill="1" applyBorder="1" applyAlignment="1" applyProtection="1"/>
    <xf numFmtId="0" fontId="81" fillId="0" borderId="0" xfId="0" applyFont="1" applyBorder="1" applyAlignment="1">
      <alignment vertical="center"/>
    </xf>
    <xf numFmtId="0" fontId="56" fillId="0" borderId="4" xfId="0" applyFont="1" applyBorder="1" applyAlignment="1">
      <alignment horizontal="center" vertical="center" wrapText="1"/>
    </xf>
    <xf numFmtId="0" fontId="56" fillId="0" borderId="4" xfId="0" applyFont="1" applyBorder="1" applyAlignment="1">
      <alignment horizontal="center" vertical="center"/>
    </xf>
    <xf numFmtId="0" fontId="55" fillId="0" borderId="40" xfId="0" applyFont="1" applyBorder="1" applyAlignment="1">
      <alignment vertical="center"/>
    </xf>
    <xf numFmtId="0" fontId="56" fillId="0" borderId="40" xfId="0" applyFont="1" applyBorder="1" applyAlignment="1">
      <alignment vertical="center"/>
    </xf>
    <xf numFmtId="0" fontId="135" fillId="0" borderId="50" xfId="0" applyFont="1" applyBorder="1" applyAlignment="1">
      <alignment horizontal="center" vertical="center"/>
    </xf>
    <xf numFmtId="0" fontId="131" fillId="0" borderId="0" xfId="0" applyFont="1" applyBorder="1" applyAlignment="1">
      <alignment horizontal="center" vertical="center"/>
    </xf>
    <xf numFmtId="0" fontId="20" fillId="0" borderId="40" xfId="0" applyFont="1" applyBorder="1" applyAlignment="1">
      <alignment horizontal="center" vertical="center"/>
    </xf>
    <xf numFmtId="0" fontId="131" fillId="0" borderId="49" xfId="0" applyFont="1" applyBorder="1" applyAlignment="1">
      <alignment horizontal="center" vertical="center"/>
    </xf>
    <xf numFmtId="0" fontId="56" fillId="0" borderId="4" xfId="0" applyFont="1" applyBorder="1" applyAlignment="1">
      <alignment horizontal="justify" vertical="center"/>
    </xf>
    <xf numFmtId="0" fontId="140" fillId="68" borderId="40" xfId="0" applyFont="1" applyFill="1" applyBorder="1" applyAlignment="1">
      <alignment horizontal="center" vertical="center" wrapText="1"/>
    </xf>
    <xf numFmtId="0" fontId="140" fillId="68" borderId="40" xfId="0" applyFont="1" applyFill="1" applyBorder="1" applyAlignment="1">
      <alignment horizontal="center" vertical="center"/>
    </xf>
    <xf numFmtId="0" fontId="5" fillId="0" borderId="0" xfId="0" applyFont="1" applyAlignment="1">
      <alignment vertical="center"/>
    </xf>
    <xf numFmtId="0" fontId="61" fillId="0" borderId="0" xfId="0" applyFont="1" applyAlignment="1">
      <alignment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130" fillId="0" borderId="1" xfId="0" applyFont="1" applyBorder="1" applyAlignment="1">
      <alignment vertical="center"/>
    </xf>
    <xf numFmtId="0" fontId="130" fillId="0" borderId="1" xfId="0" applyFont="1" applyFill="1" applyBorder="1" applyAlignment="1">
      <alignment vertical="center"/>
    </xf>
    <xf numFmtId="0" fontId="20" fillId="0" borderId="1" xfId="0" applyFont="1" applyBorder="1" applyAlignment="1">
      <alignment horizontal="center"/>
    </xf>
    <xf numFmtId="0" fontId="130" fillId="0" borderId="1" xfId="0" applyFont="1" applyBorder="1" applyAlignment="1">
      <alignment horizontal="center" vertical="center"/>
    </xf>
    <xf numFmtId="0" fontId="130" fillId="0" borderId="3" xfId="0" applyFont="1" applyBorder="1" applyAlignment="1">
      <alignment vertical="center"/>
    </xf>
    <xf numFmtId="0" fontId="130" fillId="0" borderId="3" xfId="0" applyFont="1" applyFill="1" applyBorder="1" applyAlignment="1">
      <alignment vertical="center"/>
    </xf>
    <xf numFmtId="0" fontId="20" fillId="0" borderId="3" xfId="0" applyFont="1" applyBorder="1" applyAlignment="1">
      <alignment horizontal="center"/>
    </xf>
    <xf numFmtId="0" fontId="130" fillId="0" borderId="0" xfId="0" applyFont="1" applyBorder="1" applyAlignment="1">
      <alignment vertical="center"/>
    </xf>
    <xf numFmtId="0" fontId="130" fillId="0" borderId="0" xfId="0" applyFont="1" applyFill="1" applyBorder="1" applyAlignment="1">
      <alignment vertical="center"/>
    </xf>
    <xf numFmtId="0" fontId="20" fillId="0" borderId="0" xfId="0" applyFont="1" applyBorder="1" applyAlignment="1">
      <alignment horizontal="center"/>
    </xf>
    <xf numFmtId="0" fontId="132" fillId="0" borderId="0" xfId="0" applyFont="1" applyFill="1" applyBorder="1"/>
    <xf numFmtId="0" fontId="143" fillId="0" borderId="0" xfId="0" applyFont="1" applyAlignment="1">
      <alignment vertical="center"/>
    </xf>
    <xf numFmtId="0" fontId="56" fillId="0" borderId="4" xfId="0" applyFont="1" applyBorder="1" applyAlignment="1">
      <alignment horizontal="center" vertical="center" wrapText="1"/>
    </xf>
    <xf numFmtId="0" fontId="56" fillId="0" borderId="4" xfId="0" applyFont="1" applyBorder="1" applyAlignment="1">
      <alignment horizontal="center" vertical="center"/>
    </xf>
    <xf numFmtId="0" fontId="140" fillId="68" borderId="2" xfId="0" applyFont="1" applyFill="1" applyBorder="1" applyAlignment="1">
      <alignment horizontal="center" vertical="center" wrapText="1"/>
    </xf>
    <xf numFmtId="0" fontId="140" fillId="68" borderId="2" xfId="0" applyFont="1" applyFill="1" applyBorder="1" applyAlignment="1">
      <alignment horizontal="center" vertical="center"/>
    </xf>
    <xf numFmtId="0" fontId="140" fillId="70" borderId="2" xfId="0" applyFont="1" applyFill="1" applyBorder="1" applyAlignment="1">
      <alignment horizontal="center" vertical="center" wrapText="1"/>
    </xf>
    <xf numFmtId="0" fontId="2" fillId="0" borderId="0" xfId="0" applyFont="1" applyAlignment="1">
      <alignment vertical="center"/>
    </xf>
    <xf numFmtId="0" fontId="55" fillId="0" borderId="2" xfId="0" applyFont="1" applyBorder="1" applyAlignment="1">
      <alignment vertical="center"/>
    </xf>
    <xf numFmtId="0" fontId="55" fillId="0" borderId="2" xfId="0" applyFont="1" applyBorder="1" applyAlignment="1">
      <alignment horizontal="center" vertical="center" wrapText="1"/>
    </xf>
    <xf numFmtId="0" fontId="129" fillId="0" borderId="0" xfId="0" applyFont="1" applyAlignment="1">
      <alignment horizontal="right" vertical="center"/>
    </xf>
    <xf numFmtId="0" fontId="140" fillId="70" borderId="40" xfId="0" applyFont="1" applyFill="1" applyBorder="1" applyAlignment="1">
      <alignment horizontal="center" vertical="center" wrapText="1"/>
    </xf>
    <xf numFmtId="10" fontId="86" fillId="9" borderId="10" xfId="25" applyNumberFormat="1" applyFont="1" applyFill="1" applyBorder="1" applyAlignment="1" applyProtection="1">
      <alignment horizontal="center" vertical="center"/>
      <protection locked="0"/>
    </xf>
    <xf numFmtId="2" fontId="86" fillId="9" borderId="10" xfId="25" applyNumberFormat="1" applyFont="1" applyFill="1" applyBorder="1" applyAlignment="1" applyProtection="1">
      <alignment horizontal="center" vertical="center"/>
      <protection locked="0"/>
    </xf>
    <xf numFmtId="0" fontId="60" fillId="0" borderId="0" xfId="69" applyFont="1" applyFill="1"/>
    <xf numFmtId="0" fontId="20" fillId="0" borderId="0" xfId="0" applyFont="1"/>
    <xf numFmtId="0" fontId="20" fillId="0" borderId="17" xfId="1505" applyFont="1" applyBorder="1" applyAlignment="1">
      <alignment horizontal="center" vertical="center" wrapText="1"/>
    </xf>
    <xf numFmtId="14" fontId="20" fillId="0" borderId="17" xfId="1505" applyNumberFormat="1" applyFont="1" applyBorder="1"/>
    <xf numFmtId="10" fontId="20" fillId="0" borderId="17" xfId="1505" applyNumberFormat="1" applyFont="1" applyBorder="1"/>
    <xf numFmtId="0" fontId="134" fillId="0" borderId="0" xfId="0" applyFont="1" applyAlignment="1">
      <alignment horizontal="left" vertical="center"/>
    </xf>
    <xf numFmtId="0" fontId="20" fillId="0" borderId="0" xfId="0" applyFont="1" applyAlignment="1">
      <alignment vertical="center"/>
    </xf>
    <xf numFmtId="0" fontId="20" fillId="0" borderId="40" xfId="0" applyFont="1" applyBorder="1"/>
    <xf numFmtId="0" fontId="20" fillId="0" borderId="0" xfId="0" applyFont="1" applyBorder="1"/>
    <xf numFmtId="0" fontId="136" fillId="0" borderId="0" xfId="0" applyFont="1" applyBorder="1" applyAlignment="1">
      <alignment horizontal="center"/>
    </xf>
    <xf numFmtId="0" fontId="132" fillId="0" borderId="43" xfId="0" applyFont="1" applyBorder="1"/>
    <xf numFmtId="166" fontId="132" fillId="0" borderId="43" xfId="0" applyNumberFormat="1" applyFont="1" applyBorder="1"/>
    <xf numFmtId="166" fontId="132" fillId="0" borderId="0" xfId="0" applyNumberFormat="1" applyFont="1" applyBorder="1"/>
    <xf numFmtId="0" fontId="132" fillId="0" borderId="40" xfId="0" applyFont="1" applyBorder="1"/>
    <xf numFmtId="166" fontId="132" fillId="0" borderId="40" xfId="0" applyNumberFormat="1" applyFont="1" applyBorder="1"/>
    <xf numFmtId="0" fontId="132" fillId="0" borderId="0" xfId="0" applyFont="1"/>
    <xf numFmtId="166" fontId="132" fillId="0" borderId="0" xfId="0" applyNumberFormat="1" applyFont="1"/>
    <xf numFmtId="0" fontId="144" fillId="0" borderId="0" xfId="1500" applyFont="1"/>
    <xf numFmtId="0" fontId="20" fillId="0" borderId="0" xfId="0" applyFont="1" applyFill="1"/>
    <xf numFmtId="0" fontId="145" fillId="0" borderId="0" xfId="0" applyFont="1"/>
    <xf numFmtId="0" fontId="132" fillId="0" borderId="43" xfId="0" applyFont="1" applyBorder="1" applyAlignment="1">
      <alignment horizontal="left" indent="1"/>
    </xf>
    <xf numFmtId="0" fontId="132" fillId="0" borderId="40" xfId="0" applyFont="1" applyBorder="1" applyAlignment="1">
      <alignment horizontal="left" indent="1"/>
    </xf>
    <xf numFmtId="165" fontId="131" fillId="67" borderId="0" xfId="6" applyFont="1" applyFill="1" applyBorder="1" applyAlignment="1"/>
    <xf numFmtId="0" fontId="20" fillId="67" borderId="0" xfId="1496" applyFont="1" applyFill="1"/>
    <xf numFmtId="0" fontId="136" fillId="67" borderId="1" xfId="1496" applyFont="1" applyFill="1" applyBorder="1"/>
    <xf numFmtId="0" fontId="136" fillId="67" borderId="1" xfId="1496" applyFont="1" applyFill="1" applyBorder="1" applyAlignment="1">
      <alignment horizontal="center"/>
    </xf>
    <xf numFmtId="0" fontId="136" fillId="67" borderId="0" xfId="1496" applyFont="1" applyFill="1"/>
    <xf numFmtId="166" fontId="20" fillId="67" borderId="0" xfId="1496" applyNumberFormat="1" applyFont="1" applyFill="1" applyBorder="1" applyAlignment="1">
      <alignment horizontal="center"/>
    </xf>
    <xf numFmtId="0" fontId="20" fillId="67" borderId="0" xfId="0" applyFont="1" applyFill="1"/>
    <xf numFmtId="166" fontId="20" fillId="67" borderId="0" xfId="1496" applyNumberFormat="1" applyFont="1" applyFill="1" applyAlignment="1">
      <alignment horizontal="center"/>
    </xf>
    <xf numFmtId="0" fontId="144" fillId="67" borderId="0" xfId="1500" applyFont="1" applyFill="1"/>
    <xf numFmtId="0" fontId="145" fillId="0" borderId="0" xfId="0" applyFont="1" applyAlignment="1">
      <alignment horizontal="right"/>
    </xf>
    <xf numFmtId="165" fontId="131" fillId="0" borderId="0" xfId="6" applyFont="1"/>
    <xf numFmtId="0" fontId="136" fillId="0" borderId="1" xfId="0" applyFont="1" applyBorder="1"/>
    <xf numFmtId="0" fontId="136" fillId="0" borderId="1" xfId="0" applyFont="1" applyBorder="1" applyAlignment="1">
      <alignment horizontal="center"/>
    </xf>
    <xf numFmtId="0" fontId="136" fillId="0" borderId="0" xfId="0" applyFont="1"/>
    <xf numFmtId="166" fontId="20" fillId="0" borderId="0" xfId="0" applyNumberFormat="1" applyFont="1" applyAlignment="1">
      <alignment horizontal="center"/>
    </xf>
    <xf numFmtId="0" fontId="144" fillId="0" borderId="0" xfId="1503" applyFont="1"/>
    <xf numFmtId="0" fontId="145" fillId="0" borderId="0" xfId="0" applyFont="1" applyAlignment="1">
      <alignment horizontal="left"/>
    </xf>
    <xf numFmtId="0" fontId="20" fillId="0" borderId="0" xfId="1491" applyFont="1"/>
    <xf numFmtId="14" fontId="20" fillId="0" borderId="0" xfId="1491" applyNumberFormat="1" applyFont="1"/>
    <xf numFmtId="0" fontId="20" fillId="0" borderId="0" xfId="1501" applyFont="1"/>
    <xf numFmtId="0" fontId="20" fillId="0" borderId="7" xfId="1491" applyFont="1" applyBorder="1"/>
    <xf numFmtId="0" fontId="136" fillId="0" borderId="0" xfId="1491" applyFont="1"/>
    <xf numFmtId="0" fontId="20" fillId="0" borderId="50" xfId="1491" applyFont="1" applyBorder="1"/>
    <xf numFmtId="0" fontId="136" fillId="0" borderId="2" xfId="1491" applyFont="1" applyBorder="1"/>
    <xf numFmtId="14" fontId="20" fillId="0" borderId="7" xfId="1491" applyNumberFormat="1" applyFont="1" applyBorder="1"/>
    <xf numFmtId="0" fontId="145" fillId="67" borderId="0" xfId="1506" applyFont="1" applyFill="1" applyAlignment="1">
      <alignment horizontal="right"/>
    </xf>
    <xf numFmtId="0" fontId="20" fillId="67" borderId="7" xfId="1501" applyFont="1" applyFill="1" applyBorder="1"/>
    <xf numFmtId="0" fontId="20" fillId="67" borderId="0" xfId="1501" applyFont="1" applyFill="1" applyBorder="1"/>
    <xf numFmtId="0" fontId="20" fillId="67" borderId="0" xfId="1501" applyFont="1" applyFill="1"/>
    <xf numFmtId="0" fontId="20" fillId="67" borderId="50" xfId="1501" applyFont="1" applyFill="1" applyBorder="1"/>
    <xf numFmtId="0" fontId="20" fillId="67" borderId="2" xfId="1501" applyFont="1" applyFill="1" applyBorder="1"/>
    <xf numFmtId="177" fontId="136" fillId="67" borderId="7" xfId="1501" applyNumberFormat="1" applyFont="1" applyFill="1" applyBorder="1" applyAlignment="1">
      <alignment horizontal="center"/>
    </xf>
    <xf numFmtId="0" fontId="143" fillId="67" borderId="0" xfId="0" applyFont="1" applyFill="1" applyAlignment="1">
      <alignment vertical="center"/>
    </xf>
    <xf numFmtId="0" fontId="136" fillId="0" borderId="0" xfId="0" applyFont="1" applyBorder="1"/>
    <xf numFmtId="0" fontId="136" fillId="7" borderId="0" xfId="4" applyFont="1" applyFill="1"/>
    <xf numFmtId="0" fontId="20" fillId="44" borderId="0" xfId="4" applyFont="1" applyFill="1"/>
    <xf numFmtId="0" fontId="146" fillId="44" borderId="0" xfId="4" applyFont="1" applyFill="1" applyAlignment="1">
      <alignment vertical="center"/>
    </xf>
    <xf numFmtId="0" fontId="20" fillId="44" borderId="0" xfId="0" applyFont="1" applyFill="1"/>
    <xf numFmtId="14" fontId="20" fillId="67" borderId="7" xfId="1501" applyNumberFormat="1" applyFont="1" applyFill="1" applyBorder="1"/>
    <xf numFmtId="14" fontId="20" fillId="67" borderId="0" xfId="1501" applyNumberFormat="1" applyFont="1" applyFill="1"/>
    <xf numFmtId="0" fontId="136" fillId="67" borderId="0" xfId="1501" applyFont="1" applyFill="1" applyBorder="1"/>
    <xf numFmtId="0" fontId="136" fillId="67" borderId="2" xfId="1501" applyFont="1" applyFill="1" applyBorder="1"/>
    <xf numFmtId="17" fontId="20" fillId="67" borderId="7" xfId="1501" applyNumberFormat="1" applyFont="1" applyFill="1" applyBorder="1"/>
    <xf numFmtId="1" fontId="20" fillId="67" borderId="0" xfId="1501" applyNumberFormat="1" applyFont="1" applyFill="1"/>
    <xf numFmtId="17" fontId="20" fillId="67" borderId="0" xfId="1501" applyNumberFormat="1" applyFont="1" applyFill="1"/>
    <xf numFmtId="168" fontId="148" fillId="67" borderId="0" xfId="1502" applyNumberFormat="1" applyFont="1" applyFill="1" applyBorder="1"/>
    <xf numFmtId="0" fontId="136" fillId="67" borderId="1" xfId="1497" applyFont="1" applyFill="1" applyBorder="1"/>
    <xf numFmtId="178" fontId="136" fillId="67" borderId="1" xfId="1497" applyNumberFormat="1" applyFont="1" applyFill="1" applyBorder="1"/>
    <xf numFmtId="166" fontId="20" fillId="67" borderId="43" xfId="1498" applyNumberFormat="1" applyFont="1" applyFill="1" applyBorder="1"/>
    <xf numFmtId="166" fontId="20" fillId="67" borderId="40" xfId="1498" applyNumberFormat="1" applyFont="1" applyFill="1" applyBorder="1"/>
    <xf numFmtId="168" fontId="20" fillId="67" borderId="0" xfId="1502" applyNumberFormat="1" applyFont="1" applyFill="1" applyBorder="1"/>
    <xf numFmtId="168" fontId="20" fillId="67" borderId="0" xfId="1502" applyNumberFormat="1" applyFont="1" applyFill="1"/>
    <xf numFmtId="0" fontId="20" fillId="67" borderId="1" xfId="1497" applyFont="1" applyFill="1" applyBorder="1"/>
    <xf numFmtId="0" fontId="20" fillId="67" borderId="0" xfId="1497" applyFont="1" applyFill="1"/>
    <xf numFmtId="0" fontId="20" fillId="67" borderId="43" xfId="1497" applyFont="1" applyFill="1" applyBorder="1"/>
    <xf numFmtId="0" fontId="20" fillId="67" borderId="40" xfId="1497" applyFont="1" applyFill="1" applyBorder="1"/>
    <xf numFmtId="168" fontId="20" fillId="67" borderId="0" xfId="1498" applyNumberFormat="1" applyFont="1" applyFill="1"/>
    <xf numFmtId="2" fontId="20" fillId="67" borderId="0" xfId="1497" applyNumberFormat="1" applyFont="1" applyFill="1"/>
    <xf numFmtId="166" fontId="20" fillId="67" borderId="0" xfId="1497" applyNumberFormat="1" applyFont="1" applyFill="1"/>
    <xf numFmtId="0" fontId="146" fillId="0" borderId="0" xfId="4" applyFont="1"/>
    <xf numFmtId="0" fontId="150" fillId="0" borderId="0" xfId="0" applyFont="1"/>
    <xf numFmtId="166" fontId="20" fillId="0" borderId="0" xfId="0" applyNumberFormat="1" applyFont="1"/>
    <xf numFmtId="0" fontId="136" fillId="69" borderId="0" xfId="0" applyFont="1" applyFill="1"/>
    <xf numFmtId="166" fontId="20" fillId="69" borderId="0" xfId="0" applyNumberFormat="1" applyFont="1" applyFill="1"/>
    <xf numFmtId="2" fontId="20" fillId="0" borderId="0" xfId="0" applyNumberFormat="1" applyFont="1"/>
    <xf numFmtId="0" fontId="149" fillId="0" borderId="0" xfId="0" applyFont="1" applyAlignment="1"/>
    <xf numFmtId="0" fontId="20" fillId="0" borderId="0" xfId="0" applyFont="1" applyAlignment="1"/>
    <xf numFmtId="0" fontId="136" fillId="0" borderId="40" xfId="0" applyFont="1" applyBorder="1" applyAlignment="1">
      <alignment horizontal="center" vertical="center" wrapText="1"/>
    </xf>
    <xf numFmtId="166" fontId="130" fillId="0" borderId="0" xfId="0" applyNumberFormat="1" applyFont="1" applyAlignment="1">
      <alignment horizontal="center" vertical="center" wrapText="1"/>
    </xf>
    <xf numFmtId="166" fontId="20" fillId="0" borderId="0" xfId="0" applyNumberFormat="1" applyFont="1" applyFill="1"/>
    <xf numFmtId="173" fontId="20" fillId="0" borderId="0" xfId="0" applyNumberFormat="1" applyFont="1" applyFill="1"/>
    <xf numFmtId="173" fontId="20" fillId="0" borderId="0" xfId="0" applyNumberFormat="1" applyFont="1"/>
    <xf numFmtId="166" fontId="130" fillId="0" borderId="0" xfId="0" applyNumberFormat="1" applyFont="1" applyAlignment="1">
      <alignment horizontal="center" vertical="center"/>
    </xf>
    <xf numFmtId="166" fontId="130" fillId="0" borderId="0" xfId="0" applyNumberFormat="1" applyFont="1" applyBorder="1" applyAlignment="1">
      <alignment horizontal="center" vertical="center" wrapText="1"/>
    </xf>
    <xf numFmtId="166" fontId="130" fillId="0" borderId="0" xfId="0" applyNumberFormat="1" applyFont="1" applyBorder="1" applyAlignment="1">
      <alignment horizontal="center" vertical="center"/>
    </xf>
    <xf numFmtId="0" fontId="131" fillId="0" borderId="1" xfId="0" applyFont="1" applyBorder="1" applyAlignment="1">
      <alignment horizontal="center" vertical="center"/>
    </xf>
    <xf numFmtId="166" fontId="130" fillId="0" borderId="1" xfId="0" applyNumberFormat="1" applyFont="1" applyBorder="1" applyAlignment="1">
      <alignment horizontal="center" vertical="center" wrapText="1"/>
    </xf>
    <xf numFmtId="166" fontId="130" fillId="0" borderId="1" xfId="0" applyNumberFormat="1" applyFont="1" applyBorder="1" applyAlignment="1">
      <alignment horizontal="center" vertical="center"/>
    </xf>
    <xf numFmtId="0" fontId="149" fillId="0" borderId="0" xfId="0" applyFont="1"/>
    <xf numFmtId="176" fontId="20" fillId="0" borderId="0" xfId="0" applyNumberFormat="1" applyFont="1"/>
    <xf numFmtId="0" fontId="20" fillId="67" borderId="0" xfId="1501" applyFont="1" applyFill="1" applyAlignment="1">
      <alignment horizontal="centerContinuous"/>
    </xf>
    <xf numFmtId="0" fontId="144" fillId="0" borderId="0" xfId="1503" applyFont="1" applyAlignment="1"/>
    <xf numFmtId="0" fontId="20" fillId="67" borderId="0" xfId="1501" applyFont="1" applyFill="1" applyAlignment="1"/>
    <xf numFmtId="0" fontId="145" fillId="67" borderId="0" xfId="1506" applyFont="1" applyFill="1" applyAlignment="1">
      <alignment horizontal="left"/>
    </xf>
    <xf numFmtId="0" fontId="149" fillId="0" borderId="40" xfId="51" applyFont="1" applyBorder="1" applyAlignment="1"/>
    <xf numFmtId="0" fontId="149" fillId="0" borderId="40" xfId="51" applyFont="1" applyBorder="1" applyAlignment="1">
      <alignment horizontal="left"/>
    </xf>
    <xf numFmtId="0" fontId="20" fillId="0" borderId="40" xfId="51" applyFont="1" applyBorder="1"/>
    <xf numFmtId="0" fontId="20" fillId="0" borderId="2" xfId="51" applyFont="1" applyBorder="1"/>
    <xf numFmtId="0" fontId="20" fillId="0" borderId="0" xfId="51" applyFont="1"/>
    <xf numFmtId="0" fontId="139" fillId="0" borderId="42" xfId="0" applyFont="1" applyFill="1" applyBorder="1" applyAlignment="1">
      <alignment horizontal="left" vertical="center" wrapText="1"/>
    </xf>
    <xf numFmtId="0" fontId="139" fillId="0" borderId="42" xfId="0" applyFont="1" applyFill="1" applyBorder="1" applyAlignment="1">
      <alignment horizontal="center" vertical="center"/>
    </xf>
    <xf numFmtId="0" fontId="139" fillId="0" borderId="1" xfId="0" applyFont="1" applyFill="1" applyBorder="1" applyAlignment="1">
      <alignment horizontal="center" vertical="center"/>
    </xf>
    <xf numFmtId="0" fontId="132" fillId="0" borderId="0" xfId="0" applyFont="1" applyBorder="1" applyAlignment="1">
      <alignment horizontal="left" vertical="center" wrapText="1"/>
    </xf>
    <xf numFmtId="179" fontId="132" fillId="0" borderId="0" xfId="8" applyNumberFormat="1" applyFont="1" applyFill="1" applyBorder="1" applyAlignment="1">
      <alignment vertical="center" wrapText="1"/>
    </xf>
    <xf numFmtId="0" fontId="132" fillId="0" borderId="1" xfId="0" applyFont="1" applyBorder="1" applyAlignment="1">
      <alignment horizontal="left" vertical="center" wrapText="1"/>
    </xf>
    <xf numFmtId="179" fontId="20" fillId="0" borderId="1" xfId="8" applyNumberFormat="1" applyFont="1" applyBorder="1" applyAlignment="1"/>
    <xf numFmtId="179" fontId="132" fillId="0" borderId="1" xfId="8" applyNumberFormat="1" applyFont="1" applyFill="1" applyBorder="1" applyAlignment="1">
      <alignment vertical="center" wrapText="1"/>
    </xf>
    <xf numFmtId="0" fontId="152" fillId="0" borderId="0" xfId="0" applyFont="1" applyBorder="1" applyAlignment="1">
      <alignment horizontal="left" vertical="center" wrapText="1"/>
    </xf>
    <xf numFmtId="179" fontId="152" fillId="0" borderId="0" xfId="8" applyNumberFormat="1" applyFont="1" applyFill="1" applyBorder="1" applyAlignment="1">
      <alignment vertical="center" wrapText="1"/>
    </xf>
    <xf numFmtId="0" fontId="152" fillId="0" borderId="2" xfId="51" applyFont="1" applyBorder="1"/>
    <xf numFmtId="179" fontId="152" fillId="0" borderId="2" xfId="8" applyNumberFormat="1" applyFont="1" applyBorder="1" applyAlignment="1"/>
    <xf numFmtId="167" fontId="132" fillId="0" borderId="0" xfId="0" applyNumberFormat="1" applyFont="1" applyFill="1" applyBorder="1" applyAlignment="1">
      <alignment horizontal="center" vertical="center" wrapText="1"/>
    </xf>
    <xf numFmtId="0" fontId="149" fillId="0" borderId="0" xfId="51" applyFont="1" applyBorder="1" applyAlignment="1"/>
    <xf numFmtId="0" fontId="149" fillId="0" borderId="2" xfId="51" applyFont="1" applyBorder="1" applyAlignment="1"/>
    <xf numFmtId="0" fontId="149" fillId="0" borderId="0" xfId="51" applyFont="1" applyBorder="1" applyAlignment="1">
      <alignment horizontal="left"/>
    </xf>
    <xf numFmtId="0" fontId="139" fillId="0" borderId="42" xfId="0" applyFont="1" applyFill="1" applyBorder="1" applyAlignment="1">
      <alignment horizontal="right" vertical="center" wrapText="1"/>
    </xf>
    <xf numFmtId="0" fontId="136" fillId="0" borderId="0" xfId="51" applyFont="1"/>
    <xf numFmtId="166" fontId="137" fillId="0" borderId="0" xfId="2" applyNumberFormat="1" applyFont="1" applyFill="1"/>
    <xf numFmtId="166" fontId="138" fillId="0" borderId="0" xfId="2" applyNumberFormat="1" applyFont="1"/>
    <xf numFmtId="166" fontId="137" fillId="0" borderId="0" xfId="2" applyNumberFormat="1" applyFont="1"/>
    <xf numFmtId="166" fontId="138" fillId="0" borderId="40" xfId="2" applyNumberFormat="1" applyFont="1" applyBorder="1"/>
    <xf numFmtId="166" fontId="153" fillId="0" borderId="0" xfId="51" applyNumberFormat="1" applyFont="1" applyBorder="1" applyAlignment="1">
      <alignment horizontal="right" vertical="center"/>
    </xf>
    <xf numFmtId="0" fontId="20" fillId="0" borderId="0" xfId="51" applyFont="1" applyFill="1"/>
    <xf numFmtId="3" fontId="20" fillId="0" borderId="0" xfId="119" applyNumberFormat="1" applyFont="1" applyFill="1" applyBorder="1" applyProtection="1">
      <protection locked="0"/>
    </xf>
    <xf numFmtId="0" fontId="132" fillId="0" borderId="0" xfId="119" applyFont="1" applyFill="1" applyBorder="1"/>
    <xf numFmtId="0" fontId="20" fillId="0" borderId="0" xfId="51" applyFont="1" applyFill="1" applyBorder="1"/>
    <xf numFmtId="3" fontId="150" fillId="0" borderId="0" xfId="119" applyNumberFormat="1" applyFont="1" applyFill="1" applyBorder="1" applyProtection="1">
      <protection locked="0"/>
    </xf>
    <xf numFmtId="0" fontId="136" fillId="0" borderId="0" xfId="51" applyFont="1" applyFill="1" applyBorder="1"/>
    <xf numFmtId="3" fontId="136" fillId="0" borderId="0" xfId="119" applyNumberFormat="1" applyFont="1" applyFill="1" applyBorder="1"/>
    <xf numFmtId="3" fontId="20" fillId="0" borderId="0" xfId="119" applyNumberFormat="1" applyFont="1" applyFill="1" applyBorder="1"/>
    <xf numFmtId="0" fontId="20" fillId="0" borderId="0" xfId="51" applyFont="1" applyFill="1" applyBorder="1" applyAlignment="1">
      <alignment wrapText="1"/>
    </xf>
    <xf numFmtId="3" fontId="20" fillId="0" borderId="0" xfId="51" applyNumberFormat="1" applyFont="1" applyFill="1" applyBorder="1"/>
    <xf numFmtId="4" fontId="20" fillId="0" borderId="0" xfId="51" applyNumberFormat="1" applyFont="1" applyFill="1" applyBorder="1"/>
    <xf numFmtId="0" fontId="20" fillId="0" borderId="0" xfId="121" applyFont="1" applyFill="1" applyBorder="1"/>
    <xf numFmtId="3" fontId="20" fillId="0" borderId="0" xfId="121" applyNumberFormat="1" applyFont="1" applyFill="1" applyBorder="1"/>
    <xf numFmtId="10" fontId="20" fillId="0" borderId="0" xfId="120" applyNumberFormat="1" applyFont="1" applyFill="1" applyBorder="1" applyProtection="1">
      <protection locked="0"/>
    </xf>
    <xf numFmtId="1" fontId="20" fillId="0" borderId="0" xfId="51" applyNumberFormat="1" applyFont="1" applyFill="1" applyBorder="1"/>
    <xf numFmtId="0" fontId="150" fillId="0" borderId="0" xfId="51" applyFont="1" applyFill="1" applyBorder="1"/>
    <xf numFmtId="0" fontId="132" fillId="0" borderId="0" xfId="51" applyFont="1" applyFill="1" applyBorder="1"/>
    <xf numFmtId="0" fontId="20" fillId="0" borderId="0" xfId="51" applyFont="1" applyFill="1" applyBorder="1" applyAlignment="1">
      <alignment horizontal="center"/>
    </xf>
    <xf numFmtId="1" fontId="20" fillId="0" borderId="0" xfId="51" applyNumberFormat="1" applyFont="1" applyFill="1" applyBorder="1" applyAlignment="1">
      <alignment horizontal="center"/>
    </xf>
    <xf numFmtId="0" fontId="20" fillId="0" borderId="0" xfId="1505" applyFont="1"/>
    <xf numFmtId="0" fontId="138" fillId="0" borderId="0" xfId="1505" applyFont="1" applyAlignment="1">
      <alignment vertical="top" wrapText="1"/>
    </xf>
    <xf numFmtId="0" fontId="134" fillId="0" borderId="0" xfId="1505" applyFont="1" applyAlignment="1">
      <alignment vertical="top"/>
    </xf>
    <xf numFmtId="0" fontId="20" fillId="0" borderId="0" xfId="1504" applyFont="1"/>
    <xf numFmtId="0" fontId="149" fillId="0" borderId="2" xfId="1504" applyFont="1" applyBorder="1" applyAlignment="1">
      <alignment horizontal="left"/>
    </xf>
    <xf numFmtId="0" fontId="149" fillId="0" borderId="0" xfId="1504" applyFont="1" applyAlignment="1">
      <alignment horizontal="left"/>
    </xf>
    <xf numFmtId="0" fontId="20" fillId="0" borderId="43" xfId="0" applyFont="1" applyBorder="1"/>
    <xf numFmtId="0" fontId="20" fillId="0" borderId="43" xfId="0" applyFont="1" applyBorder="1" applyAlignment="1">
      <alignment horizontal="right"/>
    </xf>
    <xf numFmtId="0" fontId="20" fillId="0" borderId="1" xfId="0" applyFont="1" applyBorder="1"/>
    <xf numFmtId="166" fontId="136" fillId="0" borderId="1" xfId="0" applyNumberFormat="1" applyFont="1" applyBorder="1"/>
    <xf numFmtId="0" fontId="136" fillId="0" borderId="0" xfId="0" applyFont="1" applyAlignment="1">
      <alignment horizontal="center"/>
    </xf>
    <xf numFmtId="0" fontId="20" fillId="0" borderId="0" xfId="1504" applyFont="1" applyAlignment="1">
      <alignment horizontal="center"/>
    </xf>
    <xf numFmtId="0" fontId="20" fillId="0" borderId="0" xfId="0" applyFont="1" applyAlignment="1">
      <alignment horizontal="center"/>
    </xf>
    <xf numFmtId="0" fontId="153" fillId="0" borderId="0" xfId="0" applyFont="1" applyAlignment="1">
      <alignment horizontal="right" vertical="center" wrapText="1"/>
    </xf>
    <xf numFmtId="0" fontId="145" fillId="0" borderId="0" xfId="1504" applyFont="1"/>
    <xf numFmtId="0" fontId="153" fillId="0" borderId="0" xfId="0" applyFont="1" applyAlignment="1">
      <alignment horizontal="right" vertical="center"/>
    </xf>
    <xf numFmtId="0" fontId="153" fillId="0" borderId="0" xfId="0" applyFont="1" applyAlignment="1">
      <alignment horizontal="left" vertical="center"/>
    </xf>
    <xf numFmtId="0" fontId="131" fillId="0" borderId="2" xfId="0" applyFont="1" applyBorder="1" applyAlignment="1">
      <alignment horizontal="center" vertical="center"/>
    </xf>
    <xf numFmtId="0" fontId="130" fillId="0" borderId="2" xfId="0" applyFont="1" applyBorder="1" applyAlignment="1">
      <alignment horizontal="center" vertical="center" wrapText="1"/>
    </xf>
    <xf numFmtId="0" fontId="131" fillId="0" borderId="0" xfId="0" applyFont="1" applyBorder="1" applyAlignment="1">
      <alignment vertical="center"/>
    </xf>
    <xf numFmtId="0" fontId="131" fillId="0" borderId="2" xfId="0" applyFont="1" applyBorder="1" applyAlignment="1">
      <alignment horizontal="center" vertical="center" wrapText="1"/>
    </xf>
    <xf numFmtId="0" fontId="131" fillId="0" borderId="1" xfId="0" applyFont="1" applyBorder="1" applyAlignment="1">
      <alignment horizontal="center" vertical="center" wrapText="1"/>
    </xf>
    <xf numFmtId="0" fontId="131" fillId="0" borderId="2" xfId="0" applyFont="1" applyBorder="1" applyAlignment="1">
      <alignment horizontal="center" vertical="center"/>
    </xf>
    <xf numFmtId="0" fontId="20" fillId="0" borderId="2" xfId="0" applyFont="1" applyBorder="1"/>
    <xf numFmtId="0" fontId="145" fillId="0" borderId="0" xfId="0" applyFont="1" applyAlignment="1">
      <alignment horizontal="left" vertical="center"/>
    </xf>
    <xf numFmtId="0" fontId="145" fillId="0" borderId="0" xfId="0" applyFont="1" applyAlignment="1">
      <alignment horizontal="right" vertical="center"/>
    </xf>
    <xf numFmtId="0" fontId="145" fillId="0" borderId="0" xfId="0" applyFont="1" applyAlignment="1">
      <alignment horizontal="right" vertical="top"/>
    </xf>
    <xf numFmtId="0" fontId="130" fillId="0" borderId="43" xfId="0" applyFont="1" applyBorder="1" applyAlignment="1">
      <alignment vertical="center"/>
    </xf>
    <xf numFmtId="0" fontId="130" fillId="0" borderId="43" xfId="0" applyFont="1" applyFill="1" applyBorder="1" applyAlignment="1">
      <alignment vertical="center"/>
    </xf>
    <xf numFmtId="0" fontId="130" fillId="0" borderId="43" xfId="0" applyFont="1" applyBorder="1" applyAlignment="1">
      <alignment horizontal="center" vertical="center" wrapText="1"/>
    </xf>
    <xf numFmtId="0" fontId="130" fillId="0" borderId="0" xfId="0" applyFont="1" applyBorder="1" applyAlignment="1">
      <alignment horizontal="center" vertical="center" wrapText="1"/>
    </xf>
    <xf numFmtId="0" fontId="130" fillId="0" borderId="2" xfId="0" applyFont="1" applyBorder="1" applyAlignment="1">
      <alignment vertical="center"/>
    </xf>
    <xf numFmtId="0" fontId="130" fillId="0" borderId="2" xfId="0" applyFont="1" applyFill="1" applyBorder="1" applyAlignment="1">
      <alignment vertical="center"/>
    </xf>
    <xf numFmtId="0" fontId="134" fillId="0" borderId="0" xfId="0" applyFont="1" applyBorder="1" applyAlignment="1">
      <alignment horizontal="justify" vertical="center"/>
    </xf>
    <xf numFmtId="0" fontId="134" fillId="0" borderId="2" xfId="0" applyFont="1" applyBorder="1" applyAlignment="1">
      <alignment vertical="center"/>
    </xf>
    <xf numFmtId="0" fontId="130" fillId="0" borderId="4" xfId="0" applyFont="1" applyBorder="1" applyAlignment="1">
      <alignment vertical="center" wrapText="1"/>
    </xf>
    <xf numFmtId="0" fontId="144" fillId="0" borderId="48" xfId="0" applyFont="1" applyBorder="1" applyAlignment="1">
      <alignment vertical="center"/>
    </xf>
    <xf numFmtId="0" fontId="131" fillId="0" borderId="48" xfId="0" applyFont="1" applyBorder="1" applyAlignment="1">
      <alignment horizontal="center" vertical="center" wrapText="1"/>
    </xf>
    <xf numFmtId="0" fontId="131" fillId="0" borderId="4" xfId="0" applyFont="1" applyFill="1" applyBorder="1" applyAlignment="1">
      <alignment vertical="center"/>
    </xf>
    <xf numFmtId="0" fontId="131" fillId="0" borderId="48" xfId="0" applyFont="1" applyFill="1" applyBorder="1" applyAlignment="1">
      <alignment horizontal="center" vertical="center"/>
    </xf>
    <xf numFmtId="0" fontId="131" fillId="0" borderId="49" xfId="0" applyFont="1" applyFill="1" applyBorder="1" applyAlignment="1">
      <alignment horizontal="center" vertical="center"/>
    </xf>
    <xf numFmtId="0" fontId="131" fillId="0" borderId="2" xfId="0" applyFont="1" applyFill="1" applyBorder="1" applyAlignment="1">
      <alignment horizontal="center" vertical="center" wrapText="1"/>
    </xf>
    <xf numFmtId="0" fontId="131" fillId="0" borderId="2" xfId="0" applyFont="1" applyFill="1" applyBorder="1" applyAlignment="1">
      <alignment vertical="center"/>
    </xf>
    <xf numFmtId="166" fontId="131" fillId="0" borderId="49" xfId="0" applyNumberFormat="1" applyFont="1" applyFill="1" applyBorder="1" applyAlignment="1">
      <alignment horizontal="center" vertical="center"/>
    </xf>
    <xf numFmtId="166" fontId="131" fillId="0" borderId="2" xfId="0" applyNumberFormat="1" applyFont="1" applyFill="1" applyBorder="1" applyAlignment="1">
      <alignment horizontal="center" vertical="center"/>
    </xf>
    <xf numFmtId="0" fontId="130" fillId="0" borderId="53" xfId="0" applyFont="1" applyFill="1" applyBorder="1" applyAlignment="1">
      <alignment vertical="center"/>
    </xf>
    <xf numFmtId="0" fontId="130" fillId="0" borderId="51" xfId="0" applyFont="1" applyFill="1" applyBorder="1" applyAlignment="1">
      <alignment horizontal="center" vertical="center"/>
    </xf>
    <xf numFmtId="166" fontId="130" fillId="0" borderId="47" xfId="0" applyNumberFormat="1" applyFont="1" applyFill="1" applyBorder="1" applyAlignment="1">
      <alignment horizontal="center" vertical="center"/>
    </xf>
    <xf numFmtId="166" fontId="130" fillId="0" borderId="0" xfId="0" applyNumberFormat="1" applyFont="1" applyFill="1" applyBorder="1" applyAlignment="1">
      <alignment horizontal="center" vertical="center"/>
    </xf>
    <xf numFmtId="0" fontId="130" fillId="0" borderId="7" xfId="0" applyFont="1" applyFill="1" applyBorder="1" applyAlignment="1">
      <alignment vertical="center"/>
    </xf>
    <xf numFmtId="0" fontId="130" fillId="0" borderId="47" xfId="0" applyFont="1" applyFill="1" applyBorder="1" applyAlignment="1">
      <alignment horizontal="center" vertical="center" wrapText="1"/>
    </xf>
    <xf numFmtId="166" fontId="130" fillId="0" borderId="47" xfId="0" applyNumberFormat="1" applyFont="1" applyFill="1" applyBorder="1" applyAlignment="1">
      <alignment horizontal="center" vertical="center" wrapText="1"/>
    </xf>
    <xf numFmtId="0" fontId="130" fillId="0" borderId="47" xfId="0" applyFont="1" applyFill="1" applyBorder="1" applyAlignment="1">
      <alignment horizontal="center" vertical="center"/>
    </xf>
    <xf numFmtId="0" fontId="130" fillId="0" borderId="50" xfId="0" applyFont="1" applyFill="1" applyBorder="1" applyAlignment="1">
      <alignment vertical="center"/>
    </xf>
    <xf numFmtId="0" fontId="130" fillId="0" borderId="49" xfId="0" applyFont="1" applyFill="1" applyBorder="1" applyAlignment="1">
      <alignment vertical="center"/>
    </xf>
    <xf numFmtId="166" fontId="130" fillId="0" borderId="52" xfId="0" applyNumberFormat="1" applyFont="1" applyFill="1" applyBorder="1" applyAlignment="1">
      <alignment horizontal="center" vertical="center"/>
    </xf>
    <xf numFmtId="166" fontId="130" fillId="0" borderId="49" xfId="0" applyNumberFormat="1" applyFont="1" applyFill="1" applyBorder="1" applyAlignment="1">
      <alignment horizontal="center" vertical="center"/>
    </xf>
    <xf numFmtId="166" fontId="130" fillId="0" borderId="2" xfId="0" applyNumberFormat="1" applyFont="1" applyFill="1" applyBorder="1" applyAlignment="1">
      <alignment horizontal="center" vertical="center"/>
    </xf>
    <xf numFmtId="166" fontId="131" fillId="0" borderId="48" xfId="0" applyNumberFormat="1" applyFont="1" applyFill="1" applyBorder="1" applyAlignment="1">
      <alignment horizontal="center" vertical="center"/>
    </xf>
    <xf numFmtId="166" fontId="131" fillId="0" borderId="4" xfId="0" applyNumberFormat="1" applyFont="1" applyFill="1" applyBorder="1" applyAlignment="1">
      <alignment horizontal="center" vertical="center"/>
    </xf>
    <xf numFmtId="0" fontId="130" fillId="0" borderId="0" xfId="0" applyFont="1" applyFill="1" applyAlignment="1">
      <alignment horizontal="left" vertical="center" indent="1"/>
    </xf>
    <xf numFmtId="0" fontId="130" fillId="0" borderId="49" xfId="0" applyFont="1" applyFill="1" applyBorder="1" applyAlignment="1">
      <alignment horizontal="center" vertical="center"/>
    </xf>
    <xf numFmtId="0" fontId="130" fillId="0" borderId="4" xfId="0" applyFont="1" applyBorder="1" applyAlignment="1">
      <alignment vertical="center"/>
    </xf>
    <xf numFmtId="166" fontId="131" fillId="0" borderId="49" xfId="0" applyNumberFormat="1" applyFont="1" applyBorder="1" applyAlignment="1">
      <alignment horizontal="center" vertical="center"/>
    </xf>
    <xf numFmtId="166" fontId="131" fillId="0" borderId="2" xfId="0" applyNumberFormat="1" applyFont="1" applyBorder="1" applyAlignment="1">
      <alignment horizontal="center" vertical="center"/>
    </xf>
    <xf numFmtId="0" fontId="130" fillId="0" borderId="0" xfId="0" applyFont="1"/>
    <xf numFmtId="0" fontId="131" fillId="0" borderId="47" xfId="0" applyFont="1" applyFill="1" applyBorder="1" applyAlignment="1">
      <alignment horizontal="center" vertical="center"/>
    </xf>
    <xf numFmtId="166" fontId="131" fillId="0" borderId="47" xfId="0" applyNumberFormat="1" applyFont="1" applyFill="1" applyBorder="1" applyAlignment="1">
      <alignment horizontal="center" vertical="center"/>
    </xf>
    <xf numFmtId="166" fontId="131" fillId="0" borderId="5" xfId="0" applyNumberFormat="1" applyFont="1" applyFill="1" applyBorder="1" applyAlignment="1">
      <alignment horizontal="center" vertical="center"/>
    </xf>
    <xf numFmtId="0" fontId="134" fillId="0" borderId="0" xfId="0" applyFont="1" applyBorder="1" applyAlignment="1">
      <alignment vertical="center"/>
    </xf>
    <xf numFmtId="0" fontId="131" fillId="0" borderId="7" xfId="0" applyFont="1" applyBorder="1" applyAlignment="1">
      <alignment horizontal="center" vertical="center"/>
    </xf>
    <xf numFmtId="0" fontId="131" fillId="0" borderId="8" xfId="0" applyFont="1" applyBorder="1" applyAlignment="1">
      <alignment vertical="center"/>
    </xf>
    <xf numFmtId="0" fontId="135" fillId="0" borderId="4" xfId="0" applyFont="1" applyBorder="1" applyAlignment="1">
      <alignment horizontal="center" vertical="center"/>
    </xf>
    <xf numFmtId="0" fontId="135" fillId="0" borderId="8" xfId="0" applyFont="1" applyBorder="1" applyAlignment="1">
      <alignment horizontal="center" vertical="center"/>
    </xf>
    <xf numFmtId="0" fontId="131" fillId="0" borderId="8" xfId="0" applyFont="1" applyBorder="1" applyAlignment="1">
      <alignment horizontal="center" vertical="center"/>
    </xf>
    <xf numFmtId="0" fontId="131" fillId="0" borderId="4" xfId="0" applyFont="1" applyBorder="1" applyAlignment="1">
      <alignment horizontal="center" vertical="center"/>
    </xf>
    <xf numFmtId="0" fontId="131" fillId="0" borderId="7" xfId="0" applyFont="1" applyBorder="1" applyAlignment="1">
      <alignment vertical="center"/>
    </xf>
    <xf numFmtId="0" fontId="135" fillId="0" borderId="0" xfId="0" applyFont="1" applyAlignment="1">
      <alignment horizontal="center" vertical="center"/>
    </xf>
    <xf numFmtId="0" fontId="131" fillId="0" borderId="50" xfId="0" applyFont="1" applyBorder="1" applyAlignment="1">
      <alignment vertical="center"/>
    </xf>
    <xf numFmtId="0" fontId="135" fillId="0" borderId="2" xfId="0" applyFont="1" applyBorder="1" applyAlignment="1">
      <alignment horizontal="center" vertical="center"/>
    </xf>
    <xf numFmtId="0" fontId="131" fillId="0" borderId="50" xfId="0" applyFont="1" applyBorder="1" applyAlignment="1">
      <alignment horizontal="center" vertical="center"/>
    </xf>
    <xf numFmtId="0" fontId="153" fillId="0" borderId="0" xfId="0" applyFont="1" applyAlignment="1">
      <alignment horizontal="justify" vertical="center"/>
    </xf>
    <xf numFmtId="0" fontId="20" fillId="0" borderId="0" xfId="0" applyFont="1" applyAlignment="1">
      <alignment horizontal="justify" vertical="center"/>
    </xf>
    <xf numFmtId="0" fontId="130" fillId="0" borderId="2" xfId="0" applyFont="1" applyBorder="1" applyAlignment="1">
      <alignment vertical="center" wrapText="1"/>
    </xf>
    <xf numFmtId="0" fontId="144" fillId="0" borderId="49" xfId="0" applyFont="1" applyBorder="1" applyAlignment="1">
      <alignment vertical="center"/>
    </xf>
    <xf numFmtId="0" fontId="131" fillId="0" borderId="49" xfId="0" applyFont="1" applyBorder="1" applyAlignment="1">
      <alignment horizontal="center" vertical="center" wrapText="1"/>
    </xf>
    <xf numFmtId="0" fontId="131" fillId="0" borderId="52" xfId="0" applyFont="1" applyBorder="1" applyAlignment="1">
      <alignment horizontal="center" vertical="center"/>
    </xf>
    <xf numFmtId="0" fontId="131" fillId="0" borderId="5" xfId="0" applyFont="1" applyBorder="1" applyAlignment="1">
      <alignment horizontal="center" vertical="center"/>
    </xf>
    <xf numFmtId="0" fontId="154" fillId="0" borderId="0" xfId="0" applyFont="1"/>
    <xf numFmtId="3" fontId="20" fillId="0" borderId="0" xfId="0" applyNumberFormat="1" applyFont="1" applyFill="1"/>
    <xf numFmtId="0" fontId="134" fillId="0" borderId="0" xfId="0" applyFont="1" applyFill="1" applyBorder="1" applyAlignment="1">
      <alignment vertical="center"/>
    </xf>
    <xf numFmtId="0" fontId="134" fillId="0" borderId="0" xfId="0" applyFont="1" applyFill="1" applyBorder="1" applyAlignment="1">
      <alignment vertical="center" wrapText="1"/>
    </xf>
    <xf numFmtId="0" fontId="154" fillId="0" borderId="0" xfId="0" applyFont="1" applyFill="1" applyBorder="1" applyAlignment="1">
      <alignment vertical="center" wrapText="1"/>
    </xf>
    <xf numFmtId="0" fontId="136" fillId="0" borderId="21" xfId="0" applyFont="1" applyFill="1" applyBorder="1" applyAlignment="1">
      <alignment vertical="center" wrapText="1"/>
    </xf>
    <xf numFmtId="0" fontId="136" fillId="0" borderId="21" xfId="0" applyFont="1" applyFill="1" applyBorder="1" applyAlignment="1">
      <alignment horizontal="center" vertical="center" wrapText="1"/>
    </xf>
    <xf numFmtId="1" fontId="136" fillId="0" borderId="21" xfId="0" applyNumberFormat="1" applyFont="1" applyFill="1" applyBorder="1" applyAlignment="1">
      <alignment horizontal="center" vertical="center" wrapText="1"/>
    </xf>
    <xf numFmtId="0" fontId="154" fillId="0" borderId="0" xfId="0" applyFont="1" applyFill="1" applyBorder="1" applyAlignment="1">
      <alignment horizontal="center" vertical="center" wrapText="1"/>
    </xf>
    <xf numFmtId="0" fontId="131" fillId="0" borderId="0" xfId="0" applyFont="1" applyAlignment="1">
      <alignment horizontal="justify" vertical="center"/>
    </xf>
    <xf numFmtId="0" fontId="20" fillId="0" borderId="0" xfId="0" applyFont="1" applyFill="1" applyBorder="1" applyAlignment="1">
      <alignment horizontal="center" vertical="center" wrapText="1"/>
    </xf>
    <xf numFmtId="3" fontId="154" fillId="0" borderId="0" xfId="0" applyNumberFormat="1" applyFont="1" applyFill="1" applyBorder="1" applyAlignment="1">
      <alignment horizontal="center" vertical="center" wrapText="1"/>
    </xf>
    <xf numFmtId="0" fontId="136" fillId="0" borderId="0" xfId="0" applyFont="1" applyFill="1" applyBorder="1" applyAlignment="1">
      <alignment horizontal="center" vertical="center" wrapText="1"/>
    </xf>
    <xf numFmtId="3" fontId="154" fillId="0" borderId="0" xfId="0" applyNumberFormat="1" applyFont="1" applyFill="1" applyBorder="1" applyAlignment="1">
      <alignment horizontal="center" vertical="center"/>
    </xf>
    <xf numFmtId="0" fontId="20" fillId="0" borderId="0" xfId="0" applyFont="1" applyFill="1" applyAlignment="1">
      <alignment vertical="center"/>
    </xf>
    <xf numFmtId="1" fontId="130" fillId="0" borderId="0" xfId="0" applyNumberFormat="1" applyFont="1" applyAlignment="1">
      <alignment horizontal="center" vertical="center"/>
    </xf>
    <xf numFmtId="0" fontId="131" fillId="0" borderId="0" xfId="0" applyFont="1" applyAlignment="1">
      <alignment horizontal="center" vertical="center" wrapText="1"/>
    </xf>
    <xf numFmtId="0" fontId="136" fillId="0" borderId="0" xfId="0" applyFont="1" applyFill="1" applyBorder="1" applyAlignment="1">
      <alignment vertical="center" wrapText="1"/>
    </xf>
    <xf numFmtId="1" fontId="136" fillId="0" borderId="0" xfId="0" applyNumberFormat="1" applyFont="1" applyFill="1" applyBorder="1" applyAlignment="1">
      <alignment horizontal="center" vertical="center" wrapText="1"/>
    </xf>
    <xf numFmtId="3" fontId="154" fillId="0" borderId="0" xfId="0" applyNumberFormat="1" applyFont="1" applyFill="1" applyAlignment="1">
      <alignment horizontal="center" vertical="center" wrapText="1"/>
    </xf>
    <xf numFmtId="3" fontId="131" fillId="0" borderId="0" xfId="0" applyNumberFormat="1" applyFont="1" applyFill="1" applyAlignment="1">
      <alignment horizontal="center" vertical="center" wrapText="1"/>
    </xf>
    <xf numFmtId="0" fontId="149" fillId="0" borderId="1" xfId="0" applyFont="1" applyBorder="1"/>
    <xf numFmtId="0" fontId="20" fillId="0" borderId="0" xfId="0" applyFont="1" applyFill="1" applyBorder="1"/>
    <xf numFmtId="0" fontId="136" fillId="0" borderId="0" xfId="0" applyFont="1" applyFill="1" applyBorder="1"/>
    <xf numFmtId="0" fontId="20" fillId="0" borderId="43" xfId="0" applyFont="1" applyFill="1" applyBorder="1"/>
    <xf numFmtId="166" fontId="20" fillId="0" borderId="43" xfId="0" applyNumberFormat="1" applyFont="1" applyFill="1" applyBorder="1"/>
    <xf numFmtId="166" fontId="20" fillId="0" borderId="0" xfId="0" applyNumberFormat="1" applyFont="1" applyFill="1" applyBorder="1"/>
    <xf numFmtId="0" fontId="155" fillId="0" borderId="0" xfId="0" applyFont="1" applyFill="1" applyBorder="1"/>
    <xf numFmtId="1" fontId="20" fillId="0" borderId="0" xfId="0" applyNumberFormat="1" applyFont="1" applyFill="1" applyBorder="1"/>
    <xf numFmtId="1" fontId="155" fillId="0" borderId="0" xfId="0" applyNumberFormat="1" applyFont="1" applyFill="1" applyBorder="1"/>
    <xf numFmtId="0" fontId="20" fillId="0" borderId="40" xfId="0" applyFont="1" applyFill="1" applyBorder="1"/>
    <xf numFmtId="0" fontId="155" fillId="0" borderId="40" xfId="0" applyFont="1" applyFill="1" applyBorder="1"/>
    <xf numFmtId="1" fontId="155" fillId="0" borderId="40" xfId="0" applyNumberFormat="1" applyFont="1" applyFill="1" applyBorder="1"/>
    <xf numFmtId="0" fontId="149" fillId="0" borderId="0" xfId="0" applyFont="1" applyBorder="1"/>
    <xf numFmtId="0" fontId="149" fillId="0" borderId="40" xfId="0" applyFont="1" applyBorder="1"/>
    <xf numFmtId="0" fontId="139" fillId="0" borderId="0" xfId="0" applyNumberFormat="1" applyFont="1" applyAlignment="1">
      <alignment horizontal="center"/>
    </xf>
    <xf numFmtId="0" fontId="139" fillId="0" borderId="43" xfId="0" applyFont="1" applyBorder="1"/>
    <xf numFmtId="167" fontId="139" fillId="0" borderId="43" xfId="0" applyNumberFormat="1" applyFont="1" applyBorder="1" applyAlignment="1">
      <alignment horizontal="center"/>
    </xf>
    <xf numFmtId="167" fontId="139" fillId="0" borderId="43" xfId="0" applyNumberFormat="1" applyFont="1" applyFill="1" applyBorder="1" applyAlignment="1">
      <alignment horizontal="center"/>
    </xf>
    <xf numFmtId="0" fontId="136" fillId="0" borderId="43" xfId="0" applyFont="1" applyBorder="1"/>
    <xf numFmtId="167" fontId="139" fillId="0" borderId="0" xfId="0" applyNumberFormat="1" applyFont="1" applyAlignment="1">
      <alignment horizontal="center"/>
    </xf>
    <xf numFmtId="0" fontId="139" fillId="0" borderId="0" xfId="0" applyFont="1" applyBorder="1"/>
    <xf numFmtId="0" fontId="132" fillId="0" borderId="0" xfId="0" applyFont="1" applyBorder="1" applyAlignment="1">
      <alignment horizontal="left" indent="1"/>
    </xf>
    <xf numFmtId="167" fontId="132" fillId="0" borderId="0" xfId="0" applyNumberFormat="1" applyFont="1" applyFill="1" applyBorder="1" applyAlignment="1">
      <alignment horizontal="center"/>
    </xf>
    <xf numFmtId="167" fontId="132" fillId="0" borderId="0" xfId="0" applyNumberFormat="1" applyFont="1" applyAlignment="1">
      <alignment horizontal="center"/>
    </xf>
    <xf numFmtId="167" fontId="132" fillId="0" borderId="0" xfId="0" applyNumberFormat="1" applyFont="1" applyBorder="1" applyAlignment="1">
      <alignment horizontal="center"/>
    </xf>
    <xf numFmtId="0" fontId="149" fillId="0" borderId="0" xfId="0" applyFont="1" applyFill="1"/>
    <xf numFmtId="0" fontId="131" fillId="0" borderId="4" xfId="0" applyFont="1" applyBorder="1" applyAlignment="1">
      <alignment horizontal="left" vertical="center"/>
    </xf>
    <xf numFmtId="0" fontId="130" fillId="0" borderId="0" xfId="0" applyFont="1" applyAlignment="1">
      <alignment vertical="center" wrapText="1"/>
    </xf>
    <xf numFmtId="0" fontId="130" fillId="0" borderId="0" xfId="0" applyFont="1" applyFill="1" applyAlignment="1">
      <alignment vertical="center" wrapText="1"/>
    </xf>
    <xf numFmtId="0" fontId="130" fillId="0" borderId="2" xfId="0" applyFont="1" applyFill="1" applyBorder="1" applyAlignment="1">
      <alignment vertical="center" wrapText="1"/>
    </xf>
    <xf numFmtId="0" fontId="20" fillId="0" borderId="2" xfId="0" applyFont="1" applyFill="1" applyBorder="1"/>
    <xf numFmtId="1" fontId="130" fillId="0" borderId="2" xfId="0" applyNumberFormat="1" applyFont="1" applyBorder="1" applyAlignment="1">
      <alignment horizontal="center" vertical="center"/>
    </xf>
    <xf numFmtId="0" fontId="131" fillId="0" borderId="40" xfId="0" applyFont="1" applyBorder="1" applyAlignment="1">
      <alignment vertical="center" wrapText="1"/>
    </xf>
    <xf numFmtId="1" fontId="131" fillId="0" borderId="40" xfId="0" applyNumberFormat="1" applyFont="1" applyFill="1" applyBorder="1" applyAlignment="1">
      <alignment horizontal="center" vertical="center"/>
    </xf>
    <xf numFmtId="0" fontId="153" fillId="0" borderId="0" xfId="0" applyFont="1" applyBorder="1" applyAlignment="1">
      <alignment horizontal="left" vertical="top" wrapText="1"/>
    </xf>
    <xf numFmtId="0" fontId="153" fillId="0" borderId="3" xfId="0" applyFont="1" applyBorder="1" applyAlignment="1">
      <alignment horizontal="left" vertical="top" wrapText="1"/>
    </xf>
    <xf numFmtId="0" fontId="131" fillId="0" borderId="0" xfId="0" applyFont="1" applyFill="1" applyBorder="1" applyAlignment="1">
      <alignment horizontal="center" vertical="center"/>
    </xf>
    <xf numFmtId="0" fontId="153" fillId="0" borderId="0" xfId="0" applyFont="1" applyBorder="1" applyAlignment="1">
      <alignment horizontal="left" vertical="center" wrapText="1"/>
    </xf>
    <xf numFmtId="0" fontId="153" fillId="0" borderId="0" xfId="0" applyFont="1" applyBorder="1" applyAlignment="1">
      <alignment horizontal="right" vertical="top"/>
    </xf>
    <xf numFmtId="0" fontId="131" fillId="0" borderId="0" xfId="0" applyFont="1" applyBorder="1" applyAlignment="1">
      <alignment vertical="center" wrapText="1"/>
    </xf>
    <xf numFmtId="3" fontId="130" fillId="0" borderId="0" xfId="0" applyNumberFormat="1" applyFont="1" applyAlignment="1">
      <alignment horizontal="center" vertical="center"/>
    </xf>
    <xf numFmtId="3" fontId="131" fillId="0" borderId="40" xfId="0" applyNumberFormat="1" applyFont="1" applyBorder="1" applyAlignment="1">
      <alignment horizontal="center" vertical="center"/>
    </xf>
    <xf numFmtId="0" fontId="153" fillId="0" borderId="0" xfId="0" applyFont="1" applyBorder="1" applyAlignment="1">
      <alignment horizontal="right" vertical="top" wrapText="1"/>
    </xf>
    <xf numFmtId="0" fontId="131" fillId="0" borderId="1" xfId="0" applyFont="1" applyBorder="1" applyAlignment="1">
      <alignment vertical="center" wrapText="1"/>
    </xf>
    <xf numFmtId="3" fontId="136" fillId="0" borderId="1" xfId="0" applyNumberFormat="1" applyFont="1" applyBorder="1" applyAlignment="1">
      <alignment horizontal="center" vertical="center" wrapText="1"/>
    </xf>
    <xf numFmtId="0" fontId="20" fillId="0" borderId="0" xfId="0" applyFont="1" applyAlignment="1">
      <alignment vertical="center" wrapText="1"/>
    </xf>
    <xf numFmtId="0" fontId="130" fillId="0" borderId="0" xfId="0" applyFont="1" applyAlignment="1">
      <alignment horizontal="left" vertical="center" indent="1"/>
    </xf>
    <xf numFmtId="3" fontId="130" fillId="0" borderId="0" xfId="0" applyNumberFormat="1" applyFont="1" applyAlignment="1">
      <alignment horizontal="center" vertical="center" wrapText="1"/>
    </xf>
    <xf numFmtId="0" fontId="20" fillId="0" borderId="0" xfId="0" applyFont="1" applyAlignment="1">
      <alignment vertical="top" wrapText="1"/>
    </xf>
    <xf numFmtId="0" fontId="130" fillId="0" borderId="0" xfId="0" applyFont="1" applyBorder="1" applyAlignment="1">
      <alignment horizontal="left" vertical="center" indent="1"/>
    </xf>
    <xf numFmtId="0" fontId="131" fillId="0" borderId="2" xfId="0" applyFont="1" applyBorder="1" applyAlignment="1">
      <alignment horizontal="justify" vertical="center"/>
    </xf>
    <xf numFmtId="0" fontId="131" fillId="0" borderId="0" xfId="0" applyFont="1" applyAlignment="1">
      <alignment horizontal="justify" vertical="center" wrapText="1"/>
    </xf>
    <xf numFmtId="0" fontId="130" fillId="0" borderId="0" xfId="0" applyFont="1" applyAlignment="1">
      <alignment horizontal="left" vertical="center" wrapText="1" indent="1"/>
    </xf>
    <xf numFmtId="0" fontId="153" fillId="0" borderId="0" xfId="0" applyFont="1" applyAlignment="1">
      <alignment horizontal="center" vertical="center" wrapText="1"/>
    </xf>
    <xf numFmtId="0" fontId="153" fillId="0" borderId="0" xfId="0" applyFont="1" applyAlignment="1">
      <alignment horizontal="center" vertical="center"/>
    </xf>
    <xf numFmtId="3" fontId="131" fillId="0" borderId="0" xfId="0" applyNumberFormat="1" applyFont="1" applyAlignment="1">
      <alignment horizontal="center" vertical="center"/>
    </xf>
    <xf numFmtId="0" fontId="130" fillId="0" borderId="0" xfId="0" applyFont="1" applyBorder="1" applyAlignment="1">
      <alignment horizontal="center" vertical="center"/>
    </xf>
    <xf numFmtId="0" fontId="130" fillId="0" borderId="1" xfId="0" applyFont="1" applyBorder="1" applyAlignment="1">
      <alignment horizontal="left" vertical="center" indent="1"/>
    </xf>
    <xf numFmtId="0" fontId="130" fillId="0" borderId="1" xfId="0" applyFont="1" applyBorder="1" applyAlignment="1">
      <alignment horizontal="center" vertical="center" wrapText="1"/>
    </xf>
    <xf numFmtId="0" fontId="153" fillId="0" borderId="0" xfId="0" applyFont="1" applyAlignment="1">
      <alignment horizontal="left" vertical="center" wrapText="1" indent="3"/>
    </xf>
    <xf numFmtId="3" fontId="136" fillId="0" borderId="1" xfId="0" applyNumberFormat="1" applyFont="1" applyBorder="1" applyAlignment="1">
      <alignment horizontal="center" vertical="center"/>
    </xf>
    <xf numFmtId="1" fontId="130" fillId="0" borderId="1" xfId="0" applyNumberFormat="1" applyFont="1" applyBorder="1" applyAlignment="1">
      <alignment horizontal="center" vertical="center"/>
    </xf>
    <xf numFmtId="1" fontId="130" fillId="0" borderId="0" xfId="0" applyNumberFormat="1" applyFont="1" applyBorder="1" applyAlignment="1">
      <alignment horizontal="center" vertical="center"/>
    </xf>
    <xf numFmtId="1" fontId="130" fillId="0" borderId="0" xfId="0" applyNumberFormat="1" applyFont="1" applyBorder="1" applyAlignment="1">
      <alignment horizontal="center" vertical="center" wrapText="1"/>
    </xf>
    <xf numFmtId="1" fontId="131" fillId="0" borderId="0" xfId="0" applyNumberFormat="1" applyFont="1" applyAlignment="1">
      <alignment horizontal="center" vertical="center"/>
    </xf>
    <xf numFmtId="1" fontId="136" fillId="0" borderId="1" xfId="0" applyNumberFormat="1" applyFont="1" applyBorder="1" applyAlignment="1">
      <alignment horizontal="center" vertical="center"/>
    </xf>
    <xf numFmtId="1" fontId="130" fillId="0" borderId="0" xfId="0" applyNumberFormat="1" applyFont="1" applyAlignment="1">
      <alignment horizontal="center" vertical="center" wrapText="1"/>
    </xf>
    <xf numFmtId="1" fontId="131" fillId="0" borderId="0" xfId="0" applyNumberFormat="1" applyFont="1" applyAlignment="1">
      <alignment horizontal="center" vertical="center" wrapText="1"/>
    </xf>
    <xf numFmtId="1" fontId="130" fillId="0" borderId="1" xfId="0" applyNumberFormat="1" applyFont="1" applyBorder="1" applyAlignment="1">
      <alignment horizontal="center" vertical="center" wrapText="1"/>
    </xf>
    <xf numFmtId="1" fontId="153" fillId="0" borderId="0" xfId="0" applyNumberFormat="1" applyFont="1" applyAlignment="1">
      <alignment horizontal="center" vertical="center"/>
    </xf>
    <xf numFmtId="1" fontId="153" fillId="0" borderId="0" xfId="0" applyNumberFormat="1" applyFont="1" applyAlignment="1">
      <alignment horizontal="center" vertical="center" wrapText="1"/>
    </xf>
    <xf numFmtId="0" fontId="132" fillId="0" borderId="0" xfId="0" applyFont="1" applyFill="1" applyAlignment="1">
      <alignment vertical="center" wrapText="1"/>
    </xf>
    <xf numFmtId="0" fontId="132" fillId="0" borderId="0" xfId="0" applyFont="1" applyFill="1"/>
    <xf numFmtId="3" fontId="132" fillId="0" borderId="0" xfId="0" applyNumberFormat="1" applyFont="1" applyFill="1" applyAlignment="1">
      <alignment horizontal="center" vertical="center"/>
    </xf>
    <xf numFmtId="0" fontId="132" fillId="0" borderId="0" xfId="0" applyFont="1" applyFill="1" applyAlignment="1">
      <alignment wrapText="1"/>
    </xf>
    <xf numFmtId="3" fontId="132" fillId="0" borderId="0" xfId="0" applyNumberFormat="1" applyFont="1" applyFill="1" applyBorder="1" applyAlignment="1">
      <alignment horizontal="center" vertical="center"/>
    </xf>
    <xf numFmtId="0" fontId="132" fillId="0" borderId="0" xfId="0" applyFont="1" applyFill="1" applyBorder="1" applyAlignment="1">
      <alignment vertical="center" wrapText="1"/>
    </xf>
    <xf numFmtId="0" fontId="132" fillId="0" borderId="2" xfId="0" applyFont="1" applyFill="1" applyBorder="1" applyAlignment="1">
      <alignment vertical="center" wrapText="1"/>
    </xf>
    <xf numFmtId="0" fontId="132" fillId="0" borderId="2" xfId="0" applyFont="1" applyFill="1" applyBorder="1"/>
    <xf numFmtId="3" fontId="132" fillId="0" borderId="2" xfId="0" applyNumberFormat="1" applyFont="1" applyFill="1" applyBorder="1" applyAlignment="1">
      <alignment horizontal="center" vertical="center"/>
    </xf>
    <xf numFmtId="0" fontId="60" fillId="9" borderId="9" xfId="70" applyFont="1" applyFill="1" applyBorder="1" applyAlignment="1">
      <alignment horizontal="center" vertical="center"/>
    </xf>
    <xf numFmtId="0" fontId="83" fillId="9" borderId="10" xfId="70" applyFont="1" applyFill="1" applyBorder="1" applyAlignment="1">
      <alignment horizontal="center" vertical="center"/>
    </xf>
    <xf numFmtId="2" fontId="60" fillId="9" borderId="10" xfId="25" applyNumberFormat="1" applyFont="1" applyFill="1" applyBorder="1" applyAlignment="1" applyProtection="1">
      <alignment horizontal="right" vertical="center"/>
      <protection locked="0"/>
    </xf>
    <xf numFmtId="4" fontId="60" fillId="9" borderId="54" xfId="5" applyNumberFormat="1" applyFont="1" applyFill="1" applyBorder="1" applyAlignment="1" applyProtection="1">
      <alignment horizontal="right" vertical="center"/>
      <protection locked="0"/>
    </xf>
    <xf numFmtId="167" fontId="60" fillId="12" borderId="54" xfId="5" applyNumberFormat="1" applyFont="1" applyFill="1" applyBorder="1" applyAlignment="1" applyProtection="1">
      <protection locked="0"/>
    </xf>
    <xf numFmtId="10" fontId="60" fillId="9" borderId="9" xfId="25" applyNumberFormat="1" applyFont="1" applyFill="1" applyBorder="1" applyAlignment="1" applyProtection="1">
      <protection locked="0"/>
    </xf>
    <xf numFmtId="4" fontId="60" fillId="9" borderId="18" xfId="5" applyNumberFormat="1" applyFont="1" applyFill="1" applyBorder="1" applyAlignment="1" applyProtection="1">
      <alignment horizontal="right" vertical="center"/>
      <protection locked="0"/>
    </xf>
    <xf numFmtId="2" fontId="86" fillId="9" borderId="19" xfId="25" applyNumberFormat="1" applyFont="1" applyFill="1" applyBorder="1" applyAlignment="1" applyProtection="1">
      <alignment horizontal="center" vertical="center"/>
      <protection locked="0"/>
    </xf>
    <xf numFmtId="10" fontId="60" fillId="9" borderId="19" xfId="25" applyNumberFormat="1" applyFont="1" applyFill="1" applyBorder="1" applyAlignment="1" applyProtection="1">
      <protection locked="0"/>
    </xf>
    <xf numFmtId="4" fontId="60" fillId="9" borderId="9" xfId="5" applyNumberFormat="1" applyFont="1" applyFill="1" applyBorder="1" applyAlignment="1" applyProtection="1">
      <alignment horizontal="right" vertical="center"/>
      <protection locked="0"/>
    </xf>
    <xf numFmtId="4" fontId="83" fillId="8" borderId="9" xfId="69" applyNumberFormat="1" applyFont="1" applyFill="1" applyBorder="1" applyAlignment="1" applyProtection="1"/>
    <xf numFmtId="4" fontId="60" fillId="8" borderId="9" xfId="69" applyNumberFormat="1" applyFont="1" applyFill="1" applyBorder="1" applyAlignment="1" applyProtection="1"/>
    <xf numFmtId="3" fontId="83" fillId="8" borderId="9" xfId="69" applyNumberFormat="1" applyFont="1" applyFill="1" applyBorder="1" applyAlignment="1" applyProtection="1"/>
    <xf numFmtId="167" fontId="78" fillId="0" borderId="55" xfId="29" applyNumberFormat="1" applyFont="1" applyFill="1" applyBorder="1" applyAlignment="1">
      <alignment wrapText="1"/>
    </xf>
    <xf numFmtId="0" fontId="135" fillId="0" borderId="0" xfId="0" applyFont="1" applyFill="1" applyAlignment="1">
      <alignment horizontal="center" vertical="center"/>
    </xf>
    <xf numFmtId="0" fontId="135" fillId="0" borderId="7" xfId="0" applyFont="1" applyFill="1" applyBorder="1" applyAlignment="1">
      <alignment horizontal="center" vertical="center"/>
    </xf>
    <xf numFmtId="0" fontId="131" fillId="0" borderId="7" xfId="0" applyFont="1" applyFill="1" applyBorder="1" applyAlignment="1">
      <alignment horizontal="center" vertical="center"/>
    </xf>
    <xf numFmtId="0" fontId="131" fillId="0" borderId="0" xfId="0" applyFont="1" applyFill="1" applyAlignment="1">
      <alignment horizontal="center" vertical="center"/>
    </xf>
    <xf numFmtId="166" fontId="131" fillId="0" borderId="0" xfId="0" applyNumberFormat="1" applyFont="1" applyFill="1" applyAlignment="1">
      <alignment horizontal="center" vertical="center"/>
    </xf>
    <xf numFmtId="0" fontId="135" fillId="0" borderId="2" xfId="0" applyFont="1" applyFill="1" applyBorder="1" applyAlignment="1">
      <alignment horizontal="center" vertical="center"/>
    </xf>
    <xf numFmtId="0" fontId="135" fillId="0" borderId="50" xfId="0" applyFont="1" applyFill="1" applyBorder="1" applyAlignment="1">
      <alignment horizontal="center" vertical="center"/>
    </xf>
    <xf numFmtId="0" fontId="131" fillId="0" borderId="50" xfId="0" applyFont="1" applyFill="1" applyBorder="1" applyAlignment="1">
      <alignment horizontal="center" vertical="center"/>
    </xf>
    <xf numFmtId="0" fontId="131" fillId="0" borderId="2" xfId="0" applyFont="1" applyFill="1" applyBorder="1" applyAlignment="1">
      <alignment horizontal="center" vertical="center"/>
    </xf>
    <xf numFmtId="0" fontId="131" fillId="0" borderId="50" xfId="0" applyFont="1" applyFill="1" applyBorder="1" applyAlignment="1">
      <alignment vertical="center"/>
    </xf>
    <xf numFmtId="166" fontId="131" fillId="0" borderId="0" xfId="0" applyNumberFormat="1" applyFont="1" applyAlignment="1">
      <alignment horizontal="center" vertical="center"/>
    </xf>
    <xf numFmtId="0" fontId="139" fillId="0" borderId="42" xfId="0" applyFont="1" applyBorder="1" applyAlignment="1">
      <alignment horizontal="left" vertical="center" wrapText="1"/>
    </xf>
    <xf numFmtId="0" fontId="139" fillId="0" borderId="42" xfId="0" applyFont="1" applyBorder="1" applyAlignment="1">
      <alignment horizontal="center" vertical="center"/>
    </xf>
    <xf numFmtId="0" fontId="132" fillId="0" borderId="0" xfId="0" applyFont="1" applyAlignment="1">
      <alignment horizontal="left" vertical="center" wrapText="1"/>
    </xf>
    <xf numFmtId="10" fontId="132" fillId="0" borderId="0" xfId="12" applyNumberFormat="1" applyFont="1" applyFill="1" applyBorder="1" applyAlignment="1">
      <alignment horizontal="center" vertical="center" wrapText="1"/>
    </xf>
    <xf numFmtId="0" fontId="132" fillId="0" borderId="2" xfId="0" applyFont="1" applyBorder="1" applyAlignment="1">
      <alignment horizontal="left" vertical="center" wrapText="1"/>
    </xf>
    <xf numFmtId="10" fontId="132" fillId="0" borderId="2" xfId="12" applyNumberFormat="1" applyFont="1" applyFill="1" applyBorder="1" applyAlignment="1">
      <alignment horizontal="center" vertical="center" wrapText="1"/>
    </xf>
    <xf numFmtId="0" fontId="155" fillId="0" borderId="0" xfId="0" applyFont="1" applyAlignment="1">
      <alignment horizontal="left" vertical="center" wrapText="1"/>
    </xf>
    <xf numFmtId="10" fontId="155" fillId="0" borderId="0" xfId="12" applyNumberFormat="1" applyFont="1" applyFill="1" applyBorder="1" applyAlignment="1">
      <alignment horizontal="center" vertical="center" wrapText="1"/>
    </xf>
    <xf numFmtId="0" fontId="134" fillId="0" borderId="0" xfId="0" applyFont="1" applyAlignment="1">
      <alignment horizontal="left" vertical="center"/>
    </xf>
    <xf numFmtId="0" fontId="131" fillId="0" borderId="0" xfId="0" applyFont="1" applyBorder="1" applyAlignment="1">
      <alignment horizontal="center" vertical="center"/>
    </xf>
    <xf numFmtId="0" fontId="131" fillId="0" borderId="2" xfId="0" applyFont="1" applyBorder="1" applyAlignment="1">
      <alignment horizontal="center" vertical="center"/>
    </xf>
    <xf numFmtId="0" fontId="20" fillId="0" borderId="0" xfId="0" applyFont="1" applyAlignment="1">
      <alignment horizontal="left"/>
    </xf>
    <xf numFmtId="0" fontId="139" fillId="0" borderId="42" xfId="0" applyFont="1" applyBorder="1" applyAlignment="1">
      <alignment horizontal="left" vertical="center"/>
    </xf>
    <xf numFmtId="168" fontId="132" fillId="0" borderId="0" xfId="12" applyNumberFormat="1" applyFont="1" applyFill="1" applyBorder="1" applyAlignment="1">
      <alignment horizontal="left" vertical="center" wrapText="1"/>
    </xf>
    <xf numFmtId="2" fontId="132" fillId="0" borderId="0" xfId="0" applyNumberFormat="1" applyFont="1" applyAlignment="1">
      <alignment horizontal="center" vertical="center" wrapText="1"/>
    </xf>
    <xf numFmtId="2" fontId="132" fillId="0" borderId="2" xfId="12" applyNumberFormat="1" applyFont="1" applyFill="1" applyBorder="1" applyAlignment="1">
      <alignment horizontal="center" vertical="center" wrapText="1"/>
    </xf>
    <xf numFmtId="0" fontId="132" fillId="0" borderId="0" xfId="22" applyFont="1"/>
    <xf numFmtId="0" fontId="131" fillId="0" borderId="0" xfId="0" applyFont="1" applyAlignment="1">
      <alignment vertical="center"/>
    </xf>
    <xf numFmtId="0" fontId="131" fillId="0" borderId="4" xfId="0" applyFont="1" applyBorder="1" applyAlignment="1">
      <alignment vertical="center"/>
    </xf>
    <xf numFmtId="166" fontId="130" fillId="0" borderId="6" xfId="0" applyNumberFormat="1" applyFont="1" applyBorder="1" applyAlignment="1">
      <alignment horizontal="center" vertical="center"/>
    </xf>
    <xf numFmtId="166" fontId="130" fillId="0" borderId="7" xfId="0" applyNumberFormat="1" applyFont="1" applyBorder="1" applyAlignment="1">
      <alignment horizontal="center" vertical="center"/>
    </xf>
    <xf numFmtId="166" fontId="130" fillId="0" borderId="0" xfId="0" applyNumberFormat="1" applyFont="1" applyFill="1" applyAlignment="1">
      <alignment horizontal="center" vertical="center"/>
    </xf>
    <xf numFmtId="166" fontId="20" fillId="0" borderId="6" xfId="0" applyNumberFormat="1" applyFont="1" applyBorder="1" applyAlignment="1">
      <alignment horizontal="center" vertical="center"/>
    </xf>
    <xf numFmtId="166" fontId="20" fillId="0" borderId="0" xfId="0" applyNumberFormat="1" applyFont="1" applyAlignment="1">
      <alignment horizontal="center" vertical="center"/>
    </xf>
    <xf numFmtId="166" fontId="20" fillId="0" borderId="7" xfId="0" applyNumberFormat="1" applyFont="1" applyBorder="1" applyAlignment="1">
      <alignment horizontal="center" vertical="center"/>
    </xf>
    <xf numFmtId="166" fontId="130" fillId="0" borderId="0" xfId="0" applyNumberFormat="1" applyFont="1" applyFill="1" applyAlignment="1">
      <alignment horizontal="center" vertical="center" wrapText="1"/>
    </xf>
    <xf numFmtId="0" fontId="157" fillId="0" borderId="0" xfId="0" applyFont="1"/>
    <xf numFmtId="0" fontId="130" fillId="0" borderId="2" xfId="0" applyFont="1" applyBorder="1" applyAlignment="1">
      <alignment horizontal="center" vertical="center"/>
    </xf>
    <xf numFmtId="166" fontId="20" fillId="0" borderId="41" xfId="0" applyNumberFormat="1" applyFont="1" applyBorder="1" applyAlignment="1">
      <alignment horizontal="center" vertical="center"/>
    </xf>
    <xf numFmtId="166" fontId="20" fillId="0" borderId="2" xfId="0" applyNumberFormat="1" applyFont="1" applyBorder="1" applyAlignment="1">
      <alignment horizontal="center" vertical="center"/>
    </xf>
    <xf numFmtId="166" fontId="20" fillId="0" borderId="46" xfId="0" applyNumberFormat="1" applyFont="1" applyBorder="1" applyAlignment="1">
      <alignment horizontal="center" vertical="center"/>
    </xf>
    <xf numFmtId="166" fontId="130" fillId="0" borderId="2" xfId="0" applyNumberFormat="1" applyFont="1" applyFill="1" applyBorder="1" applyAlignment="1">
      <alignment horizontal="center" vertical="center" wrapText="1"/>
    </xf>
    <xf numFmtId="0" fontId="20" fillId="0" borderId="0" xfId="0" applyFont="1" applyBorder="1" applyAlignment="1">
      <alignment vertical="center"/>
    </xf>
    <xf numFmtId="0" fontId="153" fillId="0" borderId="0" xfId="0" applyFont="1" applyBorder="1" applyAlignment="1">
      <alignment horizontal="right" vertical="center"/>
    </xf>
    <xf numFmtId="0" fontId="131" fillId="0" borderId="4" xfId="0" applyFont="1" applyBorder="1" applyAlignment="1">
      <alignment horizontal="center" vertical="center" wrapText="1"/>
    </xf>
    <xf numFmtId="166" fontId="130" fillId="0" borderId="41" xfId="0" applyNumberFormat="1" applyFont="1" applyBorder="1" applyAlignment="1">
      <alignment horizontal="center" vertical="center"/>
    </xf>
    <xf numFmtId="166" fontId="130" fillId="0" borderId="2" xfId="0" applyNumberFormat="1" applyFont="1" applyBorder="1" applyAlignment="1">
      <alignment horizontal="center" vertical="center"/>
    </xf>
    <xf numFmtId="166" fontId="130" fillId="0" borderId="46" xfId="0" applyNumberFormat="1" applyFont="1" applyBorder="1" applyAlignment="1">
      <alignment horizontal="center" vertical="center"/>
    </xf>
    <xf numFmtId="166" fontId="130" fillId="0" borderId="2" xfId="0" applyNumberFormat="1" applyFont="1" applyBorder="1" applyAlignment="1">
      <alignment horizontal="center" vertical="center" wrapText="1"/>
    </xf>
    <xf numFmtId="0" fontId="153" fillId="0" borderId="3" xfId="0" applyFont="1" applyBorder="1" applyAlignment="1">
      <alignment vertical="center"/>
    </xf>
    <xf numFmtId="0" fontId="153" fillId="0" borderId="0" xfId="0" applyFont="1" applyBorder="1" applyAlignment="1">
      <alignment vertical="center"/>
    </xf>
    <xf numFmtId="0" fontId="20" fillId="0" borderId="0" xfId="18" applyFont="1"/>
    <xf numFmtId="0" fontId="131" fillId="0" borderId="3" xfId="0" applyFont="1" applyBorder="1" applyAlignment="1">
      <alignment vertical="center"/>
    </xf>
    <xf numFmtId="0" fontId="131" fillId="0" borderId="3" xfId="0" applyFont="1" applyBorder="1" applyAlignment="1">
      <alignment horizontal="center" vertical="center"/>
    </xf>
    <xf numFmtId="2" fontId="130" fillId="0" borderId="0" xfId="0" applyNumberFormat="1" applyFont="1" applyAlignment="1">
      <alignment horizontal="center" vertical="center"/>
    </xf>
    <xf numFmtId="2" fontId="131" fillId="0" borderId="2" xfId="0" applyNumberFormat="1" applyFont="1" applyBorder="1" applyAlignment="1">
      <alignment horizontal="center" vertical="center"/>
    </xf>
    <xf numFmtId="0" fontId="153" fillId="0" borderId="0" xfId="0" applyFont="1" applyAlignment="1">
      <alignment horizontal="right"/>
    </xf>
    <xf numFmtId="2" fontId="132" fillId="0" borderId="0" xfId="1499" applyNumberFormat="1" applyFont="1" applyFill="1" applyBorder="1" applyAlignment="1">
      <alignment horizontal="center"/>
    </xf>
    <xf numFmtId="0" fontId="154" fillId="0" borderId="0" xfId="0" applyFont="1" applyAlignment="1">
      <alignment horizontal="right"/>
    </xf>
    <xf numFmtId="0" fontId="153" fillId="0" borderId="0" xfId="0" applyFont="1" applyAlignment="1">
      <alignment horizontal="left"/>
    </xf>
    <xf numFmtId="0" fontId="130" fillId="0" borderId="0" xfId="0" applyFont="1" applyBorder="1" applyAlignment="1">
      <alignment horizontal="left" vertical="center" wrapText="1" indent="2"/>
    </xf>
    <xf numFmtId="0" fontId="131" fillId="0" borderId="2" xfId="0" applyFont="1" applyBorder="1" applyAlignment="1">
      <alignment horizontal="justify" vertical="center" wrapText="1"/>
    </xf>
    <xf numFmtId="0" fontId="130" fillId="0" borderId="0" xfId="0" applyFont="1" applyAlignment="1">
      <alignment horizontal="justify" vertical="center" wrapText="1"/>
    </xf>
    <xf numFmtId="0" fontId="153" fillId="0" borderId="0" xfId="0" applyFont="1" applyFill="1" applyBorder="1" applyAlignment="1">
      <alignment horizontal="right" vertical="center"/>
    </xf>
    <xf numFmtId="0" fontId="131" fillId="0" borderId="46" xfId="0" applyFont="1" applyBorder="1" applyAlignment="1">
      <alignment vertical="center"/>
    </xf>
    <xf numFmtId="0" fontId="131" fillId="0" borderId="46" xfId="0" applyFont="1" applyBorder="1" applyAlignment="1">
      <alignment horizontal="center" vertical="center"/>
    </xf>
    <xf numFmtId="0" fontId="153" fillId="0" borderId="46" xfId="0" applyFont="1" applyBorder="1" applyAlignment="1">
      <alignment vertical="center"/>
    </xf>
    <xf numFmtId="0" fontId="130" fillId="0" borderId="7" xfId="0" applyFont="1" applyBorder="1" applyAlignment="1">
      <alignment vertical="center"/>
    </xf>
    <xf numFmtId="166" fontId="130" fillId="67" borderId="7" xfId="0" applyNumberFormat="1" applyFont="1" applyFill="1" applyBorder="1" applyAlignment="1">
      <alignment horizontal="center" vertical="center"/>
    </xf>
    <xf numFmtId="166" fontId="130" fillId="67" borderId="0" xfId="0" applyNumberFormat="1" applyFont="1" applyFill="1" applyAlignment="1">
      <alignment horizontal="center" vertical="center"/>
    </xf>
    <xf numFmtId="166" fontId="130" fillId="67" borderId="0" xfId="0" applyNumberFormat="1" applyFont="1" applyFill="1" applyAlignment="1">
      <alignment horizontal="center" vertical="center" wrapText="1"/>
    </xf>
    <xf numFmtId="0" fontId="130" fillId="0" borderId="7" xfId="0" applyFont="1" applyBorder="1" applyAlignment="1">
      <alignment vertical="center" wrapText="1"/>
    </xf>
    <xf numFmtId="0" fontId="136" fillId="0" borderId="2" xfId="0" applyFont="1" applyBorder="1" applyAlignment="1">
      <alignment horizontal="justify" vertical="center" wrapText="1"/>
    </xf>
    <xf numFmtId="0" fontId="136" fillId="0" borderId="2"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0"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2" xfId="0" applyFont="1" applyBorder="1" applyAlignment="1">
      <alignment horizontal="center" vertical="center" wrapText="1"/>
    </xf>
    <xf numFmtId="0" fontId="20" fillId="0" borderId="0" xfId="0" applyFont="1" applyAlignment="1">
      <alignment horizontal="right"/>
    </xf>
    <xf numFmtId="0" fontId="20" fillId="0" borderId="2" xfId="0" applyFont="1" applyBorder="1" applyAlignment="1">
      <alignment vertical="center" wrapText="1"/>
    </xf>
    <xf numFmtId="0" fontId="136" fillId="0" borderId="40" xfId="0" applyFont="1" applyBorder="1" applyAlignment="1">
      <alignment horizontal="right" vertical="center" wrapText="1"/>
    </xf>
    <xf numFmtId="0" fontId="136" fillId="0" borderId="2" xfId="0" applyFont="1" applyBorder="1" applyAlignment="1">
      <alignment vertical="center" wrapText="1"/>
    </xf>
    <xf numFmtId="3" fontId="136" fillId="0" borderId="4" xfId="0" applyNumberFormat="1" applyFont="1" applyBorder="1" applyAlignment="1">
      <alignment horizontal="right" vertical="center" wrapText="1"/>
    </xf>
    <xf numFmtId="0" fontId="136" fillId="0" borderId="0" xfId="0" applyFont="1" applyAlignment="1">
      <alignment vertical="center" wrapText="1"/>
    </xf>
    <xf numFmtId="1" fontId="136" fillId="0" borderId="0" xfId="0" applyNumberFormat="1" applyFont="1" applyAlignment="1">
      <alignment horizontal="right" vertical="center" wrapText="1"/>
    </xf>
    <xf numFmtId="3" fontId="20" fillId="0" borderId="0" xfId="0" applyNumberFormat="1" applyFont="1" applyAlignment="1">
      <alignment horizontal="right" vertical="center" wrapText="1"/>
    </xf>
    <xf numFmtId="1" fontId="20" fillId="0" borderId="0" xfId="0" applyNumberFormat="1" applyFont="1" applyAlignment="1">
      <alignment horizontal="right" vertical="center" wrapText="1"/>
    </xf>
    <xf numFmtId="0" fontId="20" fillId="0" borderId="0" xfId="0" applyFont="1" applyAlignment="1">
      <alignment horizontal="left" vertical="center" wrapText="1" indent="2"/>
    </xf>
    <xf numFmtId="1" fontId="20" fillId="0" borderId="40" xfId="0" applyNumberFormat="1" applyFont="1" applyBorder="1" applyAlignment="1">
      <alignment horizontal="right" vertical="center" wrapText="1"/>
    </xf>
    <xf numFmtId="3" fontId="136" fillId="0" borderId="3" xfId="0" applyNumberFormat="1" applyFont="1" applyBorder="1" applyAlignment="1">
      <alignment horizontal="right" vertical="center" wrapText="1"/>
    </xf>
    <xf numFmtId="0" fontId="20" fillId="0" borderId="2" xfId="0" applyFont="1" applyBorder="1" applyAlignment="1">
      <alignment horizontal="left" vertical="center" wrapText="1" indent="1"/>
    </xf>
    <xf numFmtId="166" fontId="136" fillId="0" borderId="40" xfId="0" applyNumberFormat="1" applyFont="1" applyBorder="1" applyAlignment="1">
      <alignment horizontal="right" vertical="center" wrapText="1"/>
    </xf>
    <xf numFmtId="166" fontId="136" fillId="0" borderId="3" xfId="0" applyNumberFormat="1" applyFont="1" applyBorder="1" applyAlignment="1">
      <alignment horizontal="right" vertical="center" wrapText="1"/>
    </xf>
    <xf numFmtId="166" fontId="20" fillId="0" borderId="0" xfId="0" applyNumberFormat="1" applyFont="1" applyAlignment="1">
      <alignment horizontal="right" vertical="center" wrapText="1"/>
    </xf>
    <xf numFmtId="0" fontId="20" fillId="0" borderId="12" xfId="0" applyFont="1" applyBorder="1" applyAlignment="1">
      <alignment vertical="center" wrapText="1"/>
    </xf>
    <xf numFmtId="166" fontId="20" fillId="0" borderId="12" xfId="0" applyNumberFormat="1" applyFont="1" applyBorder="1" applyAlignment="1">
      <alignment horizontal="right" vertical="center" wrapText="1"/>
    </xf>
    <xf numFmtId="0" fontId="145" fillId="0" borderId="0" xfId="0" applyFont="1" applyAlignment="1">
      <alignment horizontal="left" vertical="center" wrapText="1" indent="2"/>
    </xf>
    <xf numFmtId="0" fontId="145" fillId="0" borderId="12" xfId="0" applyFont="1" applyBorder="1" applyAlignment="1">
      <alignment horizontal="right" vertical="center" wrapText="1"/>
    </xf>
    <xf numFmtId="0" fontId="145" fillId="0" borderId="0" xfId="0" applyFont="1" applyBorder="1" applyAlignment="1">
      <alignment horizontal="right" vertical="center" wrapText="1"/>
    </xf>
    <xf numFmtId="0" fontId="145" fillId="0" borderId="0" xfId="0" applyFont="1" applyBorder="1" applyAlignment="1">
      <alignment vertical="center" wrapText="1"/>
    </xf>
    <xf numFmtId="0" fontId="145" fillId="0" borderId="0" xfId="0" applyFont="1" applyAlignment="1">
      <alignment horizontal="right" vertical="center" wrapText="1"/>
    </xf>
    <xf numFmtId="0" fontId="136" fillId="0" borderId="3" xfId="0" applyFont="1" applyBorder="1" applyAlignment="1">
      <alignment vertical="center" wrapText="1"/>
    </xf>
    <xf numFmtId="0" fontId="136" fillId="0" borderId="13" xfId="0" applyFont="1" applyBorder="1" applyAlignment="1">
      <alignment vertical="center" wrapText="1"/>
    </xf>
    <xf numFmtId="0" fontId="136" fillId="0" borderId="12" xfId="0" applyFont="1" applyBorder="1" applyAlignment="1">
      <alignment vertical="center" wrapText="1"/>
    </xf>
    <xf numFmtId="0" fontId="148" fillId="0" borderId="13" xfId="0" applyFont="1" applyBorder="1" applyAlignment="1">
      <alignment vertical="center" wrapText="1"/>
    </xf>
    <xf numFmtId="0" fontId="20" fillId="0" borderId="2" xfId="0" applyFont="1" applyBorder="1" applyAlignment="1">
      <alignment horizontal="left" vertical="center" wrapText="1" indent="2"/>
    </xf>
    <xf numFmtId="0" fontId="145" fillId="0" borderId="4" xfId="0" applyFont="1" applyBorder="1" applyAlignment="1">
      <alignment horizontal="left" vertical="center" wrapText="1" indent="2"/>
    </xf>
    <xf numFmtId="0" fontId="136" fillId="0" borderId="40" xfId="0" applyFont="1" applyBorder="1" applyAlignment="1">
      <alignment horizontal="center"/>
    </xf>
    <xf numFmtId="0" fontId="20" fillId="0" borderId="0" xfId="0" applyFont="1" applyFill="1" applyBorder="1" applyAlignment="1">
      <alignment horizontal="left" vertical="center"/>
    </xf>
    <xf numFmtId="0" fontId="130" fillId="0" borderId="3" xfId="0" applyFont="1" applyBorder="1" applyAlignment="1">
      <alignment horizontal="center" vertical="center" wrapText="1"/>
    </xf>
    <xf numFmtId="0" fontId="20" fillId="0" borderId="0" xfId="0" applyFont="1" applyFill="1" applyBorder="1" applyAlignment="1">
      <alignment vertical="center"/>
    </xf>
    <xf numFmtId="0" fontId="132" fillId="0" borderId="0" xfId="0" applyFont="1" applyFill="1" applyBorder="1" applyAlignment="1">
      <alignment horizontal="left"/>
    </xf>
    <xf numFmtId="0" fontId="132" fillId="0" borderId="40" xfId="0" applyFont="1" applyFill="1" applyBorder="1" applyAlignment="1">
      <alignment horizontal="left"/>
    </xf>
    <xf numFmtId="0" fontId="136" fillId="0" borderId="40" xfId="0" applyFont="1" applyBorder="1"/>
    <xf numFmtId="0" fontId="153" fillId="0" borderId="0" xfId="0" applyFont="1" applyFill="1" applyBorder="1" applyAlignment="1">
      <alignment horizontal="right" vertical="top"/>
    </xf>
    <xf numFmtId="0" fontId="153" fillId="0" borderId="3" xfId="0" applyFont="1" applyFill="1" applyBorder="1" applyAlignment="1">
      <alignment horizontal="right" vertical="top"/>
    </xf>
    <xf numFmtId="0" fontId="153" fillId="0" borderId="3" xfId="0" applyFont="1" applyBorder="1" applyAlignment="1">
      <alignment horizontal="right" vertical="center"/>
    </xf>
    <xf numFmtId="0" fontId="153" fillId="0" borderId="3" xfId="0" applyFont="1" applyBorder="1" applyAlignment="1">
      <alignment vertical="center" wrapText="1"/>
    </xf>
    <xf numFmtId="0" fontId="145" fillId="0" borderId="0" xfId="0" applyFont="1" applyBorder="1" applyAlignment="1">
      <alignment horizontal="right" vertical="center"/>
    </xf>
    <xf numFmtId="0" fontId="145" fillId="0" borderId="0" xfId="0" applyFont="1" applyBorder="1" applyAlignment="1">
      <alignment vertical="center"/>
    </xf>
    <xf numFmtId="0" fontId="156" fillId="0" borderId="0" xfId="0" applyFont="1" applyFill="1"/>
    <xf numFmtId="0" fontId="56" fillId="0" borderId="0" xfId="0" applyFont="1" applyAlignment="1">
      <alignment horizontal="center" vertical="center"/>
    </xf>
    <xf numFmtId="0" fontId="56" fillId="0" borderId="3" xfId="0" applyFont="1" applyBorder="1" applyAlignment="1">
      <alignment vertical="center"/>
    </xf>
    <xf numFmtId="2" fontId="55" fillId="0" borderId="0" xfId="0" applyNumberFormat="1" applyFont="1" applyAlignment="1">
      <alignment horizontal="center" vertical="center"/>
    </xf>
    <xf numFmtId="0" fontId="158" fillId="0" borderId="0" xfId="4" applyFont="1"/>
    <xf numFmtId="166" fontId="58" fillId="0" borderId="2" xfId="0" applyNumberFormat="1" applyFont="1" applyBorder="1" applyAlignment="1">
      <alignment horizontal="right" vertical="center" wrapText="1"/>
    </xf>
    <xf numFmtId="0" fontId="58" fillId="2" borderId="2" xfId="0" applyFont="1" applyFill="1" applyBorder="1" applyAlignment="1">
      <alignment vertical="center" wrapText="1"/>
    </xf>
    <xf numFmtId="168" fontId="55" fillId="0" borderId="0" xfId="12" applyNumberFormat="1" applyFont="1" applyAlignment="1">
      <alignment vertical="center"/>
    </xf>
    <xf numFmtId="0" fontId="136" fillId="0" borderId="0" xfId="0" applyFont="1" applyFill="1" applyBorder="1" applyAlignment="1">
      <alignment horizontal="right"/>
    </xf>
    <xf numFmtId="166" fontId="20" fillId="0" borderId="43" xfId="0" applyNumberFormat="1" applyFont="1" applyFill="1" applyBorder="1" applyAlignment="1">
      <alignment horizontal="right"/>
    </xf>
    <xf numFmtId="166" fontId="20" fillId="0" borderId="0" xfId="0" applyNumberFormat="1" applyFont="1" applyFill="1" applyBorder="1" applyAlignment="1">
      <alignment horizontal="right"/>
    </xf>
    <xf numFmtId="1" fontId="20" fillId="0" borderId="0" xfId="0" applyNumberFormat="1" applyFont="1" applyFill="1" applyBorder="1" applyAlignment="1">
      <alignment horizontal="right"/>
    </xf>
    <xf numFmtId="1" fontId="155" fillId="0" borderId="0" xfId="0" applyNumberFormat="1" applyFont="1" applyFill="1" applyBorder="1" applyAlignment="1">
      <alignment horizontal="right"/>
    </xf>
    <xf numFmtId="1" fontId="155" fillId="0" borderId="40" xfId="0" applyNumberFormat="1" applyFont="1" applyFill="1" applyBorder="1" applyAlignment="1">
      <alignment horizontal="right"/>
    </xf>
    <xf numFmtId="1" fontId="20" fillId="0" borderId="40" xfId="0" applyNumberFormat="1" applyFont="1" applyFill="1" applyBorder="1" applyAlignment="1">
      <alignment horizontal="right"/>
    </xf>
    <xf numFmtId="166" fontId="20" fillId="0" borderId="40" xfId="0" applyNumberFormat="1" applyFont="1" applyFill="1" applyBorder="1" applyAlignment="1">
      <alignment horizontal="right"/>
    </xf>
    <xf numFmtId="167" fontId="57" fillId="0" borderId="0" xfId="0" applyNumberFormat="1" applyFont="1" applyAlignment="1">
      <alignment horizontal="center"/>
    </xf>
    <xf numFmtId="0" fontId="132" fillId="0" borderId="2" xfId="0" applyFont="1" applyBorder="1" applyAlignment="1">
      <alignment horizontal="left" indent="1"/>
    </xf>
    <xf numFmtId="167" fontId="132" fillId="0" borderId="2" xfId="0" applyNumberFormat="1" applyFont="1" applyFill="1" applyBorder="1" applyAlignment="1">
      <alignment horizontal="center"/>
    </xf>
    <xf numFmtId="0" fontId="136" fillId="0" borderId="0" xfId="0" applyFont="1" applyAlignment="1">
      <alignment horizontal="left"/>
    </xf>
    <xf numFmtId="0" fontId="83" fillId="9" borderId="9" xfId="69" applyFont="1" applyFill="1" applyBorder="1" applyAlignment="1">
      <alignment horizontal="center" vertical="center"/>
    </xf>
    <xf numFmtId="0" fontId="83" fillId="9" borderId="10" xfId="69" applyFont="1" applyFill="1" applyBorder="1" applyAlignment="1">
      <alignment horizontal="center" vertical="center"/>
    </xf>
    <xf numFmtId="0" fontId="81" fillId="0" borderId="40" xfId="0" applyFont="1" applyBorder="1" applyAlignment="1">
      <alignment vertical="center"/>
    </xf>
    <xf numFmtId="0" fontId="81" fillId="0" borderId="40" xfId="0" applyFont="1" applyBorder="1" applyAlignment="1">
      <alignment vertical="center" wrapText="1"/>
    </xf>
    <xf numFmtId="0" fontId="81" fillId="0" borderId="0" xfId="0" applyFont="1" applyBorder="1" applyAlignment="1">
      <alignment vertical="center" wrapText="1"/>
    </xf>
    <xf numFmtId="0" fontId="81" fillId="0" borderId="0" xfId="0" applyFont="1" applyBorder="1" applyAlignment="1">
      <alignment vertical="center"/>
    </xf>
    <xf numFmtId="0" fontId="149" fillId="0" borderId="0" xfId="0" applyFont="1" applyAlignment="1"/>
    <xf numFmtId="0" fontId="20" fillId="0" borderId="0" xfId="0" applyFont="1" applyAlignment="1"/>
    <xf numFmtId="0" fontId="149" fillId="0" borderId="2" xfId="1504" applyFont="1" applyBorder="1" applyAlignment="1"/>
    <xf numFmtId="0" fontId="20" fillId="0" borderId="43" xfId="0" applyFont="1" applyBorder="1" applyAlignment="1">
      <alignment horizontal="center" vertical="center" textRotation="90"/>
    </xf>
    <xf numFmtId="0" fontId="20" fillId="0" borderId="0" xfId="0" applyFont="1" applyBorder="1" applyAlignment="1">
      <alignment horizontal="center" vertical="center" textRotation="90"/>
    </xf>
    <xf numFmtId="0" fontId="20" fillId="0" borderId="2" xfId="0" applyFont="1" applyBorder="1" applyAlignment="1">
      <alignment horizontal="center" vertical="center" textRotation="90"/>
    </xf>
    <xf numFmtId="0" fontId="20" fillId="0" borderId="43" xfId="0" applyFont="1" applyBorder="1" applyAlignment="1">
      <alignment horizontal="center" vertical="center" textRotation="90" wrapText="1"/>
    </xf>
    <xf numFmtId="0" fontId="20" fillId="0" borderId="0" xfId="0" applyFont="1" applyBorder="1" applyAlignment="1">
      <alignment horizontal="center" vertical="center" textRotation="90" wrapText="1"/>
    </xf>
    <xf numFmtId="0" fontId="20" fillId="0" borderId="2" xfId="0" applyFont="1" applyBorder="1" applyAlignment="1">
      <alignment horizontal="center" vertical="center" textRotation="90" wrapText="1"/>
    </xf>
    <xf numFmtId="0" fontId="131" fillId="0" borderId="0" xfId="0" applyFont="1" applyBorder="1" applyAlignment="1">
      <alignment horizontal="left" vertical="center"/>
    </xf>
    <xf numFmtId="0" fontId="131" fillId="0" borderId="2" xfId="0" applyFont="1" applyBorder="1" applyAlignment="1">
      <alignment horizontal="left" vertical="center"/>
    </xf>
    <xf numFmtId="0" fontId="131" fillId="0" borderId="0" xfId="0" applyFont="1" applyBorder="1" applyAlignment="1">
      <alignment horizontal="center" vertical="center"/>
    </xf>
    <xf numFmtId="0" fontId="131" fillId="0" borderId="2" xfId="0" applyFont="1" applyBorder="1" applyAlignment="1">
      <alignment horizontal="center" vertical="center"/>
    </xf>
    <xf numFmtId="0" fontId="134" fillId="0" borderId="0" xfId="0" applyFont="1" applyAlignment="1">
      <alignment horizontal="left" vertical="center"/>
    </xf>
    <xf numFmtId="0" fontId="20" fillId="0" borderId="3" xfId="0" applyFont="1" applyBorder="1" applyAlignment="1">
      <alignment horizontal="center" vertical="center" textRotation="90"/>
    </xf>
    <xf numFmtId="0" fontId="20" fillId="0" borderId="1" xfId="0" applyFont="1" applyBorder="1" applyAlignment="1">
      <alignment horizontal="center" vertical="center" textRotation="90"/>
    </xf>
    <xf numFmtId="0" fontId="134" fillId="0" borderId="0" xfId="0" applyFont="1" applyBorder="1" applyAlignment="1">
      <alignment horizontal="justify" vertical="center"/>
    </xf>
    <xf numFmtId="0" fontId="130" fillId="0" borderId="3" xfId="0" applyFont="1" applyBorder="1" applyAlignment="1">
      <alignment horizontal="left" vertical="center"/>
    </xf>
    <xf numFmtId="0" fontId="130" fillId="0" borderId="0" xfId="0" applyFont="1" applyAlignment="1">
      <alignment horizontal="left" vertical="center"/>
    </xf>
    <xf numFmtId="0" fontId="134" fillId="0" borderId="2" xfId="0" applyFont="1" applyBorder="1" applyAlignment="1">
      <alignment horizontal="justify" vertical="center"/>
    </xf>
    <xf numFmtId="0" fontId="20" fillId="0" borderId="43"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3" xfId="0" applyFont="1" applyFill="1" applyBorder="1" applyAlignment="1">
      <alignment horizontal="left" vertical="center" wrapText="1"/>
    </xf>
    <xf numFmtId="0" fontId="20" fillId="0" borderId="0" xfId="0" applyFont="1" applyFill="1" applyBorder="1" applyAlignment="1">
      <alignment horizontal="left" vertical="top" wrapText="1"/>
    </xf>
    <xf numFmtId="0" fontId="131" fillId="0" borderId="5" xfId="0" applyFont="1" applyBorder="1" applyAlignment="1">
      <alignment horizontal="center" vertical="center"/>
    </xf>
    <xf numFmtId="0" fontId="131" fillId="0" borderId="4" xfId="0" applyFont="1" applyBorder="1" applyAlignment="1">
      <alignment horizontal="center" vertical="center"/>
    </xf>
    <xf numFmtId="0" fontId="131" fillId="0" borderId="44" xfId="0" applyFont="1" applyBorder="1" applyAlignment="1">
      <alignment horizontal="center" vertical="center"/>
    </xf>
    <xf numFmtId="0" fontId="131" fillId="0" borderId="45" xfId="0" applyFont="1" applyBorder="1" applyAlignment="1">
      <alignment horizontal="center" vertical="center"/>
    </xf>
    <xf numFmtId="0" fontId="134" fillId="0" borderId="2" xfId="0" applyFont="1" applyBorder="1" applyAlignment="1">
      <alignment vertical="center"/>
    </xf>
    <xf numFmtId="0" fontId="131" fillId="0" borderId="5" xfId="0" applyFont="1" applyFill="1" applyBorder="1" applyAlignment="1">
      <alignment horizontal="center" vertical="center"/>
    </xf>
    <xf numFmtId="0" fontId="131" fillId="0" borderId="4" xfId="0" applyFont="1" applyFill="1" applyBorder="1" applyAlignment="1">
      <alignment horizontal="center" vertical="center"/>
    </xf>
    <xf numFmtId="0" fontId="131" fillId="0" borderId="44" xfId="0" applyFont="1" applyFill="1" applyBorder="1" applyAlignment="1">
      <alignment horizontal="center" vertical="center"/>
    </xf>
    <xf numFmtId="0" fontId="20" fillId="0" borderId="3" xfId="0" applyFont="1" applyBorder="1" applyAlignment="1">
      <alignment vertical="center"/>
    </xf>
    <xf numFmtId="0" fontId="153" fillId="0" borderId="3" xfId="0" applyFont="1" applyBorder="1" applyAlignment="1">
      <alignment horizontal="right" vertical="center"/>
    </xf>
    <xf numFmtId="0" fontId="134" fillId="0" borderId="1" xfId="0" applyFont="1" applyBorder="1" applyAlignment="1">
      <alignment horizontal="left" vertical="center" wrapText="1"/>
    </xf>
    <xf numFmtId="0" fontId="134" fillId="0" borderId="2" xfId="0" applyFont="1" applyBorder="1" applyAlignment="1">
      <alignment horizontal="justify" vertical="center" wrapText="1"/>
    </xf>
    <xf numFmtId="0" fontId="131" fillId="0" borderId="4" xfId="0" applyFont="1" applyBorder="1" applyAlignment="1">
      <alignment horizontal="center" vertical="center" wrapText="1"/>
    </xf>
    <xf numFmtId="0" fontId="145" fillId="0" borderId="13" xfId="0" applyFont="1" applyBorder="1" applyAlignment="1">
      <alignment vertical="center" wrapText="1"/>
    </xf>
    <xf numFmtId="0" fontId="145" fillId="0" borderId="0" xfId="0" applyFont="1" applyBorder="1" applyAlignment="1">
      <alignment vertical="center" wrapText="1"/>
    </xf>
    <xf numFmtId="0" fontId="153" fillId="0" borderId="0" xfId="0" applyFont="1" applyAlignment="1">
      <alignment vertical="center" wrapText="1"/>
    </xf>
    <xf numFmtId="0" fontId="134" fillId="0" borderId="0" xfId="0" applyFont="1" applyAlignment="1">
      <alignment vertical="center"/>
    </xf>
    <xf numFmtId="0" fontId="153" fillId="0" borderId="3" xfId="0" applyFont="1" applyBorder="1" applyAlignment="1">
      <alignment horizontal="right" vertical="top" wrapText="1"/>
    </xf>
  </cellXfs>
  <cellStyles count="1507">
    <cellStyle name="_x000a_386grabber=S" xfId="131" xr:uid="{00000000-0005-0000-0000-000000000000}"/>
    <cellStyle name="_x000a_386grabber=S 10" xfId="1203" xr:uid="{00000000-0005-0000-0000-000001000000}"/>
    <cellStyle name="_x000a_386grabber=S 2" xfId="140" xr:uid="{00000000-0005-0000-0000-000002000000}"/>
    <cellStyle name="_x000a_386grabber=S 2 2" xfId="181" xr:uid="{00000000-0005-0000-0000-000003000000}"/>
    <cellStyle name="_x000a_386grabber=S 3" xfId="174" xr:uid="{00000000-0005-0000-0000-000004000000}"/>
    <cellStyle name="_x000a_386grabber=S 4" xfId="320" xr:uid="{00000000-0005-0000-0000-000005000000}"/>
    <cellStyle name="_x000a_386grabber=S 5" xfId="358" xr:uid="{00000000-0005-0000-0000-000006000000}"/>
    <cellStyle name="_x000a_386grabber=S 6" xfId="332" xr:uid="{00000000-0005-0000-0000-000007000000}"/>
    <cellStyle name="_x000a_386grabber=S 7" xfId="780" xr:uid="{00000000-0005-0000-0000-000008000000}"/>
    <cellStyle name="_x000a_386grabber=S 8" xfId="786" xr:uid="{00000000-0005-0000-0000-000009000000}"/>
    <cellStyle name="_x000a_386grabber=S 9" xfId="1205" xr:uid="{00000000-0005-0000-0000-00000A000000}"/>
    <cellStyle name="=D:\WINNT\SYSTEM32\COMMAND.COM" xfId="132" xr:uid="{00000000-0005-0000-0000-00000B000000}"/>
    <cellStyle name="=D:\WINNT\SYSTEM32\COMMAND.COM 10" xfId="1210" xr:uid="{00000000-0005-0000-0000-00000C000000}"/>
    <cellStyle name="=D:\WINNT\SYSTEM32\COMMAND.COM 11" xfId="1490" xr:uid="{00000000-0005-0000-0000-00000D000000}"/>
    <cellStyle name="=D:\WINNT\SYSTEM32\COMMAND.COM 2" xfId="139" xr:uid="{00000000-0005-0000-0000-00000E000000}"/>
    <cellStyle name="=D:\WINNT\SYSTEM32\COMMAND.COM 2 2" xfId="180" xr:uid="{00000000-0005-0000-0000-00000F000000}"/>
    <cellStyle name="=D:\WINNT\SYSTEM32\COMMAND.COM 3" xfId="175" xr:uid="{00000000-0005-0000-0000-000010000000}"/>
    <cellStyle name="=D:\WINNT\SYSTEM32\COMMAND.COM 4" xfId="321" xr:uid="{00000000-0005-0000-0000-000011000000}"/>
    <cellStyle name="=D:\WINNT\SYSTEM32\COMMAND.COM 5" xfId="344" xr:uid="{00000000-0005-0000-0000-000012000000}"/>
    <cellStyle name="=D:\WINNT\SYSTEM32\COMMAND.COM 6" xfId="319" xr:uid="{00000000-0005-0000-0000-000013000000}"/>
    <cellStyle name="=D:\WINNT\SYSTEM32\COMMAND.COM 7" xfId="781" xr:uid="{00000000-0005-0000-0000-000014000000}"/>
    <cellStyle name="=D:\WINNT\SYSTEM32\COMMAND.COM 8" xfId="779" xr:uid="{00000000-0005-0000-0000-000015000000}"/>
    <cellStyle name="=D:\WINNT\SYSTEM32\COMMAND.COM 9" xfId="1206" xr:uid="{00000000-0005-0000-0000-000016000000}"/>
    <cellStyle name="20 % - zvýraznenie1" xfId="92" builtinId="30" customBuiltin="1"/>
    <cellStyle name="20 % - zvýraznenie1 2" xfId="1292" xr:uid="{00000000-0005-0000-0000-000018000000}"/>
    <cellStyle name="20 % - zvýraznenie2" xfId="96" builtinId="34" customBuiltin="1"/>
    <cellStyle name="20 % - zvýraznenie2 2" xfId="1296" xr:uid="{00000000-0005-0000-0000-00001A000000}"/>
    <cellStyle name="20 % - zvýraznenie3" xfId="100" builtinId="38" customBuiltin="1"/>
    <cellStyle name="20 % - zvýraznenie3 2" xfId="1300" xr:uid="{00000000-0005-0000-0000-00001C000000}"/>
    <cellStyle name="20 % - zvýraznenie4" xfId="104" builtinId="42" customBuiltin="1"/>
    <cellStyle name="20 % - zvýraznenie4 2" xfId="1304" xr:uid="{00000000-0005-0000-0000-00001E000000}"/>
    <cellStyle name="20 % - zvýraznenie5" xfId="108" builtinId="46" customBuiltin="1"/>
    <cellStyle name="20 % - zvýraznenie5 2" xfId="1308" xr:uid="{00000000-0005-0000-0000-000020000000}"/>
    <cellStyle name="20 % - zvýraznenie6" xfId="112" builtinId="50" customBuiltin="1"/>
    <cellStyle name="20 % - zvýraznenie6 2" xfId="1312" xr:uid="{00000000-0005-0000-0000-000022000000}"/>
    <cellStyle name="20% - Accent1" xfId="1406" xr:uid="{00000000-0005-0000-0000-000023000000}"/>
    <cellStyle name="20% - Accent2" xfId="1370" xr:uid="{00000000-0005-0000-0000-000024000000}"/>
    <cellStyle name="20% - Accent3" xfId="1355" xr:uid="{00000000-0005-0000-0000-000025000000}"/>
    <cellStyle name="20% - Accent4" xfId="1393" xr:uid="{00000000-0005-0000-0000-000026000000}"/>
    <cellStyle name="20% - Accent5" xfId="1379" xr:uid="{00000000-0005-0000-0000-000027000000}"/>
    <cellStyle name="20% - Accent6" xfId="1480" xr:uid="{00000000-0005-0000-0000-000028000000}"/>
    <cellStyle name="40 % - zvýraznenie1" xfId="93" builtinId="31" customBuiltin="1"/>
    <cellStyle name="40 % - zvýraznenie1 2" xfId="1293" xr:uid="{00000000-0005-0000-0000-00002A000000}"/>
    <cellStyle name="40 % - zvýraznenie2" xfId="97" builtinId="35" customBuiltin="1"/>
    <cellStyle name="40 % - zvýraznenie2 2" xfId="1297" xr:uid="{00000000-0005-0000-0000-00002C000000}"/>
    <cellStyle name="40 % - zvýraznenie3" xfId="101" builtinId="39" customBuiltin="1"/>
    <cellStyle name="40 % - zvýraznenie3 2" xfId="1301" xr:uid="{00000000-0005-0000-0000-00002E000000}"/>
    <cellStyle name="40 % - zvýraznenie4" xfId="105" builtinId="43" customBuiltin="1"/>
    <cellStyle name="40 % - zvýraznenie4 2" xfId="1305" xr:uid="{00000000-0005-0000-0000-000030000000}"/>
    <cellStyle name="40 % - zvýraznenie5" xfId="109" builtinId="47" customBuiltin="1"/>
    <cellStyle name="40 % - zvýraznenie5 2" xfId="1309" xr:uid="{00000000-0005-0000-0000-000032000000}"/>
    <cellStyle name="40 % - zvýraznenie6" xfId="113" builtinId="51" customBuiltin="1"/>
    <cellStyle name="40 % - zvýraznenie6 2" xfId="1313" xr:uid="{00000000-0005-0000-0000-000034000000}"/>
    <cellStyle name="40% - Accent1" xfId="1359" xr:uid="{00000000-0005-0000-0000-000035000000}"/>
    <cellStyle name="40% - Accent2" xfId="1375" xr:uid="{00000000-0005-0000-0000-000036000000}"/>
    <cellStyle name="40% - Accent3" xfId="1363" xr:uid="{00000000-0005-0000-0000-000037000000}"/>
    <cellStyle name="40% - Accent4" xfId="1369" xr:uid="{00000000-0005-0000-0000-000038000000}"/>
    <cellStyle name="40% - Accent5" xfId="1339" xr:uid="{00000000-0005-0000-0000-000039000000}"/>
    <cellStyle name="40% - Accent6" xfId="1373" xr:uid="{00000000-0005-0000-0000-00003A000000}"/>
    <cellStyle name="60 % - zvýraznenie1" xfId="94" builtinId="32" customBuiltin="1"/>
    <cellStyle name="60 % - zvýraznenie1 2" xfId="1294" xr:uid="{00000000-0005-0000-0000-00003C000000}"/>
    <cellStyle name="60 % - zvýraznenie2" xfId="98" builtinId="36" customBuiltin="1"/>
    <cellStyle name="60 % - zvýraznenie2 2" xfId="1298" xr:uid="{00000000-0005-0000-0000-00003E000000}"/>
    <cellStyle name="60 % - zvýraznenie3" xfId="102" builtinId="40" customBuiltin="1"/>
    <cellStyle name="60 % - zvýraznenie3 2" xfId="1302" xr:uid="{00000000-0005-0000-0000-000040000000}"/>
    <cellStyle name="60 % - zvýraznenie4" xfId="106" builtinId="44" customBuiltin="1"/>
    <cellStyle name="60 % - zvýraznenie4 2" xfId="1306" xr:uid="{00000000-0005-0000-0000-000042000000}"/>
    <cellStyle name="60 % - zvýraznenie5" xfId="110" builtinId="48" customBuiltin="1"/>
    <cellStyle name="60 % - zvýraznenie5 2" xfId="1310" xr:uid="{00000000-0005-0000-0000-000044000000}"/>
    <cellStyle name="60 % - zvýraznenie6" xfId="114" builtinId="52" customBuiltin="1"/>
    <cellStyle name="60 % - zvýraznenie6 2" xfId="1314" xr:uid="{00000000-0005-0000-0000-000046000000}"/>
    <cellStyle name="60% - Accent1" xfId="1403" xr:uid="{00000000-0005-0000-0000-000047000000}"/>
    <cellStyle name="60% - Accent2" xfId="1383" xr:uid="{00000000-0005-0000-0000-000048000000}"/>
    <cellStyle name="60% - Accent3" xfId="1340" xr:uid="{00000000-0005-0000-0000-000049000000}"/>
    <cellStyle name="60% - Accent4" xfId="1479" xr:uid="{00000000-0005-0000-0000-00004A000000}"/>
    <cellStyle name="60% - Accent5" xfId="1338" xr:uid="{00000000-0005-0000-0000-00004B000000}"/>
    <cellStyle name="60% - Accent6" xfId="1402" xr:uid="{00000000-0005-0000-0000-00004C000000}"/>
    <cellStyle name="Accent1" xfId="1377" xr:uid="{00000000-0005-0000-0000-00004D000000}"/>
    <cellStyle name="Accent2" xfId="1396" xr:uid="{00000000-0005-0000-0000-00004E000000}"/>
    <cellStyle name="Accent3" xfId="1356" xr:uid="{00000000-0005-0000-0000-00004F000000}"/>
    <cellStyle name="Accent4" xfId="1354" xr:uid="{00000000-0005-0000-0000-000050000000}"/>
    <cellStyle name="Accent5" xfId="41" xr:uid="{00000000-0005-0000-0000-000051000000}"/>
    <cellStyle name="Accent5 2" xfId="1382" xr:uid="{00000000-0005-0000-0000-000052000000}"/>
    <cellStyle name="Accent6" xfId="42" xr:uid="{00000000-0005-0000-0000-000053000000}"/>
    <cellStyle name="Accent6 2" xfId="1391" xr:uid="{00000000-0005-0000-0000-000054000000}"/>
    <cellStyle name="Bad" xfId="1401" xr:uid="{00000000-0005-0000-0000-000055000000}"/>
    <cellStyle name="Calculation" xfId="1378" xr:uid="{00000000-0005-0000-0000-000056000000}"/>
    <cellStyle name="Čiarka" xfId="8" builtinId="3"/>
    <cellStyle name="Čiarka 2" xfId="16" xr:uid="{00000000-0005-0000-0000-000058000000}"/>
    <cellStyle name="Čiarka 2 2" xfId="36" xr:uid="{00000000-0005-0000-0000-000059000000}"/>
    <cellStyle name="Čiarka 2 2 2" xfId="61" xr:uid="{00000000-0005-0000-0000-00005A000000}"/>
    <cellStyle name="Čiarka 2 3" xfId="128" xr:uid="{00000000-0005-0000-0000-00005B000000}"/>
    <cellStyle name="Čiarka 3" xfId="28" xr:uid="{00000000-0005-0000-0000-00005C000000}"/>
    <cellStyle name="Čiarka 3 2" xfId="29" xr:uid="{00000000-0005-0000-0000-00005D000000}"/>
    <cellStyle name="Čiarka 3 3" xfId="1409" xr:uid="{00000000-0005-0000-0000-00005E000000}"/>
    <cellStyle name="Čiarka 4" xfId="33" xr:uid="{00000000-0005-0000-0000-00005F000000}"/>
    <cellStyle name="Čiarka 5" xfId="63" xr:uid="{00000000-0005-0000-0000-000060000000}"/>
    <cellStyle name="Čiarka 6" xfId="74" xr:uid="{00000000-0005-0000-0000-000061000000}"/>
    <cellStyle name="čiarky 2" xfId="150" xr:uid="{00000000-0005-0000-0000-000062000000}"/>
    <cellStyle name="čiarky 2 10" xfId="1159" xr:uid="{00000000-0005-0000-0000-000063000000}"/>
    <cellStyle name="čiarky 2 11" xfId="1179" xr:uid="{00000000-0005-0000-0000-000064000000}"/>
    <cellStyle name="čiarky 2 2" xfId="188" xr:uid="{00000000-0005-0000-0000-000065000000}"/>
    <cellStyle name="čiarky 2 3" xfId="1113" xr:uid="{00000000-0005-0000-0000-000066000000}"/>
    <cellStyle name="čiarky 2 4" xfId="1180" xr:uid="{00000000-0005-0000-0000-000067000000}"/>
    <cellStyle name="čiarky 2 5" xfId="1143" xr:uid="{00000000-0005-0000-0000-000068000000}"/>
    <cellStyle name="čiarky 2 6" xfId="1169" xr:uid="{00000000-0005-0000-0000-000069000000}"/>
    <cellStyle name="čiarky 2 7" xfId="1125" xr:uid="{00000000-0005-0000-0000-00006A000000}"/>
    <cellStyle name="čiarky 2 8" xfId="1155" xr:uid="{00000000-0005-0000-0000-00006B000000}"/>
    <cellStyle name="čiarky 2 9" xfId="1135" xr:uid="{00000000-0005-0000-0000-00006C000000}"/>
    <cellStyle name="čiarky 3" xfId="172" xr:uid="{00000000-0005-0000-0000-00006D000000}"/>
    <cellStyle name="čiarky 4" xfId="199" xr:uid="{00000000-0005-0000-0000-00006E000000}"/>
    <cellStyle name="čiarky 5" xfId="238" xr:uid="{00000000-0005-0000-0000-00006F000000}"/>
    <cellStyle name="čiarky 6" xfId="1412" xr:uid="{00000000-0005-0000-0000-000070000000}"/>
    <cellStyle name="Date" xfId="771" xr:uid="{00000000-0005-0000-0000-000071000000}"/>
    <cellStyle name="Dobrá" xfId="80" builtinId="26" customBuiltin="1"/>
    <cellStyle name="Dobrá 2" xfId="1280" xr:uid="{00000000-0005-0000-0000-000073000000}"/>
    <cellStyle name="Excel Built-in Normal" xfId="10" xr:uid="{00000000-0005-0000-0000-000074000000}"/>
    <cellStyle name="Explanatory Text" xfId="1397" xr:uid="{00000000-0005-0000-0000-000075000000}"/>
    <cellStyle name="Good" xfId="1342" xr:uid="{00000000-0005-0000-0000-000076000000}"/>
    <cellStyle name="Heading 1" xfId="1374" xr:uid="{00000000-0005-0000-0000-000077000000}"/>
    <cellStyle name="Heading 2" xfId="1380" xr:uid="{00000000-0005-0000-0000-000078000000}"/>
    <cellStyle name="Heading 3" xfId="1372" xr:uid="{00000000-0005-0000-0000-000079000000}"/>
    <cellStyle name="Heading 4" xfId="1381" xr:uid="{00000000-0005-0000-0000-00007A000000}"/>
    <cellStyle name="Hypertextové prepojenie" xfId="4" builtinId="8"/>
    <cellStyle name="Hypertextové prepojenie 2" xfId="43" xr:uid="{00000000-0005-0000-0000-00007C000000}"/>
    <cellStyle name="Hypertextové prepojenie 2 2" xfId="137" xr:uid="{00000000-0005-0000-0000-00007D000000}"/>
    <cellStyle name="Hypertextové prepojenie 3" xfId="48" xr:uid="{00000000-0005-0000-0000-00007E000000}"/>
    <cellStyle name="Check Cell" xfId="1350" xr:uid="{00000000-0005-0000-0000-00007F000000}"/>
    <cellStyle name="Input" xfId="1361" xr:uid="{00000000-0005-0000-0000-000080000000}"/>
    <cellStyle name="Kontrolná bunka" xfId="87" builtinId="23" customBuiltin="1"/>
    <cellStyle name="Kontrolná bunka 2" xfId="40" xr:uid="{00000000-0005-0000-0000-000082000000}"/>
    <cellStyle name="Kontrolná bunka 2 2" xfId="1287" xr:uid="{00000000-0005-0000-0000-000083000000}"/>
    <cellStyle name="Linked Cell" xfId="1365" xr:uid="{00000000-0005-0000-0000-000084000000}"/>
    <cellStyle name="Nadpis 1" xfId="76" builtinId="16" customBuiltin="1"/>
    <cellStyle name="Nadpis 1 2" xfId="38" xr:uid="{00000000-0005-0000-0000-000086000000}"/>
    <cellStyle name="Nadpis 1 2 2" xfId="1276" xr:uid="{00000000-0005-0000-0000-000087000000}"/>
    <cellStyle name="Nadpis 2" xfId="77" builtinId="17" customBuiltin="1"/>
    <cellStyle name="Nadpis 2 2" xfId="1277" xr:uid="{00000000-0005-0000-0000-000089000000}"/>
    <cellStyle name="Nadpis 3" xfId="78" builtinId="18" customBuiltin="1"/>
    <cellStyle name="Nadpis 3 2" xfId="1278" xr:uid="{00000000-0005-0000-0000-00008B000000}"/>
    <cellStyle name="Nadpis 4" xfId="79" builtinId="19" customBuiltin="1"/>
    <cellStyle name="Nadpis 4 2" xfId="1279" xr:uid="{00000000-0005-0000-0000-00008D000000}"/>
    <cellStyle name="Názov" xfId="75" builtinId="15" customBuiltin="1"/>
    <cellStyle name="Neutral" xfId="1405" xr:uid="{00000000-0005-0000-0000-00008E000000}"/>
    <cellStyle name="Neutrálna" xfId="82" builtinId="28" customBuiltin="1"/>
    <cellStyle name="Neutrálna 2" xfId="1282" xr:uid="{00000000-0005-0000-0000-000090000000}"/>
    <cellStyle name="Normal 2" xfId="1" xr:uid="{00000000-0005-0000-0000-000091000000}"/>
    <cellStyle name="Normal 2 2" xfId="772" xr:uid="{00000000-0005-0000-0000-000092000000}"/>
    <cellStyle name="Normal 45" xfId="56" xr:uid="{00000000-0005-0000-0000-000093000000}"/>
    <cellStyle name="Normal 45 2" xfId="71" xr:uid="{00000000-0005-0000-0000-000094000000}"/>
    <cellStyle name="Normal_TAB2 2" xfId="57" xr:uid="{00000000-0005-0000-0000-000095000000}"/>
    <cellStyle name="Normálna" xfId="0" builtinId="0"/>
    <cellStyle name="Normálna 10" xfId="1497" xr:uid="{00000000-0005-0000-0000-000097000000}"/>
    <cellStyle name="Normálna 11" xfId="3" xr:uid="{00000000-0005-0000-0000-000098000000}"/>
    <cellStyle name="Normálna 12" xfId="1501" xr:uid="{E5A7C212-45EF-4419-9587-BC8539AD41DD}"/>
    <cellStyle name="Normálna 13" xfId="1505" xr:uid="{98C0E409-1C00-4000-A461-48E6BB361126}"/>
    <cellStyle name="Normálna 14" xfId="1506" xr:uid="{7D51F807-0693-418F-B1CB-342965924309}"/>
    <cellStyle name="Normálna 2" xfId="44" xr:uid="{00000000-0005-0000-0000-000099000000}"/>
    <cellStyle name="Normálna 2 2" xfId="5" xr:uid="{00000000-0005-0000-0000-00009A000000}"/>
    <cellStyle name="Normálna 2 2 2" xfId="118" xr:uid="{00000000-0005-0000-0000-00009B000000}"/>
    <cellStyle name="Normálna 2 2 2 2" xfId="1492" xr:uid="{00000000-0005-0000-0000-00009C000000}"/>
    <cellStyle name="Normálna 2 2 3" xfId="1491" xr:uid="{00000000-0005-0000-0000-00009D000000}"/>
    <cellStyle name="Normálna 2 3" xfId="1351" xr:uid="{00000000-0005-0000-0000-00009E000000}"/>
    <cellStyle name="Normálna 2 4" xfId="65" xr:uid="{00000000-0005-0000-0000-00009F000000}"/>
    <cellStyle name="Normálna 2 5" xfId="127" xr:uid="{00000000-0005-0000-0000-0000A0000000}"/>
    <cellStyle name="Normálna 3" xfId="17" xr:uid="{00000000-0005-0000-0000-0000A1000000}"/>
    <cellStyle name="Normálna 3 2" xfId="70" xr:uid="{00000000-0005-0000-0000-0000A2000000}"/>
    <cellStyle name="Normálna 3 3" xfId="1333" xr:uid="{00000000-0005-0000-0000-0000A3000000}"/>
    <cellStyle name="Normálna 3 4" xfId="1488" xr:uid="{00000000-0005-0000-0000-0000A4000000}"/>
    <cellStyle name="Normálna 4" xfId="14" xr:uid="{00000000-0005-0000-0000-0000A5000000}"/>
    <cellStyle name="Normálna 4 2" xfId="46" xr:uid="{00000000-0005-0000-0000-0000A6000000}"/>
    <cellStyle name="Normálna 4 3" xfId="45" xr:uid="{00000000-0005-0000-0000-0000A7000000}"/>
    <cellStyle name="Normálna 4 4" xfId="1336" xr:uid="{00000000-0005-0000-0000-0000A8000000}"/>
    <cellStyle name="Normálna 4 5" xfId="1489" xr:uid="{00000000-0005-0000-0000-0000A9000000}"/>
    <cellStyle name="Normálna 5" xfId="1483" xr:uid="{00000000-0005-0000-0000-0000AA000000}"/>
    <cellStyle name="Normálna 5 2" xfId="1493" xr:uid="{00000000-0005-0000-0000-0000AB000000}"/>
    <cellStyle name="Normálna 6" xfId="6" xr:uid="{00000000-0005-0000-0000-0000AC000000}"/>
    <cellStyle name="Normálna 6 2" xfId="1487" xr:uid="{00000000-0005-0000-0000-0000AD000000}"/>
    <cellStyle name="Normálna 7" xfId="126" xr:uid="{00000000-0005-0000-0000-0000AE000000}"/>
    <cellStyle name="Normálna 8" xfId="1494" xr:uid="{00000000-0005-0000-0000-0000AF000000}"/>
    <cellStyle name="Normálna 8 2" xfId="1500" xr:uid="{00000000-0005-0000-0000-0000B0000000}"/>
    <cellStyle name="Normálna 8 2 2" xfId="1503" xr:uid="{74EAD2C1-3DE6-48C6-992C-17ACD80F7C88}"/>
    <cellStyle name="Normálna 9" xfId="1496" xr:uid="{00000000-0005-0000-0000-0000B1000000}"/>
    <cellStyle name="Normálne 10" xfId="55" xr:uid="{00000000-0005-0000-0000-0000B2000000}"/>
    <cellStyle name="normálne 10 2" xfId="69" xr:uid="{00000000-0005-0000-0000-0000B3000000}"/>
    <cellStyle name="normálne 10 2 2" xfId="1389" xr:uid="{00000000-0005-0000-0000-0000B4000000}"/>
    <cellStyle name="normálne 10 3" xfId="158" xr:uid="{00000000-0005-0000-0000-0000B5000000}"/>
    <cellStyle name="Normálne 11" xfId="66" xr:uid="{00000000-0005-0000-0000-0000B6000000}"/>
    <cellStyle name="normálne 11 10" xfId="1154" xr:uid="{00000000-0005-0000-0000-0000B7000000}"/>
    <cellStyle name="normálne 11 11" xfId="1141" xr:uid="{00000000-0005-0000-0000-0000B8000000}"/>
    <cellStyle name="normálne 11 12" xfId="809" xr:uid="{00000000-0005-0000-0000-0000B9000000}"/>
    <cellStyle name="normálne 11 12 2" xfId="1438" xr:uid="{00000000-0005-0000-0000-0000BA000000}"/>
    <cellStyle name="normálne 11 13" xfId="1204" xr:uid="{00000000-0005-0000-0000-0000BB000000}"/>
    <cellStyle name="normálne 11 13 2" xfId="1464" xr:uid="{00000000-0005-0000-0000-0000BC000000}"/>
    <cellStyle name="normálne 11 14" xfId="1221" xr:uid="{00000000-0005-0000-0000-0000BD000000}"/>
    <cellStyle name="normálne 11 14 2" xfId="1465" xr:uid="{00000000-0005-0000-0000-0000BE000000}"/>
    <cellStyle name="normálne 11 15" xfId="1228" xr:uid="{00000000-0005-0000-0000-0000BF000000}"/>
    <cellStyle name="normálne 11 15 2" xfId="1466" xr:uid="{00000000-0005-0000-0000-0000C0000000}"/>
    <cellStyle name="normálne 11 16" xfId="1235" xr:uid="{00000000-0005-0000-0000-0000C1000000}"/>
    <cellStyle name="normálne 11 16 2" xfId="1467" xr:uid="{00000000-0005-0000-0000-0000C2000000}"/>
    <cellStyle name="normálne 11 17" xfId="1242" xr:uid="{00000000-0005-0000-0000-0000C3000000}"/>
    <cellStyle name="normálne 11 17 2" xfId="1468" xr:uid="{00000000-0005-0000-0000-0000C4000000}"/>
    <cellStyle name="normálne 11 18" xfId="1249" xr:uid="{00000000-0005-0000-0000-0000C5000000}"/>
    <cellStyle name="normálne 11 18 2" xfId="1469" xr:uid="{00000000-0005-0000-0000-0000C6000000}"/>
    <cellStyle name="normálne 11 19" xfId="1255" xr:uid="{00000000-0005-0000-0000-0000C7000000}"/>
    <cellStyle name="normálne 11 19 2" xfId="1470" xr:uid="{00000000-0005-0000-0000-0000C8000000}"/>
    <cellStyle name="normálne 11 2" xfId="777" xr:uid="{00000000-0005-0000-0000-0000C9000000}"/>
    <cellStyle name="normálne 11 2 2" xfId="808" xr:uid="{00000000-0005-0000-0000-0000CA000000}"/>
    <cellStyle name="normálne 11 2 3" xfId="1045" xr:uid="{00000000-0005-0000-0000-0000CB000000}"/>
    <cellStyle name="normálne 11 2 4" xfId="1434" xr:uid="{00000000-0005-0000-0000-0000CC000000}"/>
    <cellStyle name="normálne 11 20" xfId="1261" xr:uid="{00000000-0005-0000-0000-0000CD000000}"/>
    <cellStyle name="normálne 11 20 2" xfId="1471" xr:uid="{00000000-0005-0000-0000-0000CE000000}"/>
    <cellStyle name="normálne 11 21" xfId="1267" xr:uid="{00000000-0005-0000-0000-0000CF000000}"/>
    <cellStyle name="normálne 11 21 2" xfId="1472" xr:uid="{00000000-0005-0000-0000-0000D0000000}"/>
    <cellStyle name="normálne 11 22" xfId="1273" xr:uid="{00000000-0005-0000-0000-0000D1000000}"/>
    <cellStyle name="normálne 11 22 2" xfId="1473" xr:uid="{00000000-0005-0000-0000-0000D2000000}"/>
    <cellStyle name="normálne 11 23" xfId="1345" xr:uid="{00000000-0005-0000-0000-0000D3000000}"/>
    <cellStyle name="normálne 11 24" xfId="171" xr:uid="{00000000-0005-0000-0000-0000D4000000}"/>
    <cellStyle name="Normálne 11 25" xfId="1495" xr:uid="{00000000-0005-0000-0000-0000D5000000}"/>
    <cellStyle name="normálne 11 3" xfId="1119" xr:uid="{00000000-0005-0000-0000-0000D6000000}"/>
    <cellStyle name="normálne 11 4" xfId="1126" xr:uid="{00000000-0005-0000-0000-0000D7000000}"/>
    <cellStyle name="normálne 11 5" xfId="1168" xr:uid="{00000000-0005-0000-0000-0000D8000000}"/>
    <cellStyle name="normálne 11 6" xfId="1149" xr:uid="{00000000-0005-0000-0000-0000D9000000}"/>
    <cellStyle name="normálne 11 7" xfId="1174" xr:uid="{00000000-0005-0000-0000-0000DA000000}"/>
    <cellStyle name="normálne 11 8" xfId="1111" xr:uid="{00000000-0005-0000-0000-0000DB000000}"/>
    <cellStyle name="normálne 11 9" xfId="1164" xr:uid="{00000000-0005-0000-0000-0000DC000000}"/>
    <cellStyle name="Normálne 12" xfId="73" xr:uid="{00000000-0005-0000-0000-0000DD000000}"/>
    <cellStyle name="normálne 12 2" xfId="1386" xr:uid="{00000000-0005-0000-0000-0000DE000000}"/>
    <cellStyle name="normálne 12 3" xfId="198" xr:uid="{00000000-0005-0000-0000-0000DF000000}"/>
    <cellStyle name="Normálne 13" xfId="115" xr:uid="{00000000-0005-0000-0000-0000E0000000}"/>
    <cellStyle name="normálne 13 2" xfId="274" xr:uid="{00000000-0005-0000-0000-0000E1000000}"/>
    <cellStyle name="normálne 13 2 2" xfId="453" xr:uid="{00000000-0005-0000-0000-0000E2000000}"/>
    <cellStyle name="normálne 13 2 3" xfId="590" xr:uid="{00000000-0005-0000-0000-0000E3000000}"/>
    <cellStyle name="normálne 13 2 4" xfId="730" xr:uid="{00000000-0005-0000-0000-0000E4000000}"/>
    <cellStyle name="normálne 13 2 5" xfId="896" xr:uid="{00000000-0005-0000-0000-0000E5000000}"/>
    <cellStyle name="normálne 13 2 6" xfId="999" xr:uid="{00000000-0005-0000-0000-0000E6000000}"/>
    <cellStyle name="normálne 13 3" xfId="378" xr:uid="{00000000-0005-0000-0000-0000E7000000}"/>
    <cellStyle name="normálne 13 4" xfId="517" xr:uid="{00000000-0005-0000-0000-0000E8000000}"/>
    <cellStyle name="normálne 13 5" xfId="659" xr:uid="{00000000-0005-0000-0000-0000E9000000}"/>
    <cellStyle name="normálne 13 6" xfId="823" xr:uid="{00000000-0005-0000-0000-0000EA000000}"/>
    <cellStyle name="normálne 13 7" xfId="1070" xr:uid="{00000000-0005-0000-0000-0000EB000000}"/>
    <cellStyle name="normálne 13 8" xfId="1376" xr:uid="{00000000-0005-0000-0000-0000EC000000}"/>
    <cellStyle name="normálne 13 9" xfId="197" xr:uid="{00000000-0005-0000-0000-0000ED000000}"/>
    <cellStyle name="Normálne 14" xfId="9" xr:uid="{00000000-0005-0000-0000-0000EE000000}"/>
    <cellStyle name="Normálne 14 2" xfId="11" xr:uid="{00000000-0005-0000-0000-0000EF000000}"/>
    <cellStyle name="Normálne 14 2 2" xfId="19" xr:uid="{00000000-0005-0000-0000-0000F0000000}"/>
    <cellStyle name="normálne 14 2 2 2" xfId="488" xr:uid="{00000000-0005-0000-0000-0000F1000000}"/>
    <cellStyle name="Normálne 14 2 2 3" xfId="1499" xr:uid="{00000000-0005-0000-0000-0000F2000000}"/>
    <cellStyle name="normálne 14 2 3" xfId="625" xr:uid="{00000000-0005-0000-0000-0000F3000000}"/>
    <cellStyle name="normálne 14 2 4" xfId="765" xr:uid="{00000000-0005-0000-0000-0000F4000000}"/>
    <cellStyle name="normálne 14 2 5" xfId="931" xr:uid="{00000000-0005-0000-0000-0000F5000000}"/>
    <cellStyle name="normálne 14 2 6" xfId="1049" xr:uid="{00000000-0005-0000-0000-0000F6000000}"/>
    <cellStyle name="normálne 14 2 7" xfId="309" xr:uid="{00000000-0005-0000-0000-0000F7000000}"/>
    <cellStyle name="Normálne 14 3" xfId="18" xr:uid="{00000000-0005-0000-0000-0000F8000000}"/>
    <cellStyle name="normálne 14 3 2" xfId="415" xr:uid="{00000000-0005-0000-0000-0000F9000000}"/>
    <cellStyle name="Normálne 14 4" xfId="119" xr:uid="{00000000-0005-0000-0000-0000FA000000}"/>
    <cellStyle name="normálne 14 4 2" xfId="553" xr:uid="{00000000-0005-0000-0000-0000FB000000}"/>
    <cellStyle name="Normálne 14 5" xfId="123" xr:uid="{00000000-0005-0000-0000-0000FC000000}"/>
    <cellStyle name="normálne 14 5 2" xfId="694" xr:uid="{00000000-0005-0000-0000-0000FD000000}"/>
    <cellStyle name="normálne 14 6" xfId="859" xr:uid="{00000000-0005-0000-0000-0000FE000000}"/>
    <cellStyle name="normálne 14 7" xfId="977" xr:uid="{00000000-0005-0000-0000-0000FF000000}"/>
    <cellStyle name="normálne 14 8" xfId="1366" xr:uid="{00000000-0005-0000-0000-000000010000}"/>
    <cellStyle name="normálne 14 9" xfId="235" xr:uid="{00000000-0005-0000-0000-000001010000}"/>
    <cellStyle name="Normálne 15" xfId="117" xr:uid="{00000000-0005-0000-0000-000002010000}"/>
    <cellStyle name="normálne 15 2" xfId="1343" xr:uid="{00000000-0005-0000-0000-000003010000}"/>
    <cellStyle name="normálne 15 3" xfId="237" xr:uid="{00000000-0005-0000-0000-000004010000}"/>
    <cellStyle name="Normálne 16" xfId="122" xr:uid="{00000000-0005-0000-0000-000005010000}"/>
    <cellStyle name="normálne 16 2" xfId="416" xr:uid="{00000000-0005-0000-0000-000006010000}"/>
    <cellStyle name="normálne 16 3" xfId="554" xr:uid="{00000000-0005-0000-0000-000007010000}"/>
    <cellStyle name="normálne 16 4" xfId="695" xr:uid="{00000000-0005-0000-0000-000008010000}"/>
    <cellStyle name="normálne 16 5" xfId="860" xr:uid="{00000000-0005-0000-0000-000009010000}"/>
    <cellStyle name="normálne 16 6" xfId="1099" xr:uid="{00000000-0005-0000-0000-00000A010000}"/>
    <cellStyle name="normálne 16 7" xfId="1360" xr:uid="{00000000-0005-0000-0000-00000B010000}"/>
    <cellStyle name="normálne 16 8" xfId="236" xr:uid="{00000000-0005-0000-0000-00000C010000}"/>
    <cellStyle name="Normálne 17" xfId="124" xr:uid="{00000000-0005-0000-0000-00000D010000}"/>
    <cellStyle name="normálne 17 2" xfId="489" xr:uid="{00000000-0005-0000-0000-00000E010000}"/>
    <cellStyle name="normálne 17 3" xfId="626" xr:uid="{00000000-0005-0000-0000-00000F010000}"/>
    <cellStyle name="normálne 17 4" xfId="766" xr:uid="{00000000-0005-0000-0000-000010010000}"/>
    <cellStyle name="normálne 17 5" xfId="932" xr:uid="{00000000-0005-0000-0000-000011010000}"/>
    <cellStyle name="normálne 17 6" xfId="1055" xr:uid="{00000000-0005-0000-0000-000012010000}"/>
    <cellStyle name="normálne 17 7" xfId="1367" xr:uid="{00000000-0005-0000-0000-000013010000}"/>
    <cellStyle name="normálne 17 8" xfId="310" xr:uid="{00000000-0005-0000-0000-000014010000}"/>
    <cellStyle name="normálne 18" xfId="311" xr:uid="{00000000-0005-0000-0000-000015010000}"/>
    <cellStyle name="normálne 18 2" xfId="1407" xr:uid="{00000000-0005-0000-0000-000016010000}"/>
    <cellStyle name="normálne 19" xfId="314" xr:uid="{00000000-0005-0000-0000-000017010000}"/>
    <cellStyle name="normálne 19 2" xfId="492" xr:uid="{00000000-0005-0000-0000-000018010000}"/>
    <cellStyle name="normálne 19 2 2" xfId="1425" xr:uid="{00000000-0005-0000-0000-000019010000}"/>
    <cellStyle name="normálne 19 3" xfId="629" xr:uid="{00000000-0005-0000-0000-00001A010000}"/>
    <cellStyle name="normálne 19 3 2" xfId="1430" xr:uid="{00000000-0005-0000-0000-00001B010000}"/>
    <cellStyle name="normálne 19 4" xfId="768" xr:uid="{00000000-0005-0000-0000-00001C010000}"/>
    <cellStyle name="normálne 19 4 2" xfId="1432" xr:uid="{00000000-0005-0000-0000-00001D010000}"/>
    <cellStyle name="normálne 19 5" xfId="935" xr:uid="{00000000-0005-0000-0000-00001E010000}"/>
    <cellStyle name="normálne 19 5 2" xfId="1439" xr:uid="{00000000-0005-0000-0000-00001F010000}"/>
    <cellStyle name="normálne 19 6" xfId="1032" xr:uid="{00000000-0005-0000-0000-000020010000}"/>
    <cellStyle name="normálne 19 6 2" xfId="1457" xr:uid="{00000000-0005-0000-0000-000021010000}"/>
    <cellStyle name="normálne 19 7" xfId="1416" xr:uid="{00000000-0005-0000-0000-000022010000}"/>
    <cellStyle name="normálne 19 8" xfId="1358" xr:uid="{00000000-0005-0000-0000-000023010000}"/>
    <cellStyle name="Normálne 2" xfId="2" xr:uid="{00000000-0005-0000-0000-000024010000}"/>
    <cellStyle name="normálne 2 10" xfId="1102" xr:uid="{00000000-0005-0000-0000-000025010000}"/>
    <cellStyle name="normálne 2 11" xfId="1112" xr:uid="{00000000-0005-0000-0000-000026010000}"/>
    <cellStyle name="normálne 2 12" xfId="1150" xr:uid="{00000000-0005-0000-0000-000027010000}"/>
    <cellStyle name="normálne 2 13" xfId="1162" xr:uid="{00000000-0005-0000-0000-000028010000}"/>
    <cellStyle name="normálne 2 14" xfId="1117" xr:uid="{00000000-0005-0000-0000-000029010000}"/>
    <cellStyle name="normálne 2 15" xfId="1152" xr:uid="{00000000-0005-0000-0000-00002A010000}"/>
    <cellStyle name="normálne 2 16" xfId="1140" xr:uid="{00000000-0005-0000-0000-00002B010000}"/>
    <cellStyle name="normálne 2 17" xfId="1103" xr:uid="{00000000-0005-0000-0000-00002C010000}"/>
    <cellStyle name="normálne 2 18" xfId="1194" xr:uid="{00000000-0005-0000-0000-00002D010000}"/>
    <cellStyle name="normálne 2 19" xfId="1207" xr:uid="{00000000-0005-0000-0000-00002E010000}"/>
    <cellStyle name="Normálne 2 2" xfId="20" xr:uid="{00000000-0005-0000-0000-00002F010000}"/>
    <cellStyle name="normálne 2 2 10" xfId="1175" xr:uid="{00000000-0005-0000-0000-000030010000}"/>
    <cellStyle name="normálne 2 2 11" xfId="1173" xr:uid="{00000000-0005-0000-0000-000031010000}"/>
    <cellStyle name="normálne 2 2 12" xfId="1161" xr:uid="{00000000-0005-0000-0000-000032010000}"/>
    <cellStyle name="normálne 2 2 13" xfId="1153" xr:uid="{00000000-0005-0000-0000-000033010000}"/>
    <cellStyle name="normálne 2 2 14" xfId="1130" xr:uid="{00000000-0005-0000-0000-000034010000}"/>
    <cellStyle name="normálne 2 2 15" xfId="941" xr:uid="{00000000-0005-0000-0000-000035010000}"/>
    <cellStyle name="normálne 2 2 16" xfId="138" xr:uid="{00000000-0005-0000-0000-000036010000}"/>
    <cellStyle name="normálne 2 2 2" xfId="178" xr:uid="{00000000-0005-0000-0000-000037010000}"/>
    <cellStyle name="normálne 2 2 3" xfId="325" xr:uid="{00000000-0005-0000-0000-000038010000}"/>
    <cellStyle name="normálne 2 2 4" xfId="373" xr:uid="{00000000-0005-0000-0000-000039010000}"/>
    <cellStyle name="normálne 2 2 5" xfId="501" xr:uid="{00000000-0005-0000-0000-00003A010000}"/>
    <cellStyle name="normálne 2 2 6" xfId="785" xr:uid="{00000000-0005-0000-0000-00003B010000}"/>
    <cellStyle name="normálne 2 2 6 2" xfId="1105" xr:uid="{00000000-0005-0000-0000-00003C010000}"/>
    <cellStyle name="normálne 2 2 6 3" xfId="1197" xr:uid="{00000000-0005-0000-0000-00003D010000}"/>
    <cellStyle name="normálne 2 2 7" xfId="1104" xr:uid="{00000000-0005-0000-0000-00003E010000}"/>
    <cellStyle name="normálne 2 2 8" xfId="1115" xr:uid="{00000000-0005-0000-0000-00003F010000}"/>
    <cellStyle name="normálne 2 2 9" xfId="1170" xr:uid="{00000000-0005-0000-0000-000040010000}"/>
    <cellStyle name="normálne 2 20" xfId="1213" xr:uid="{00000000-0005-0000-0000-000041010000}"/>
    <cellStyle name="normálne 2 21" xfId="1357" xr:uid="{00000000-0005-0000-0000-000042010000}"/>
    <cellStyle name="normálne 2 22" xfId="136" xr:uid="{00000000-0005-0000-0000-000043010000}"/>
    <cellStyle name="Normálne 2 3" xfId="34" xr:uid="{00000000-0005-0000-0000-000044010000}"/>
    <cellStyle name="normálne 2 3 2" xfId="144" xr:uid="{00000000-0005-0000-0000-000045010000}"/>
    <cellStyle name="Normálne 2 4" xfId="51" xr:uid="{00000000-0005-0000-0000-000046010000}"/>
    <cellStyle name="normálne 2 4 10" xfId="975" xr:uid="{00000000-0005-0000-0000-000047010000}"/>
    <cellStyle name="normálne 2 4 11" xfId="153" xr:uid="{00000000-0005-0000-0000-000048010000}"/>
    <cellStyle name="normálne 2 4 2" xfId="167" xr:uid="{00000000-0005-0000-0000-000049010000}"/>
    <cellStyle name="normálne 2 4 2 2" xfId="219" xr:uid="{00000000-0005-0000-0000-00004A010000}"/>
    <cellStyle name="normálne 2 4 2 2 2" xfId="293" xr:uid="{00000000-0005-0000-0000-00004B010000}"/>
    <cellStyle name="normálne 2 4 2 2 2 2" xfId="472" xr:uid="{00000000-0005-0000-0000-00004C010000}"/>
    <cellStyle name="normálne 2 4 2 2 2 3" xfId="609" xr:uid="{00000000-0005-0000-0000-00004D010000}"/>
    <cellStyle name="normálne 2 4 2 2 2 4" xfId="749" xr:uid="{00000000-0005-0000-0000-00004E010000}"/>
    <cellStyle name="normálne 2 4 2 2 2 5" xfId="915" xr:uid="{00000000-0005-0000-0000-00004F010000}"/>
    <cellStyle name="normálne 2 4 2 2 2 6" xfId="1063" xr:uid="{00000000-0005-0000-0000-000050010000}"/>
    <cellStyle name="normálne 2 4 2 2 3" xfId="399" xr:uid="{00000000-0005-0000-0000-000051010000}"/>
    <cellStyle name="normálne 2 4 2 2 4" xfId="537" xr:uid="{00000000-0005-0000-0000-000052010000}"/>
    <cellStyle name="normálne 2 4 2 2 5" xfId="678" xr:uid="{00000000-0005-0000-0000-000053010000}"/>
    <cellStyle name="normálne 2 4 2 2 6" xfId="843" xr:uid="{00000000-0005-0000-0000-000054010000}"/>
    <cellStyle name="normálne 2 4 2 2 7" xfId="1028" xr:uid="{00000000-0005-0000-0000-000055010000}"/>
    <cellStyle name="normálne 2 4 2 3" xfId="258" xr:uid="{00000000-0005-0000-0000-000056010000}"/>
    <cellStyle name="normálne 2 4 2 3 2" xfId="437" xr:uid="{00000000-0005-0000-0000-000057010000}"/>
    <cellStyle name="normálne 2 4 2 3 3" xfId="574" xr:uid="{00000000-0005-0000-0000-000058010000}"/>
    <cellStyle name="normálne 2 4 2 3 4" xfId="714" xr:uid="{00000000-0005-0000-0000-000059010000}"/>
    <cellStyle name="normálne 2 4 2 3 5" xfId="880" xr:uid="{00000000-0005-0000-0000-00005A010000}"/>
    <cellStyle name="normálne 2 4 2 3 6" xfId="1013" xr:uid="{00000000-0005-0000-0000-00005B010000}"/>
    <cellStyle name="normálne 2 4 2 4" xfId="352" xr:uid="{00000000-0005-0000-0000-00005C010000}"/>
    <cellStyle name="normálne 2 4 2 5" xfId="497" xr:uid="{00000000-0005-0000-0000-00005D010000}"/>
    <cellStyle name="normálne 2 4 2 6" xfId="643" xr:uid="{00000000-0005-0000-0000-00005E010000}"/>
    <cellStyle name="normálne 2 4 2 7" xfId="804" xr:uid="{00000000-0005-0000-0000-00005F010000}"/>
    <cellStyle name="normálne 2 4 2 8" xfId="1067" xr:uid="{00000000-0005-0000-0000-000060010000}"/>
    <cellStyle name="normálne 2 4 3" xfId="191" xr:uid="{00000000-0005-0000-0000-000061010000}"/>
    <cellStyle name="normálne 2 4 3 2" xfId="230" xr:uid="{00000000-0005-0000-0000-000062010000}"/>
    <cellStyle name="normálne 2 4 3 2 2" xfId="304" xr:uid="{00000000-0005-0000-0000-000063010000}"/>
    <cellStyle name="normálne 2 4 3 2 2 2" xfId="483" xr:uid="{00000000-0005-0000-0000-000064010000}"/>
    <cellStyle name="normálne 2 4 3 2 2 3" xfId="620" xr:uid="{00000000-0005-0000-0000-000065010000}"/>
    <cellStyle name="normálne 2 4 3 2 2 4" xfId="760" xr:uid="{00000000-0005-0000-0000-000066010000}"/>
    <cellStyle name="normálne 2 4 3 2 2 5" xfId="926" xr:uid="{00000000-0005-0000-0000-000067010000}"/>
    <cellStyle name="normálne 2 4 3 2 2 6" xfId="990" xr:uid="{00000000-0005-0000-0000-000068010000}"/>
    <cellStyle name="normálne 2 4 3 2 3" xfId="410" xr:uid="{00000000-0005-0000-0000-000069010000}"/>
    <cellStyle name="normálne 2 4 3 2 4" xfId="548" xr:uid="{00000000-0005-0000-0000-00006A010000}"/>
    <cellStyle name="normálne 2 4 3 2 5" xfId="689" xr:uid="{00000000-0005-0000-0000-00006B010000}"/>
    <cellStyle name="normálne 2 4 3 2 6" xfId="854" xr:uid="{00000000-0005-0000-0000-00006C010000}"/>
    <cellStyle name="normálne 2 4 3 2 7" xfId="1085" xr:uid="{00000000-0005-0000-0000-00006D010000}"/>
    <cellStyle name="normálne 2 4 3 3" xfId="269" xr:uid="{00000000-0005-0000-0000-00006E010000}"/>
    <cellStyle name="normálne 2 4 3 3 2" xfId="448" xr:uid="{00000000-0005-0000-0000-00006F010000}"/>
    <cellStyle name="normálne 2 4 3 3 3" xfId="585" xr:uid="{00000000-0005-0000-0000-000070010000}"/>
    <cellStyle name="normálne 2 4 3 3 4" xfId="725" xr:uid="{00000000-0005-0000-0000-000071010000}"/>
    <cellStyle name="normálne 2 4 3 3 5" xfId="891" xr:uid="{00000000-0005-0000-0000-000072010000}"/>
    <cellStyle name="normálne 2 4 3 3 6" xfId="1069" xr:uid="{00000000-0005-0000-0000-000073010000}"/>
    <cellStyle name="normálne 2 4 3 4" xfId="372" xr:uid="{00000000-0005-0000-0000-000074010000}"/>
    <cellStyle name="normálne 2 4 3 5" xfId="512" xr:uid="{00000000-0005-0000-0000-000075010000}"/>
    <cellStyle name="normálne 2 4 3 6" xfId="654" xr:uid="{00000000-0005-0000-0000-000076010000}"/>
    <cellStyle name="normálne 2 4 3 7" xfId="818" xr:uid="{00000000-0005-0000-0000-000077010000}"/>
    <cellStyle name="normálne 2 4 3 8" xfId="1057" xr:uid="{00000000-0005-0000-0000-000078010000}"/>
    <cellStyle name="Normálne 2 4 3 9" xfId="1504" xr:uid="{5F41CD49-F7EE-4E6A-91C7-394AFE5A6FBD}"/>
    <cellStyle name="normálne 2 4 4" xfId="208" xr:uid="{00000000-0005-0000-0000-000079010000}"/>
    <cellStyle name="normálne 2 4 4 2" xfId="282" xr:uid="{00000000-0005-0000-0000-00007A010000}"/>
    <cellStyle name="normálne 2 4 4 2 2" xfId="461" xr:uid="{00000000-0005-0000-0000-00007B010000}"/>
    <cellStyle name="normálne 2 4 4 2 3" xfId="598" xr:uid="{00000000-0005-0000-0000-00007C010000}"/>
    <cellStyle name="normálne 2 4 4 2 4" xfId="738" xr:uid="{00000000-0005-0000-0000-00007D010000}"/>
    <cellStyle name="normálne 2 4 4 2 5" xfId="904" xr:uid="{00000000-0005-0000-0000-00007E010000}"/>
    <cellStyle name="normálne 2 4 4 2 6" xfId="1016" xr:uid="{00000000-0005-0000-0000-00007F010000}"/>
    <cellStyle name="normálne 2 4 4 3" xfId="388" xr:uid="{00000000-0005-0000-0000-000080010000}"/>
    <cellStyle name="normálne 2 4 4 4" xfId="526" xr:uid="{00000000-0005-0000-0000-000081010000}"/>
    <cellStyle name="normálne 2 4 4 5" xfId="667" xr:uid="{00000000-0005-0000-0000-000082010000}"/>
    <cellStyle name="normálne 2 4 4 6" xfId="832" xr:uid="{00000000-0005-0000-0000-000083010000}"/>
    <cellStyle name="normálne 2 4 4 7" xfId="984" xr:uid="{00000000-0005-0000-0000-000084010000}"/>
    <cellStyle name="normálne 2 4 5" xfId="247" xr:uid="{00000000-0005-0000-0000-000085010000}"/>
    <cellStyle name="normálne 2 4 5 2" xfId="426" xr:uid="{00000000-0005-0000-0000-000086010000}"/>
    <cellStyle name="normálne 2 4 5 3" xfId="563" xr:uid="{00000000-0005-0000-0000-000087010000}"/>
    <cellStyle name="normálne 2 4 5 4" xfId="703" xr:uid="{00000000-0005-0000-0000-000088010000}"/>
    <cellStyle name="normálne 2 4 5 5" xfId="869" xr:uid="{00000000-0005-0000-0000-000089010000}"/>
    <cellStyle name="normálne 2 4 5 6" xfId="973" xr:uid="{00000000-0005-0000-0000-00008A010000}"/>
    <cellStyle name="normálne 2 4 6" xfId="339" xr:uid="{00000000-0005-0000-0000-00008B010000}"/>
    <cellStyle name="normálne 2 4 7" xfId="318" xr:uid="{00000000-0005-0000-0000-00008C010000}"/>
    <cellStyle name="normálne 2 4 8" xfId="632" xr:uid="{00000000-0005-0000-0000-00008D010000}"/>
    <cellStyle name="normálne 2 4 9" xfId="795" xr:uid="{00000000-0005-0000-0000-00008E010000}"/>
    <cellStyle name="normálne 2 5" xfId="147" xr:uid="{00000000-0005-0000-0000-00008F010000}"/>
    <cellStyle name="normálne 2 5 2" xfId="335" xr:uid="{00000000-0005-0000-0000-000090010000}"/>
    <cellStyle name="normálne 2 5 2 2" xfId="942" xr:uid="{00000000-0005-0000-0000-000091010000}"/>
    <cellStyle name="normálne 2 5 2 2 2" xfId="1442" xr:uid="{00000000-0005-0000-0000-000092010000}"/>
    <cellStyle name="normálne 2 5 2 3" xfId="1007" xr:uid="{00000000-0005-0000-0000-000093010000}"/>
    <cellStyle name="normálne 2 5 2 3 2" xfId="1454" xr:uid="{00000000-0005-0000-0000-000094010000}"/>
    <cellStyle name="normálne 2 5 2 4" xfId="1420" xr:uid="{00000000-0005-0000-0000-000095010000}"/>
    <cellStyle name="normálne 2 5 3" xfId="417" xr:uid="{00000000-0005-0000-0000-000096010000}"/>
    <cellStyle name="normálne 2 5 3 2" xfId="978" xr:uid="{00000000-0005-0000-0000-000097010000}"/>
    <cellStyle name="normálne 2 5 3 2 2" xfId="1450" xr:uid="{00000000-0005-0000-0000-000098010000}"/>
    <cellStyle name="normálne 2 5 3 3" xfId="1095" xr:uid="{00000000-0005-0000-0000-000099010000}"/>
    <cellStyle name="normálne 2 5 3 3 2" xfId="1462" xr:uid="{00000000-0005-0000-0000-00009A010000}"/>
    <cellStyle name="normálne 2 5 3 4" xfId="1424" xr:uid="{00000000-0005-0000-0000-00009B010000}"/>
    <cellStyle name="normálne 2 5 4" xfId="503" xr:uid="{00000000-0005-0000-0000-00009C010000}"/>
    <cellStyle name="normálne 2 5 4 2" xfId="1006" xr:uid="{00000000-0005-0000-0000-00009D010000}"/>
    <cellStyle name="normálne 2 5 4 2 2" xfId="1453" xr:uid="{00000000-0005-0000-0000-00009E010000}"/>
    <cellStyle name="normálne 2 5 4 3" xfId="1090" xr:uid="{00000000-0005-0000-0000-00009F010000}"/>
    <cellStyle name="normálne 2 5 4 3 2" xfId="1461" xr:uid="{00000000-0005-0000-0000-0000A0010000}"/>
    <cellStyle name="normálne 2 5 4 4" xfId="1427" xr:uid="{00000000-0005-0000-0000-0000A1010000}"/>
    <cellStyle name="normálne 2 5 5" xfId="792" xr:uid="{00000000-0005-0000-0000-0000A2010000}"/>
    <cellStyle name="normálne 2 5 5 2" xfId="1436" xr:uid="{00000000-0005-0000-0000-0000A3010000}"/>
    <cellStyle name="normálne 2 5 6" xfId="958" xr:uid="{00000000-0005-0000-0000-0000A4010000}"/>
    <cellStyle name="normálne 2 5 6 2" xfId="1446" xr:uid="{00000000-0005-0000-0000-0000A5010000}"/>
    <cellStyle name="normálne 2 5 7" xfId="1414" xr:uid="{00000000-0005-0000-0000-0000A6010000}"/>
    <cellStyle name="normálne 2 6" xfId="161" xr:uid="{00000000-0005-0000-0000-0000A7010000}"/>
    <cellStyle name="normálne 2 6 2" xfId="196" xr:uid="{00000000-0005-0000-0000-0000A8010000}"/>
    <cellStyle name="normálne 2 6 2 2" xfId="234" xr:uid="{00000000-0005-0000-0000-0000A9010000}"/>
    <cellStyle name="normálne 2 6 2 2 2" xfId="308" xr:uid="{00000000-0005-0000-0000-0000AA010000}"/>
    <cellStyle name="normálne 2 6 2 2 2 2" xfId="487" xr:uid="{00000000-0005-0000-0000-0000AB010000}"/>
    <cellStyle name="normálne 2 6 2 2 2 3" xfId="624" xr:uid="{00000000-0005-0000-0000-0000AC010000}"/>
    <cellStyle name="normálne 2 6 2 2 2 4" xfId="764" xr:uid="{00000000-0005-0000-0000-0000AD010000}"/>
    <cellStyle name="normálne 2 6 2 2 2 5" xfId="930" xr:uid="{00000000-0005-0000-0000-0000AE010000}"/>
    <cellStyle name="normálne 2 6 2 2 2 6" xfId="1098" xr:uid="{00000000-0005-0000-0000-0000AF010000}"/>
    <cellStyle name="normálne 2 6 2 2 3" xfId="414" xr:uid="{00000000-0005-0000-0000-0000B0010000}"/>
    <cellStyle name="normálne 2 6 2 2 4" xfId="552" xr:uid="{00000000-0005-0000-0000-0000B1010000}"/>
    <cellStyle name="normálne 2 6 2 2 5" xfId="693" xr:uid="{00000000-0005-0000-0000-0000B2010000}"/>
    <cellStyle name="normálne 2 6 2 2 6" xfId="858" xr:uid="{00000000-0005-0000-0000-0000B3010000}"/>
    <cellStyle name="normálne 2 6 2 2 7" xfId="1023" xr:uid="{00000000-0005-0000-0000-0000B4010000}"/>
    <cellStyle name="normálne 2 6 2 3" xfId="273" xr:uid="{00000000-0005-0000-0000-0000B5010000}"/>
    <cellStyle name="normálne 2 6 2 3 2" xfId="452" xr:uid="{00000000-0005-0000-0000-0000B6010000}"/>
    <cellStyle name="normálne 2 6 2 3 3" xfId="589" xr:uid="{00000000-0005-0000-0000-0000B7010000}"/>
    <cellStyle name="normálne 2 6 2 3 4" xfId="729" xr:uid="{00000000-0005-0000-0000-0000B8010000}"/>
    <cellStyle name="normálne 2 6 2 3 5" xfId="895" xr:uid="{00000000-0005-0000-0000-0000B9010000}"/>
    <cellStyle name="normálne 2 6 2 3 6" xfId="1047" xr:uid="{00000000-0005-0000-0000-0000BA010000}"/>
    <cellStyle name="normálne 2 6 2 4" xfId="377" xr:uid="{00000000-0005-0000-0000-0000BB010000}"/>
    <cellStyle name="normálne 2 6 2 5" xfId="516" xr:uid="{00000000-0005-0000-0000-0000BC010000}"/>
    <cellStyle name="normálne 2 6 2 6" xfId="658" xr:uid="{00000000-0005-0000-0000-0000BD010000}"/>
    <cellStyle name="normálne 2 6 2 7" xfId="822" xr:uid="{00000000-0005-0000-0000-0000BE010000}"/>
    <cellStyle name="normálne 2 6 2 8" xfId="989" xr:uid="{00000000-0005-0000-0000-0000BF010000}"/>
    <cellStyle name="normálne 2 6 3" xfId="213" xr:uid="{00000000-0005-0000-0000-0000C0010000}"/>
    <cellStyle name="normálne 2 6 3 2" xfId="287" xr:uid="{00000000-0005-0000-0000-0000C1010000}"/>
    <cellStyle name="normálne 2 6 3 2 2" xfId="466" xr:uid="{00000000-0005-0000-0000-0000C2010000}"/>
    <cellStyle name="normálne 2 6 3 2 3" xfId="603" xr:uid="{00000000-0005-0000-0000-0000C3010000}"/>
    <cellStyle name="normálne 2 6 3 2 4" xfId="743" xr:uid="{00000000-0005-0000-0000-0000C4010000}"/>
    <cellStyle name="normálne 2 6 3 2 5" xfId="909" xr:uid="{00000000-0005-0000-0000-0000C5010000}"/>
    <cellStyle name="normálne 2 6 3 2 6" xfId="1050" xr:uid="{00000000-0005-0000-0000-0000C6010000}"/>
    <cellStyle name="normálne 2 6 3 3" xfId="393" xr:uid="{00000000-0005-0000-0000-0000C7010000}"/>
    <cellStyle name="normálne 2 6 3 4" xfId="531" xr:uid="{00000000-0005-0000-0000-0000C8010000}"/>
    <cellStyle name="normálne 2 6 3 5" xfId="672" xr:uid="{00000000-0005-0000-0000-0000C9010000}"/>
    <cellStyle name="normálne 2 6 3 6" xfId="837" xr:uid="{00000000-0005-0000-0000-0000CA010000}"/>
    <cellStyle name="normálne 2 6 3 7" xfId="1044" xr:uid="{00000000-0005-0000-0000-0000CB010000}"/>
    <cellStyle name="normálne 2 6 4" xfId="252" xr:uid="{00000000-0005-0000-0000-0000CC010000}"/>
    <cellStyle name="normálne 2 6 4 2" xfId="431" xr:uid="{00000000-0005-0000-0000-0000CD010000}"/>
    <cellStyle name="normálne 2 6 4 3" xfId="568" xr:uid="{00000000-0005-0000-0000-0000CE010000}"/>
    <cellStyle name="normálne 2 6 4 4" xfId="708" xr:uid="{00000000-0005-0000-0000-0000CF010000}"/>
    <cellStyle name="normálne 2 6 4 5" xfId="874" xr:uid="{00000000-0005-0000-0000-0000D0010000}"/>
    <cellStyle name="normálne 2 6 4 6" xfId="940" xr:uid="{00000000-0005-0000-0000-0000D1010000}"/>
    <cellStyle name="normálne 2 6 5" xfId="346" xr:uid="{00000000-0005-0000-0000-0000D2010000}"/>
    <cellStyle name="normálne 2 6 6" xfId="327" xr:uid="{00000000-0005-0000-0000-0000D3010000}"/>
    <cellStyle name="normálne 2 6 7" xfId="637" xr:uid="{00000000-0005-0000-0000-0000D4010000}"/>
    <cellStyle name="normálne 2 6 8" xfId="799" xr:uid="{00000000-0005-0000-0000-0000D5010000}"/>
    <cellStyle name="normálne 2 6 9" xfId="1002" xr:uid="{00000000-0005-0000-0000-0000D6010000}"/>
    <cellStyle name="normálne 2 7" xfId="177" xr:uid="{00000000-0005-0000-0000-0000D7010000}"/>
    <cellStyle name="normálne 2 7 2" xfId="224" xr:uid="{00000000-0005-0000-0000-0000D8010000}"/>
    <cellStyle name="normálne 2 7 2 2" xfId="298" xr:uid="{00000000-0005-0000-0000-0000D9010000}"/>
    <cellStyle name="normálne 2 7 2 2 2" xfId="477" xr:uid="{00000000-0005-0000-0000-0000DA010000}"/>
    <cellStyle name="normálne 2 7 2 2 3" xfId="614" xr:uid="{00000000-0005-0000-0000-0000DB010000}"/>
    <cellStyle name="normálne 2 7 2 2 4" xfId="754" xr:uid="{00000000-0005-0000-0000-0000DC010000}"/>
    <cellStyle name="normálne 2 7 2 2 5" xfId="920" xr:uid="{00000000-0005-0000-0000-0000DD010000}"/>
    <cellStyle name="normálne 2 7 2 2 6" xfId="994" xr:uid="{00000000-0005-0000-0000-0000DE010000}"/>
    <cellStyle name="normálne 2 7 2 3" xfId="404" xr:uid="{00000000-0005-0000-0000-0000DF010000}"/>
    <cellStyle name="normálne 2 7 2 4" xfId="542" xr:uid="{00000000-0005-0000-0000-0000E0010000}"/>
    <cellStyle name="normálne 2 7 2 5" xfId="683" xr:uid="{00000000-0005-0000-0000-0000E1010000}"/>
    <cellStyle name="normálne 2 7 2 6" xfId="848" xr:uid="{00000000-0005-0000-0000-0000E2010000}"/>
    <cellStyle name="normálne 2 7 2 7" xfId="1089" xr:uid="{00000000-0005-0000-0000-0000E3010000}"/>
    <cellStyle name="normálne 2 7 3" xfId="263" xr:uid="{00000000-0005-0000-0000-0000E4010000}"/>
    <cellStyle name="normálne 2 7 3 2" xfId="442" xr:uid="{00000000-0005-0000-0000-0000E5010000}"/>
    <cellStyle name="normálne 2 7 3 3" xfId="579" xr:uid="{00000000-0005-0000-0000-0000E6010000}"/>
    <cellStyle name="normálne 2 7 3 4" xfId="719" xr:uid="{00000000-0005-0000-0000-0000E7010000}"/>
    <cellStyle name="normálne 2 7 3 5" xfId="885" xr:uid="{00000000-0005-0000-0000-0000E8010000}"/>
    <cellStyle name="normálne 2 7 3 6" xfId="1056" xr:uid="{00000000-0005-0000-0000-0000E9010000}"/>
    <cellStyle name="normálne 2 7 4" xfId="361" xr:uid="{00000000-0005-0000-0000-0000EA010000}"/>
    <cellStyle name="normálne 2 7 5" xfId="505" xr:uid="{00000000-0005-0000-0000-0000EB010000}"/>
    <cellStyle name="normálne 2 7 6" xfId="648" xr:uid="{00000000-0005-0000-0000-0000EC010000}"/>
    <cellStyle name="normálne 2 7 7" xfId="811" xr:uid="{00000000-0005-0000-0000-0000ED010000}"/>
    <cellStyle name="normálne 2 7 8" xfId="947" xr:uid="{00000000-0005-0000-0000-0000EE010000}"/>
    <cellStyle name="normálne 2 8" xfId="202" xr:uid="{00000000-0005-0000-0000-0000EF010000}"/>
    <cellStyle name="normálne 2 8 2" xfId="276" xr:uid="{00000000-0005-0000-0000-0000F0010000}"/>
    <cellStyle name="normálne 2 8 2 2" xfId="455" xr:uid="{00000000-0005-0000-0000-0000F1010000}"/>
    <cellStyle name="normálne 2 8 2 3" xfId="592" xr:uid="{00000000-0005-0000-0000-0000F2010000}"/>
    <cellStyle name="normálne 2 8 2 4" xfId="732" xr:uid="{00000000-0005-0000-0000-0000F3010000}"/>
    <cellStyle name="normálne 2 8 2 5" xfId="898" xr:uid="{00000000-0005-0000-0000-0000F4010000}"/>
    <cellStyle name="normálne 2 8 2 6" xfId="955" xr:uid="{00000000-0005-0000-0000-0000F5010000}"/>
    <cellStyle name="normálne 2 8 3" xfId="382" xr:uid="{00000000-0005-0000-0000-0000F6010000}"/>
    <cellStyle name="normálne 2 8 4" xfId="520" xr:uid="{00000000-0005-0000-0000-0000F7010000}"/>
    <cellStyle name="normálne 2 8 5" xfId="661" xr:uid="{00000000-0005-0000-0000-0000F8010000}"/>
    <cellStyle name="normálne 2 8 6" xfId="826" xr:uid="{00000000-0005-0000-0000-0000F9010000}"/>
    <cellStyle name="normálne 2 8 7" xfId="1000" xr:uid="{00000000-0005-0000-0000-0000FA010000}"/>
    <cellStyle name="normálne 2 9" xfId="241" xr:uid="{00000000-0005-0000-0000-0000FB010000}"/>
    <cellStyle name="normálne 2 9 2" xfId="420" xr:uid="{00000000-0005-0000-0000-0000FC010000}"/>
    <cellStyle name="normálne 2 9 3" xfId="557" xr:uid="{00000000-0005-0000-0000-0000FD010000}"/>
    <cellStyle name="normálne 2 9 4" xfId="697" xr:uid="{00000000-0005-0000-0000-0000FE010000}"/>
    <cellStyle name="normálne 2 9 5" xfId="863" xr:uid="{00000000-0005-0000-0000-0000FF010000}"/>
    <cellStyle name="normálne 2 9 6" xfId="952" xr:uid="{00000000-0005-0000-0000-000000020000}"/>
    <cellStyle name="normálne 20" xfId="316" xr:uid="{00000000-0005-0000-0000-000001020000}"/>
    <cellStyle name="normálne 20 2" xfId="1418" xr:uid="{00000000-0005-0000-0000-000002020000}"/>
    <cellStyle name="normálne 20 3" xfId="1368" xr:uid="{00000000-0005-0000-0000-000003020000}"/>
    <cellStyle name="normálne 21" xfId="317" xr:uid="{00000000-0005-0000-0000-000004020000}"/>
    <cellStyle name="normálne 21 2" xfId="1347" xr:uid="{00000000-0005-0000-0000-000005020000}"/>
    <cellStyle name="normálne 22" xfId="324" xr:uid="{00000000-0005-0000-0000-000006020000}"/>
    <cellStyle name="normálne 22 2" xfId="1392" xr:uid="{00000000-0005-0000-0000-000007020000}"/>
    <cellStyle name="normálne 23" xfId="356" xr:uid="{00000000-0005-0000-0000-000008020000}"/>
    <cellStyle name="normálne 23 2" xfId="1349" xr:uid="{00000000-0005-0000-0000-000009020000}"/>
    <cellStyle name="normálne 24" xfId="770" xr:uid="{00000000-0005-0000-0000-00000A020000}"/>
    <cellStyle name="normálne 24 2" xfId="816" xr:uid="{00000000-0005-0000-0000-00000B020000}"/>
    <cellStyle name="normálne 24 3" xfId="1039" xr:uid="{00000000-0005-0000-0000-00000C020000}"/>
    <cellStyle name="normálne 24 4" xfId="1348" xr:uid="{00000000-0005-0000-0000-00000D020000}"/>
    <cellStyle name="normálne 25" xfId="1101" xr:uid="{00000000-0005-0000-0000-00000E020000}"/>
    <cellStyle name="normálne 25 2" xfId="1362" xr:uid="{00000000-0005-0000-0000-00000F020000}"/>
    <cellStyle name="normálne 26" xfId="1139" xr:uid="{00000000-0005-0000-0000-000010020000}"/>
    <cellStyle name="normálne 26 2" xfId="1394" xr:uid="{00000000-0005-0000-0000-000011020000}"/>
    <cellStyle name="normálne 27" xfId="1118" xr:uid="{00000000-0005-0000-0000-000012020000}"/>
    <cellStyle name="normálne 27 2" xfId="1341" xr:uid="{00000000-0005-0000-0000-000013020000}"/>
    <cellStyle name="normálne 28" xfId="1132" xr:uid="{00000000-0005-0000-0000-000014020000}"/>
    <cellStyle name="normálne 29" xfId="1136" xr:uid="{00000000-0005-0000-0000-000015020000}"/>
    <cellStyle name="Normálne 3" xfId="13" xr:uid="{00000000-0005-0000-0000-000016020000}"/>
    <cellStyle name="normálne 3 10" xfId="518" xr:uid="{00000000-0005-0000-0000-000017020000}"/>
    <cellStyle name="normálne 3 11" xfId="773" xr:uid="{00000000-0005-0000-0000-000018020000}"/>
    <cellStyle name="normálne 3 11 2" xfId="1107" xr:uid="{00000000-0005-0000-0000-000019020000}"/>
    <cellStyle name="normálne 3 11 3" xfId="1199" xr:uid="{00000000-0005-0000-0000-00001A020000}"/>
    <cellStyle name="normálne 3 12" xfId="1128" xr:uid="{00000000-0005-0000-0000-00001B020000}"/>
    <cellStyle name="normálne 3 13" xfId="1172" xr:uid="{00000000-0005-0000-0000-00001C020000}"/>
    <cellStyle name="normálne 3 14" xfId="1187" xr:uid="{00000000-0005-0000-0000-00001D020000}"/>
    <cellStyle name="normálne 3 15" xfId="1122" xr:uid="{00000000-0005-0000-0000-00001E020000}"/>
    <cellStyle name="normálne 3 16" xfId="1163" xr:uid="{00000000-0005-0000-0000-00001F020000}"/>
    <cellStyle name="normálne 3 17" xfId="1184" xr:uid="{00000000-0005-0000-0000-000020020000}"/>
    <cellStyle name="normálne 3 18" xfId="1127" xr:uid="{00000000-0005-0000-0000-000021020000}"/>
    <cellStyle name="normálne 3 19" xfId="1129" xr:uid="{00000000-0005-0000-0000-000022020000}"/>
    <cellStyle name="Normálne 3 2" xfId="26" xr:uid="{00000000-0005-0000-0000-000023020000}"/>
    <cellStyle name="normálne 3 2 10" xfId="967" xr:uid="{00000000-0005-0000-0000-000024020000}"/>
    <cellStyle name="normálne 3 2 11" xfId="155" xr:uid="{00000000-0005-0000-0000-000025020000}"/>
    <cellStyle name="normálne 3 2 2" xfId="168" xr:uid="{00000000-0005-0000-0000-000026020000}"/>
    <cellStyle name="normálne 3 2 2 2" xfId="220" xr:uid="{00000000-0005-0000-0000-000027020000}"/>
    <cellStyle name="normálne 3 2 2 2 2" xfId="294" xr:uid="{00000000-0005-0000-0000-000028020000}"/>
    <cellStyle name="normálne 3 2 2 2 2 2" xfId="473" xr:uid="{00000000-0005-0000-0000-000029020000}"/>
    <cellStyle name="normálne 3 2 2 2 2 3" xfId="610" xr:uid="{00000000-0005-0000-0000-00002A020000}"/>
    <cellStyle name="normálne 3 2 2 2 2 4" xfId="750" xr:uid="{00000000-0005-0000-0000-00002B020000}"/>
    <cellStyle name="normálne 3 2 2 2 2 5" xfId="916" xr:uid="{00000000-0005-0000-0000-00002C020000}"/>
    <cellStyle name="normálne 3 2 2 2 2 6" xfId="1014" xr:uid="{00000000-0005-0000-0000-00002D020000}"/>
    <cellStyle name="normálne 3 2 2 2 3" xfId="400" xr:uid="{00000000-0005-0000-0000-00002E020000}"/>
    <cellStyle name="normálne 3 2 2 2 4" xfId="538" xr:uid="{00000000-0005-0000-0000-00002F020000}"/>
    <cellStyle name="normálne 3 2 2 2 5" xfId="679" xr:uid="{00000000-0005-0000-0000-000030020000}"/>
    <cellStyle name="normálne 3 2 2 2 6" xfId="844" xr:uid="{00000000-0005-0000-0000-000031020000}"/>
    <cellStyle name="normálne 3 2 2 2 7" xfId="982" xr:uid="{00000000-0005-0000-0000-000032020000}"/>
    <cellStyle name="normálne 3 2 2 3" xfId="259" xr:uid="{00000000-0005-0000-0000-000033020000}"/>
    <cellStyle name="normálne 3 2 2 3 2" xfId="438" xr:uid="{00000000-0005-0000-0000-000034020000}"/>
    <cellStyle name="normálne 3 2 2 3 3" xfId="575" xr:uid="{00000000-0005-0000-0000-000035020000}"/>
    <cellStyle name="normálne 3 2 2 3 4" xfId="715" xr:uid="{00000000-0005-0000-0000-000036020000}"/>
    <cellStyle name="normálne 3 2 2 3 5" xfId="881" xr:uid="{00000000-0005-0000-0000-000037020000}"/>
    <cellStyle name="normálne 3 2 2 3 6" xfId="965" xr:uid="{00000000-0005-0000-0000-000038020000}"/>
    <cellStyle name="normálne 3 2 2 4" xfId="353" xr:uid="{00000000-0005-0000-0000-000039020000}"/>
    <cellStyle name="normálne 3 2 2 5" xfId="498" xr:uid="{00000000-0005-0000-0000-00003A020000}"/>
    <cellStyle name="normálne 3 2 2 6" xfId="644" xr:uid="{00000000-0005-0000-0000-00003B020000}"/>
    <cellStyle name="normálne 3 2 2 7" xfId="805" xr:uid="{00000000-0005-0000-0000-00003C020000}"/>
    <cellStyle name="normálne 3 2 2 8" xfId="1018" xr:uid="{00000000-0005-0000-0000-00003D020000}"/>
    <cellStyle name="normálne 3 2 3" xfId="193" xr:uid="{00000000-0005-0000-0000-00003E020000}"/>
    <cellStyle name="normálne 3 2 3 2" xfId="231" xr:uid="{00000000-0005-0000-0000-00003F020000}"/>
    <cellStyle name="normálne 3 2 3 2 2" xfId="305" xr:uid="{00000000-0005-0000-0000-000040020000}"/>
    <cellStyle name="normálne 3 2 3 2 2 2" xfId="484" xr:uid="{00000000-0005-0000-0000-000041020000}"/>
    <cellStyle name="normálne 3 2 3 2 2 3" xfId="621" xr:uid="{00000000-0005-0000-0000-000042020000}"/>
    <cellStyle name="normálne 3 2 3 2 2 4" xfId="761" xr:uid="{00000000-0005-0000-0000-000043020000}"/>
    <cellStyle name="normálne 3 2 3 2 2 5" xfId="927" xr:uid="{00000000-0005-0000-0000-000044020000}"/>
    <cellStyle name="normálne 3 2 3 2 2 6" xfId="1071" xr:uid="{00000000-0005-0000-0000-000045020000}"/>
    <cellStyle name="normálne 3 2 3 2 3" xfId="411" xr:uid="{00000000-0005-0000-0000-000046020000}"/>
    <cellStyle name="normálne 3 2 3 2 4" xfId="549" xr:uid="{00000000-0005-0000-0000-000047020000}"/>
    <cellStyle name="normálne 3 2 3 2 5" xfId="690" xr:uid="{00000000-0005-0000-0000-000048020000}"/>
    <cellStyle name="normálne 3 2 3 2 6" xfId="855" xr:uid="{00000000-0005-0000-0000-000049020000}"/>
    <cellStyle name="normálne 3 2 3 2 7" xfId="1037" xr:uid="{00000000-0005-0000-0000-00004A020000}"/>
    <cellStyle name="normálne 3 2 3 3" xfId="270" xr:uid="{00000000-0005-0000-0000-00004B020000}"/>
    <cellStyle name="normálne 3 2 3 3 2" xfId="449" xr:uid="{00000000-0005-0000-0000-00004C020000}"/>
    <cellStyle name="normálne 3 2 3 3 3" xfId="586" xr:uid="{00000000-0005-0000-0000-00004D020000}"/>
    <cellStyle name="normálne 3 2 3 3 4" xfId="726" xr:uid="{00000000-0005-0000-0000-00004E020000}"/>
    <cellStyle name="normálne 3 2 3 3 5" xfId="892" xr:uid="{00000000-0005-0000-0000-00004F020000}"/>
    <cellStyle name="normálne 3 2 3 3 6" xfId="1020" xr:uid="{00000000-0005-0000-0000-000050020000}"/>
    <cellStyle name="normálne 3 2 3 4" xfId="374" xr:uid="{00000000-0005-0000-0000-000051020000}"/>
    <cellStyle name="normálne 3 2 3 5" xfId="513" xr:uid="{00000000-0005-0000-0000-000052020000}"/>
    <cellStyle name="normálne 3 2 3 6" xfId="655" xr:uid="{00000000-0005-0000-0000-000053020000}"/>
    <cellStyle name="normálne 3 2 3 7" xfId="819" xr:uid="{00000000-0005-0000-0000-000054020000}"/>
    <cellStyle name="normálne 3 2 3 8" xfId="957" xr:uid="{00000000-0005-0000-0000-000055020000}"/>
    <cellStyle name="normálne 3 2 4" xfId="209" xr:uid="{00000000-0005-0000-0000-000056020000}"/>
    <cellStyle name="normálne 3 2 4 2" xfId="283" xr:uid="{00000000-0005-0000-0000-000057020000}"/>
    <cellStyle name="normálne 3 2 4 2 2" xfId="462" xr:uid="{00000000-0005-0000-0000-000058020000}"/>
    <cellStyle name="normálne 3 2 4 2 3" xfId="599" xr:uid="{00000000-0005-0000-0000-000059020000}"/>
    <cellStyle name="normálne 3 2 4 2 4" xfId="739" xr:uid="{00000000-0005-0000-0000-00005A020000}"/>
    <cellStyle name="normálne 3 2 4 2 5" xfId="905" xr:uid="{00000000-0005-0000-0000-00005B020000}"/>
    <cellStyle name="normálne 3 2 4 2 6" xfId="970" xr:uid="{00000000-0005-0000-0000-00005C020000}"/>
    <cellStyle name="normálne 3 2 4 3" xfId="389" xr:uid="{00000000-0005-0000-0000-00005D020000}"/>
    <cellStyle name="normálne 3 2 4 4" xfId="527" xr:uid="{00000000-0005-0000-0000-00005E020000}"/>
    <cellStyle name="normálne 3 2 4 5" xfId="668" xr:uid="{00000000-0005-0000-0000-00005F020000}"/>
    <cellStyle name="normálne 3 2 4 6" xfId="833" xr:uid="{00000000-0005-0000-0000-000060020000}"/>
    <cellStyle name="normálne 3 2 4 7" xfId="1066" xr:uid="{00000000-0005-0000-0000-000061020000}"/>
    <cellStyle name="normálne 3 2 5" xfId="248" xr:uid="{00000000-0005-0000-0000-000062020000}"/>
    <cellStyle name="normálne 3 2 5 2" xfId="427" xr:uid="{00000000-0005-0000-0000-000063020000}"/>
    <cellStyle name="normálne 3 2 5 3" xfId="564" xr:uid="{00000000-0005-0000-0000-000064020000}"/>
    <cellStyle name="normálne 3 2 5 4" xfId="704" xr:uid="{00000000-0005-0000-0000-000065020000}"/>
    <cellStyle name="normálne 3 2 5 5" xfId="870" xr:uid="{00000000-0005-0000-0000-000066020000}"/>
    <cellStyle name="normálne 3 2 5 6" xfId="1094" xr:uid="{00000000-0005-0000-0000-000067020000}"/>
    <cellStyle name="normálne 3 2 6" xfId="340" xr:uid="{00000000-0005-0000-0000-000068020000}"/>
    <cellStyle name="normálne 3 2 7" xfId="418" xr:uid="{00000000-0005-0000-0000-000069020000}"/>
    <cellStyle name="normálne 3 2 8" xfId="633" xr:uid="{00000000-0005-0000-0000-00006A020000}"/>
    <cellStyle name="normálne 3 2 9" xfId="787" xr:uid="{00000000-0005-0000-0000-00006B020000}"/>
    <cellStyle name="normálne 3 20" xfId="1001" xr:uid="{00000000-0005-0000-0000-00006C020000}"/>
    <cellStyle name="normálne 3 21" xfId="1208" xr:uid="{00000000-0005-0000-0000-00006D020000}"/>
    <cellStyle name="normálne 3 22" xfId="1217" xr:uid="{00000000-0005-0000-0000-00006E020000}"/>
    <cellStyle name="normálne 3 23" xfId="1224" xr:uid="{00000000-0005-0000-0000-00006F020000}"/>
    <cellStyle name="normálne 3 24" xfId="1231" xr:uid="{00000000-0005-0000-0000-000070020000}"/>
    <cellStyle name="normálne 3 25" xfId="1238" xr:uid="{00000000-0005-0000-0000-000071020000}"/>
    <cellStyle name="normálne 3 26" xfId="1245" xr:uid="{00000000-0005-0000-0000-000072020000}"/>
    <cellStyle name="normálne 3 27" xfId="1251" xr:uid="{00000000-0005-0000-0000-000073020000}"/>
    <cellStyle name="normálne 3 28" xfId="1257" xr:uid="{00000000-0005-0000-0000-000074020000}"/>
    <cellStyle name="normálne 3 29" xfId="1263" xr:uid="{00000000-0005-0000-0000-000075020000}"/>
    <cellStyle name="Normálne 3 3" xfId="35" xr:uid="{00000000-0005-0000-0000-000076020000}"/>
    <cellStyle name="Normálne 3 3 2" xfId="60" xr:uid="{00000000-0005-0000-0000-000077020000}"/>
    <cellStyle name="normálne 3 3 2 2" xfId="288" xr:uid="{00000000-0005-0000-0000-000078020000}"/>
    <cellStyle name="normálne 3 3 2 2 2" xfId="467" xr:uid="{00000000-0005-0000-0000-000079020000}"/>
    <cellStyle name="normálne 3 3 2 2 3" xfId="604" xr:uid="{00000000-0005-0000-0000-00007A020000}"/>
    <cellStyle name="normálne 3 3 2 2 4" xfId="744" xr:uid="{00000000-0005-0000-0000-00007B020000}"/>
    <cellStyle name="normálne 3 3 2 2 5" xfId="910" xr:uid="{00000000-0005-0000-0000-00007C020000}"/>
    <cellStyle name="normálne 3 3 2 2 6" xfId="964" xr:uid="{00000000-0005-0000-0000-00007D020000}"/>
    <cellStyle name="normálne 3 3 2 3" xfId="394" xr:uid="{00000000-0005-0000-0000-00007E020000}"/>
    <cellStyle name="normálne 3 3 2 4" xfId="532" xr:uid="{00000000-0005-0000-0000-00007F020000}"/>
    <cellStyle name="normálne 3 3 2 5" xfId="673" xr:uid="{00000000-0005-0000-0000-000080020000}"/>
    <cellStyle name="normálne 3 3 2 6" xfId="838" xr:uid="{00000000-0005-0000-0000-000081020000}"/>
    <cellStyle name="normálne 3 3 2 7" xfId="997" xr:uid="{00000000-0005-0000-0000-000082020000}"/>
    <cellStyle name="normálne 3 3 2 8" xfId="214" xr:uid="{00000000-0005-0000-0000-000083020000}"/>
    <cellStyle name="normálne 3 3 3" xfId="253" xr:uid="{00000000-0005-0000-0000-000084020000}"/>
    <cellStyle name="normálne 3 3 3 2" xfId="432" xr:uid="{00000000-0005-0000-0000-000085020000}"/>
    <cellStyle name="normálne 3 3 3 3" xfId="569" xr:uid="{00000000-0005-0000-0000-000086020000}"/>
    <cellStyle name="normálne 3 3 3 4" xfId="709" xr:uid="{00000000-0005-0000-0000-000087020000}"/>
    <cellStyle name="normálne 3 3 3 5" xfId="875" xr:uid="{00000000-0005-0000-0000-000088020000}"/>
    <cellStyle name="normálne 3 3 3 6" xfId="939" xr:uid="{00000000-0005-0000-0000-000089020000}"/>
    <cellStyle name="normálne 3 3 4" xfId="347" xr:uid="{00000000-0005-0000-0000-00008A020000}"/>
    <cellStyle name="normálne 3 3 5" xfId="359" xr:uid="{00000000-0005-0000-0000-00008B020000}"/>
    <cellStyle name="normálne 3 3 6" xfId="638" xr:uid="{00000000-0005-0000-0000-00008C020000}"/>
    <cellStyle name="normálne 3 3 7" xfId="800" xr:uid="{00000000-0005-0000-0000-00008D020000}"/>
    <cellStyle name="normálne 3 3 8" xfId="950" xr:uid="{00000000-0005-0000-0000-00008E020000}"/>
    <cellStyle name="normálne 3 3 9" xfId="162" xr:uid="{00000000-0005-0000-0000-00008F020000}"/>
    <cellStyle name="normálne 3 30" xfId="1269" xr:uid="{00000000-0005-0000-0000-000090020000}"/>
    <cellStyle name="normálne 3 31" xfId="141" xr:uid="{00000000-0005-0000-0000-000091020000}"/>
    <cellStyle name="Normálne 3 4" xfId="53" xr:uid="{00000000-0005-0000-0000-000092020000}"/>
    <cellStyle name="normálne 3 4 2" xfId="225" xr:uid="{00000000-0005-0000-0000-000093020000}"/>
    <cellStyle name="normálne 3 4 2 2" xfId="299" xr:uid="{00000000-0005-0000-0000-000094020000}"/>
    <cellStyle name="normálne 3 4 2 2 2" xfId="478" xr:uid="{00000000-0005-0000-0000-000095020000}"/>
    <cellStyle name="normálne 3 4 2 2 3" xfId="615" xr:uid="{00000000-0005-0000-0000-000096020000}"/>
    <cellStyle name="normálne 3 4 2 2 4" xfId="755" xr:uid="{00000000-0005-0000-0000-000097020000}"/>
    <cellStyle name="normálne 3 4 2 2 5" xfId="921" xr:uid="{00000000-0005-0000-0000-000098020000}"/>
    <cellStyle name="normálne 3 4 2 2 6" xfId="1058" xr:uid="{00000000-0005-0000-0000-000099020000}"/>
    <cellStyle name="normálne 3 4 2 3" xfId="405" xr:uid="{00000000-0005-0000-0000-00009A020000}"/>
    <cellStyle name="normálne 3 4 2 4" xfId="543" xr:uid="{00000000-0005-0000-0000-00009B020000}"/>
    <cellStyle name="normálne 3 4 2 5" xfId="684" xr:uid="{00000000-0005-0000-0000-00009C020000}"/>
    <cellStyle name="normálne 3 4 2 6" xfId="849" xr:uid="{00000000-0005-0000-0000-00009D020000}"/>
    <cellStyle name="normálne 3 4 2 7" xfId="1042" xr:uid="{00000000-0005-0000-0000-00009E020000}"/>
    <cellStyle name="normálne 3 4 3" xfId="264" xr:uid="{00000000-0005-0000-0000-00009F020000}"/>
    <cellStyle name="normálne 3 4 3 2" xfId="443" xr:uid="{00000000-0005-0000-0000-0000A0020000}"/>
    <cellStyle name="normálne 3 4 3 3" xfId="580" xr:uid="{00000000-0005-0000-0000-0000A1020000}"/>
    <cellStyle name="normálne 3 4 3 4" xfId="720" xr:uid="{00000000-0005-0000-0000-0000A2020000}"/>
    <cellStyle name="normálne 3 4 3 5" xfId="886" xr:uid="{00000000-0005-0000-0000-0000A3020000}"/>
    <cellStyle name="normálne 3 4 3 6" xfId="1009" xr:uid="{00000000-0005-0000-0000-0000A4020000}"/>
    <cellStyle name="normálne 3 4 4" xfId="364" xr:uid="{00000000-0005-0000-0000-0000A5020000}"/>
    <cellStyle name="normálne 3 4 5" xfId="507" xr:uid="{00000000-0005-0000-0000-0000A6020000}"/>
    <cellStyle name="normálne 3 4 6" xfId="649" xr:uid="{00000000-0005-0000-0000-0000A7020000}"/>
    <cellStyle name="normálne 3 4 7" xfId="812" xr:uid="{00000000-0005-0000-0000-0000A8020000}"/>
    <cellStyle name="normálne 3 4 8" xfId="1026" xr:uid="{00000000-0005-0000-0000-0000A9020000}"/>
    <cellStyle name="normálne 3 4 9" xfId="182" xr:uid="{00000000-0005-0000-0000-0000AA020000}"/>
    <cellStyle name="normálne 3 5" xfId="203" xr:uid="{00000000-0005-0000-0000-0000AB020000}"/>
    <cellStyle name="normálne 3 5 2" xfId="277" xr:uid="{00000000-0005-0000-0000-0000AC020000}"/>
    <cellStyle name="normálne 3 5 2 2" xfId="456" xr:uid="{00000000-0005-0000-0000-0000AD020000}"/>
    <cellStyle name="normálne 3 5 2 3" xfId="593" xr:uid="{00000000-0005-0000-0000-0000AE020000}"/>
    <cellStyle name="normálne 3 5 2 4" xfId="733" xr:uid="{00000000-0005-0000-0000-0000AF020000}"/>
    <cellStyle name="normálne 3 5 2 5" xfId="899" xr:uid="{00000000-0005-0000-0000-0000B0020000}"/>
    <cellStyle name="normálne 3 5 2 6" xfId="948" xr:uid="{00000000-0005-0000-0000-0000B1020000}"/>
    <cellStyle name="normálne 3 5 3" xfId="383" xr:uid="{00000000-0005-0000-0000-0000B2020000}"/>
    <cellStyle name="normálne 3 5 4" xfId="521" xr:uid="{00000000-0005-0000-0000-0000B3020000}"/>
    <cellStyle name="normálne 3 5 5" xfId="662" xr:uid="{00000000-0005-0000-0000-0000B4020000}"/>
    <cellStyle name="normálne 3 5 6" xfId="827" xr:uid="{00000000-0005-0000-0000-0000B5020000}"/>
    <cellStyle name="normálne 3 5 7" xfId="1053" xr:uid="{00000000-0005-0000-0000-0000B6020000}"/>
    <cellStyle name="normálne 3 6" xfId="242" xr:uid="{00000000-0005-0000-0000-0000B7020000}"/>
    <cellStyle name="normálne 3 6 2" xfId="421" xr:uid="{00000000-0005-0000-0000-0000B8020000}"/>
    <cellStyle name="normálne 3 6 3" xfId="558" xr:uid="{00000000-0005-0000-0000-0000B9020000}"/>
    <cellStyle name="normálne 3 6 4" xfId="698" xr:uid="{00000000-0005-0000-0000-0000BA020000}"/>
    <cellStyle name="normálne 3 6 5" xfId="864" xr:uid="{00000000-0005-0000-0000-0000BB020000}"/>
    <cellStyle name="normálne 3 6 6" xfId="1079" xr:uid="{00000000-0005-0000-0000-0000BC020000}"/>
    <cellStyle name="normálne 3 7" xfId="312" xr:uid="{00000000-0005-0000-0000-0000BD020000}"/>
    <cellStyle name="normálne 3 7 2" xfId="491" xr:uid="{00000000-0005-0000-0000-0000BE020000}"/>
    <cellStyle name="normálne 3 7 3" xfId="628" xr:uid="{00000000-0005-0000-0000-0000BF020000}"/>
    <cellStyle name="normálne 3 7 4" xfId="767" xr:uid="{00000000-0005-0000-0000-0000C0020000}"/>
    <cellStyle name="normálne 3 7 5" xfId="933" xr:uid="{00000000-0005-0000-0000-0000C1020000}"/>
    <cellStyle name="normálne 3 7 6" xfId="951" xr:uid="{00000000-0005-0000-0000-0000C2020000}"/>
    <cellStyle name="normálne 3 8" xfId="329" xr:uid="{00000000-0005-0000-0000-0000C3020000}"/>
    <cellStyle name="normálne 3 9" xfId="367" xr:uid="{00000000-0005-0000-0000-0000C4020000}"/>
    <cellStyle name="normálne 30" xfId="1196" xr:uid="{00000000-0005-0000-0000-0000C5020000}"/>
    <cellStyle name="normálne 31" xfId="1124" xr:uid="{00000000-0005-0000-0000-0000C6020000}"/>
    <cellStyle name="normálne 32" xfId="1188" xr:uid="{00000000-0005-0000-0000-0000C7020000}"/>
    <cellStyle name="normálne 33" xfId="133" xr:uid="{00000000-0005-0000-0000-0000C8020000}"/>
    <cellStyle name="normálne 33 10" xfId="782" xr:uid="{00000000-0005-0000-0000-0000C9020000}"/>
    <cellStyle name="normálne 33 11" xfId="796" xr:uid="{00000000-0005-0000-0000-0000CA020000}"/>
    <cellStyle name="normálne 33 2" xfId="152" xr:uid="{00000000-0005-0000-0000-0000CB020000}"/>
    <cellStyle name="normálne 33 2 10" xfId="1021" xr:uid="{00000000-0005-0000-0000-0000CC020000}"/>
    <cellStyle name="normálne 33 2 2" xfId="166" xr:uid="{00000000-0005-0000-0000-0000CD020000}"/>
    <cellStyle name="normálne 33 2 2 2" xfId="218" xr:uid="{00000000-0005-0000-0000-0000CE020000}"/>
    <cellStyle name="normálne 33 2 2 2 2" xfId="292" xr:uid="{00000000-0005-0000-0000-0000CF020000}"/>
    <cellStyle name="normálne 33 2 2 2 2 2" xfId="471" xr:uid="{00000000-0005-0000-0000-0000D0020000}"/>
    <cellStyle name="normálne 33 2 2 2 2 3" xfId="608" xr:uid="{00000000-0005-0000-0000-0000D1020000}"/>
    <cellStyle name="normálne 33 2 2 2 2 4" xfId="748" xr:uid="{00000000-0005-0000-0000-0000D2020000}"/>
    <cellStyle name="normálne 33 2 2 2 2 5" xfId="914" xr:uid="{00000000-0005-0000-0000-0000D3020000}"/>
    <cellStyle name="normálne 33 2 2 2 2 6" xfId="981" xr:uid="{00000000-0005-0000-0000-0000D4020000}"/>
    <cellStyle name="normálne 33 2 2 2 3" xfId="398" xr:uid="{00000000-0005-0000-0000-0000D5020000}"/>
    <cellStyle name="normálne 33 2 2 2 4" xfId="536" xr:uid="{00000000-0005-0000-0000-0000D6020000}"/>
    <cellStyle name="normálne 33 2 2 2 5" xfId="677" xr:uid="{00000000-0005-0000-0000-0000D7020000}"/>
    <cellStyle name="normálne 33 2 2 2 6" xfId="842" xr:uid="{00000000-0005-0000-0000-0000D8020000}"/>
    <cellStyle name="normálne 33 2 2 2 7" xfId="1075" xr:uid="{00000000-0005-0000-0000-0000D9020000}"/>
    <cellStyle name="normálne 33 2 2 3" xfId="257" xr:uid="{00000000-0005-0000-0000-0000DA020000}"/>
    <cellStyle name="normálne 33 2 2 3 2" xfId="436" xr:uid="{00000000-0005-0000-0000-0000DB020000}"/>
    <cellStyle name="normálne 33 2 2 3 3" xfId="573" xr:uid="{00000000-0005-0000-0000-0000DC020000}"/>
    <cellStyle name="normálne 33 2 2 3 4" xfId="713" xr:uid="{00000000-0005-0000-0000-0000DD020000}"/>
    <cellStyle name="normálne 33 2 2 3 5" xfId="879" xr:uid="{00000000-0005-0000-0000-0000DE020000}"/>
    <cellStyle name="normálne 33 2 2 3 6" xfId="1061" xr:uid="{00000000-0005-0000-0000-0000DF020000}"/>
    <cellStyle name="normálne 33 2 2 4" xfId="351" xr:uid="{00000000-0005-0000-0000-0000E0020000}"/>
    <cellStyle name="normálne 33 2 2 5" xfId="496" xr:uid="{00000000-0005-0000-0000-0000E1020000}"/>
    <cellStyle name="normálne 33 2 2 6" xfId="642" xr:uid="{00000000-0005-0000-0000-0000E2020000}"/>
    <cellStyle name="normálne 33 2 2 7" xfId="803" xr:uid="{00000000-0005-0000-0000-0000E3020000}"/>
    <cellStyle name="normálne 33 2 2 8" xfId="985" xr:uid="{00000000-0005-0000-0000-0000E4020000}"/>
    <cellStyle name="normálne 33 2 3" xfId="190" xr:uid="{00000000-0005-0000-0000-0000E5020000}"/>
    <cellStyle name="normálne 33 2 3 2" xfId="229" xr:uid="{00000000-0005-0000-0000-0000E6020000}"/>
    <cellStyle name="normálne 33 2 3 2 2" xfId="303" xr:uid="{00000000-0005-0000-0000-0000E7020000}"/>
    <cellStyle name="normálne 33 2 3 2 2 2" xfId="482" xr:uid="{00000000-0005-0000-0000-0000E8020000}"/>
    <cellStyle name="normálne 33 2 3 2 2 3" xfId="619" xr:uid="{00000000-0005-0000-0000-0000E9020000}"/>
    <cellStyle name="normálne 33 2 3 2 2 4" xfId="759" xr:uid="{00000000-0005-0000-0000-0000EA020000}"/>
    <cellStyle name="normálne 33 2 3 2 2 5" xfId="925" xr:uid="{00000000-0005-0000-0000-0000EB020000}"/>
    <cellStyle name="normálne 33 2 3 2 2 6" xfId="1036" xr:uid="{00000000-0005-0000-0000-0000EC020000}"/>
    <cellStyle name="normálne 33 2 3 2 3" xfId="409" xr:uid="{00000000-0005-0000-0000-0000ED020000}"/>
    <cellStyle name="normálne 33 2 3 2 4" xfId="547" xr:uid="{00000000-0005-0000-0000-0000EE020000}"/>
    <cellStyle name="normálne 33 2 3 2 5" xfId="688" xr:uid="{00000000-0005-0000-0000-0000EF020000}"/>
    <cellStyle name="normálne 33 2 3 2 6" xfId="853" xr:uid="{00000000-0005-0000-0000-0000F0020000}"/>
    <cellStyle name="normálne 33 2 3 2 7" xfId="962" xr:uid="{00000000-0005-0000-0000-0000F1020000}"/>
    <cellStyle name="normálne 33 2 3 3" xfId="268" xr:uid="{00000000-0005-0000-0000-0000F2020000}"/>
    <cellStyle name="normálne 33 2 3 3 2" xfId="447" xr:uid="{00000000-0005-0000-0000-0000F3020000}"/>
    <cellStyle name="normálne 33 2 3 3 3" xfId="584" xr:uid="{00000000-0005-0000-0000-0000F4020000}"/>
    <cellStyle name="normálne 33 2 3 3 4" xfId="724" xr:uid="{00000000-0005-0000-0000-0000F5020000}"/>
    <cellStyle name="normálne 33 2 3 3 5" xfId="890" xr:uid="{00000000-0005-0000-0000-0000F6020000}"/>
    <cellStyle name="normálne 33 2 3 3 6" xfId="988" xr:uid="{00000000-0005-0000-0000-0000F7020000}"/>
    <cellStyle name="normálne 33 2 3 4" xfId="371" xr:uid="{00000000-0005-0000-0000-0000F8020000}"/>
    <cellStyle name="normálne 33 2 3 5" xfId="511" xr:uid="{00000000-0005-0000-0000-0000F9020000}"/>
    <cellStyle name="normálne 33 2 3 6" xfId="653" xr:uid="{00000000-0005-0000-0000-0000FA020000}"/>
    <cellStyle name="normálne 33 2 3 7" xfId="817" xr:uid="{00000000-0005-0000-0000-0000FB020000}"/>
    <cellStyle name="normálne 33 2 3 8" xfId="993" xr:uid="{00000000-0005-0000-0000-0000FC020000}"/>
    <cellStyle name="normálne 33 2 4" xfId="207" xr:uid="{00000000-0005-0000-0000-0000FD020000}"/>
    <cellStyle name="normálne 33 2 4 2" xfId="281" xr:uid="{00000000-0005-0000-0000-0000FE020000}"/>
    <cellStyle name="normálne 33 2 4 2 2" xfId="460" xr:uid="{00000000-0005-0000-0000-0000FF020000}"/>
    <cellStyle name="normálne 33 2 4 2 3" xfId="597" xr:uid="{00000000-0005-0000-0000-000000030000}"/>
    <cellStyle name="normálne 33 2 4 2 4" xfId="737" xr:uid="{00000000-0005-0000-0000-000001030000}"/>
    <cellStyle name="normálne 33 2 4 2 5" xfId="903" xr:uid="{00000000-0005-0000-0000-000002030000}"/>
    <cellStyle name="normálne 33 2 4 2 6" xfId="1065" xr:uid="{00000000-0005-0000-0000-000003030000}"/>
    <cellStyle name="normálne 33 2 4 3" xfId="387" xr:uid="{00000000-0005-0000-0000-000004030000}"/>
    <cellStyle name="normálne 33 2 4 4" xfId="525" xr:uid="{00000000-0005-0000-0000-000005030000}"/>
    <cellStyle name="normálne 33 2 4 5" xfId="666" xr:uid="{00000000-0005-0000-0000-000006030000}"/>
    <cellStyle name="normálne 33 2 4 6" xfId="831" xr:uid="{00000000-0005-0000-0000-000007030000}"/>
    <cellStyle name="normálne 33 2 4 7" xfId="1030" xr:uid="{00000000-0005-0000-0000-000008030000}"/>
    <cellStyle name="normálne 33 2 5" xfId="246" xr:uid="{00000000-0005-0000-0000-000009030000}"/>
    <cellStyle name="normálne 33 2 5 2" xfId="425" xr:uid="{00000000-0005-0000-0000-00000A030000}"/>
    <cellStyle name="normálne 33 2 5 3" xfId="562" xr:uid="{00000000-0005-0000-0000-00000B030000}"/>
    <cellStyle name="normálne 33 2 5 4" xfId="702" xr:uid="{00000000-0005-0000-0000-00000C030000}"/>
    <cellStyle name="normálne 33 2 5 5" xfId="868" xr:uid="{00000000-0005-0000-0000-00000D030000}"/>
    <cellStyle name="normálne 33 2 5 6" xfId="1019" xr:uid="{00000000-0005-0000-0000-00000E030000}"/>
    <cellStyle name="normálne 33 2 6" xfId="338" xr:uid="{00000000-0005-0000-0000-00000F030000}"/>
    <cellStyle name="normálne 33 2 7" xfId="326" xr:uid="{00000000-0005-0000-0000-000010030000}"/>
    <cellStyle name="normálne 33 2 8" xfId="631" xr:uid="{00000000-0005-0000-0000-000011030000}"/>
    <cellStyle name="normálne 33 2 9" xfId="794" xr:uid="{00000000-0005-0000-0000-000012030000}"/>
    <cellStyle name="normálne 33 3" xfId="160" xr:uid="{00000000-0005-0000-0000-000013030000}"/>
    <cellStyle name="normálne 33 3 2" xfId="212" xr:uid="{00000000-0005-0000-0000-000014030000}"/>
    <cellStyle name="normálne 33 3 2 2" xfId="286" xr:uid="{00000000-0005-0000-0000-000015030000}"/>
    <cellStyle name="normálne 33 3 2 2 2" xfId="465" xr:uid="{00000000-0005-0000-0000-000016030000}"/>
    <cellStyle name="normálne 33 3 2 2 3" xfId="602" xr:uid="{00000000-0005-0000-0000-000017030000}"/>
    <cellStyle name="normálne 33 3 2 2 4" xfId="742" xr:uid="{00000000-0005-0000-0000-000018030000}"/>
    <cellStyle name="normálne 33 3 2 2 5" xfId="908" xr:uid="{00000000-0005-0000-0000-000019030000}"/>
    <cellStyle name="normálne 33 3 2 2 6" xfId="996" xr:uid="{00000000-0005-0000-0000-00001A030000}"/>
    <cellStyle name="normálne 33 3 2 3" xfId="392" xr:uid="{00000000-0005-0000-0000-00001B030000}"/>
    <cellStyle name="normálne 33 3 2 4" xfId="530" xr:uid="{00000000-0005-0000-0000-00001C030000}"/>
    <cellStyle name="normálne 33 3 2 5" xfId="671" xr:uid="{00000000-0005-0000-0000-00001D030000}"/>
    <cellStyle name="normálne 33 3 2 6" xfId="836" xr:uid="{00000000-0005-0000-0000-00001E030000}"/>
    <cellStyle name="normálne 33 3 2 7" xfId="1092" xr:uid="{00000000-0005-0000-0000-00001F030000}"/>
    <cellStyle name="normálne 33 3 3" xfId="251" xr:uid="{00000000-0005-0000-0000-000020030000}"/>
    <cellStyle name="normálne 33 3 3 2" xfId="430" xr:uid="{00000000-0005-0000-0000-000021030000}"/>
    <cellStyle name="normálne 33 3 3 3" xfId="567" xr:uid="{00000000-0005-0000-0000-000022030000}"/>
    <cellStyle name="normálne 33 3 3 4" xfId="707" xr:uid="{00000000-0005-0000-0000-000023030000}"/>
    <cellStyle name="normálne 33 3 3 5" xfId="873" xr:uid="{00000000-0005-0000-0000-000024030000}"/>
    <cellStyle name="normálne 33 3 3 6" xfId="1005" xr:uid="{00000000-0005-0000-0000-000025030000}"/>
    <cellStyle name="normálne 33 3 4" xfId="345" xr:uid="{00000000-0005-0000-0000-000026030000}"/>
    <cellStyle name="normálne 33 3 5" xfId="362" xr:uid="{00000000-0005-0000-0000-000027030000}"/>
    <cellStyle name="normálne 33 3 6" xfId="636" xr:uid="{00000000-0005-0000-0000-000028030000}"/>
    <cellStyle name="normálne 33 3 7" xfId="798" xr:uid="{00000000-0005-0000-0000-000029030000}"/>
    <cellStyle name="normálne 33 3 8" xfId="1054" xr:uid="{00000000-0005-0000-0000-00002A030000}"/>
    <cellStyle name="normálne 33 4" xfId="176" xr:uid="{00000000-0005-0000-0000-00002B030000}"/>
    <cellStyle name="normálne 33 4 2" xfId="223" xr:uid="{00000000-0005-0000-0000-00002C030000}"/>
    <cellStyle name="normálne 33 4 2 2" xfId="297" xr:uid="{00000000-0005-0000-0000-00002D030000}"/>
    <cellStyle name="normálne 33 4 2 2 2" xfId="476" xr:uid="{00000000-0005-0000-0000-00002E030000}"/>
    <cellStyle name="normálne 33 4 2 2 3" xfId="613" xr:uid="{00000000-0005-0000-0000-00002F030000}"/>
    <cellStyle name="normálne 33 4 2 2 4" xfId="753" xr:uid="{00000000-0005-0000-0000-000030030000}"/>
    <cellStyle name="normálne 33 4 2 2 5" xfId="919" xr:uid="{00000000-0005-0000-0000-000031030000}"/>
    <cellStyle name="normálne 33 4 2 2 6" xfId="1041" xr:uid="{00000000-0005-0000-0000-000032030000}"/>
    <cellStyle name="normálne 33 4 2 3" xfId="403" xr:uid="{00000000-0005-0000-0000-000033030000}"/>
    <cellStyle name="normálne 33 4 2 4" xfId="541" xr:uid="{00000000-0005-0000-0000-000034030000}"/>
    <cellStyle name="normálne 33 4 2 5" xfId="682" xr:uid="{00000000-0005-0000-0000-000035030000}"/>
    <cellStyle name="normálne 33 4 2 6" xfId="847" xr:uid="{00000000-0005-0000-0000-000036030000}"/>
    <cellStyle name="normálne 33 4 2 7" xfId="969" xr:uid="{00000000-0005-0000-0000-000037030000}"/>
    <cellStyle name="normálne 33 4 3" xfId="262" xr:uid="{00000000-0005-0000-0000-000038030000}"/>
    <cellStyle name="normálne 33 4 3 2" xfId="441" xr:uid="{00000000-0005-0000-0000-000039030000}"/>
    <cellStyle name="normálne 33 4 3 3" xfId="578" xr:uid="{00000000-0005-0000-0000-00003A030000}"/>
    <cellStyle name="normálne 33 4 3 4" xfId="718" xr:uid="{00000000-0005-0000-0000-00003B030000}"/>
    <cellStyle name="normálne 33 4 3 5" xfId="884" xr:uid="{00000000-0005-0000-0000-00003C030000}"/>
    <cellStyle name="normálne 33 4 3 6" xfId="992" xr:uid="{00000000-0005-0000-0000-00003D030000}"/>
    <cellStyle name="normálne 33 4 4" xfId="360" xr:uid="{00000000-0005-0000-0000-00003E030000}"/>
    <cellStyle name="normálne 33 4 5" xfId="504" xr:uid="{00000000-0005-0000-0000-00003F030000}"/>
    <cellStyle name="normálne 33 4 6" xfId="647" xr:uid="{00000000-0005-0000-0000-000040030000}"/>
    <cellStyle name="normálne 33 4 7" xfId="810" xr:uid="{00000000-0005-0000-0000-000041030000}"/>
    <cellStyle name="normálne 33 4 8" xfId="790" xr:uid="{00000000-0005-0000-0000-000042030000}"/>
    <cellStyle name="normálne 33 5" xfId="201" xr:uid="{00000000-0005-0000-0000-000043030000}"/>
    <cellStyle name="normálne 33 5 2" xfId="275" xr:uid="{00000000-0005-0000-0000-000044030000}"/>
    <cellStyle name="normálne 33 5 2 2" xfId="454" xr:uid="{00000000-0005-0000-0000-000045030000}"/>
    <cellStyle name="normálne 33 5 2 3" xfId="591" xr:uid="{00000000-0005-0000-0000-000046030000}"/>
    <cellStyle name="normálne 33 5 2 4" xfId="731" xr:uid="{00000000-0005-0000-0000-000047030000}"/>
    <cellStyle name="normálne 33 5 2 5" xfId="897" xr:uid="{00000000-0005-0000-0000-000048030000}"/>
    <cellStyle name="normálne 33 5 2 6" xfId="1052" xr:uid="{00000000-0005-0000-0000-000049030000}"/>
    <cellStyle name="normálne 33 5 3" xfId="381" xr:uid="{00000000-0005-0000-0000-00004A030000}"/>
    <cellStyle name="normálne 33 5 4" xfId="519" xr:uid="{00000000-0005-0000-0000-00004B030000}"/>
    <cellStyle name="normálne 33 5 5" xfId="660" xr:uid="{00000000-0005-0000-0000-00004C030000}"/>
    <cellStyle name="normálne 33 5 6" xfId="825" xr:uid="{00000000-0005-0000-0000-00004D030000}"/>
    <cellStyle name="normálne 33 5 7" xfId="1048" xr:uid="{00000000-0005-0000-0000-00004E030000}"/>
    <cellStyle name="normálne 33 6" xfId="240" xr:uid="{00000000-0005-0000-0000-00004F030000}"/>
    <cellStyle name="normálne 33 6 2" xfId="419" xr:uid="{00000000-0005-0000-0000-000050030000}"/>
    <cellStyle name="normálne 33 6 3" xfId="556" xr:uid="{00000000-0005-0000-0000-000051030000}"/>
    <cellStyle name="normálne 33 6 4" xfId="696" xr:uid="{00000000-0005-0000-0000-000052030000}"/>
    <cellStyle name="normálne 33 6 5" xfId="862" xr:uid="{00000000-0005-0000-0000-000053030000}"/>
    <cellStyle name="normálne 33 6 6" xfId="1003" xr:uid="{00000000-0005-0000-0000-000054030000}"/>
    <cellStyle name="normálne 33 7" xfId="322" xr:uid="{00000000-0005-0000-0000-000055030000}"/>
    <cellStyle name="normálne 33 8" xfId="370" xr:uid="{00000000-0005-0000-0000-000056030000}"/>
    <cellStyle name="normálne 33 9" xfId="627" xr:uid="{00000000-0005-0000-0000-000057030000}"/>
    <cellStyle name="normálne 34" xfId="784" xr:uid="{00000000-0005-0000-0000-000058030000}"/>
    <cellStyle name="normálne 35" xfId="1331" xr:uid="{00000000-0005-0000-0000-000059030000}"/>
    <cellStyle name="normálne 35 2" xfId="1475" xr:uid="{00000000-0005-0000-0000-00005A030000}"/>
    <cellStyle name="normálne 36" xfId="1329" xr:uid="{00000000-0005-0000-0000-00005B030000}"/>
    <cellStyle name="normálne 37" xfId="1216" xr:uid="{00000000-0005-0000-0000-00005C030000}"/>
    <cellStyle name="normálne 38" xfId="1215" xr:uid="{00000000-0005-0000-0000-00005D030000}"/>
    <cellStyle name="normálne 39" xfId="1223" xr:uid="{00000000-0005-0000-0000-00005E030000}"/>
    <cellStyle name="Normálne 4" xfId="22" xr:uid="{00000000-0005-0000-0000-00005F030000}"/>
    <cellStyle name="normálne 4 10" xfId="774" xr:uid="{00000000-0005-0000-0000-000060030000}"/>
    <cellStyle name="normálne 4 10 2" xfId="1108" xr:uid="{00000000-0005-0000-0000-000061030000}"/>
    <cellStyle name="normálne 4 10 3" xfId="1200" xr:uid="{00000000-0005-0000-0000-000062030000}"/>
    <cellStyle name="normálne 4 11" xfId="1116" xr:uid="{00000000-0005-0000-0000-000063030000}"/>
    <cellStyle name="normálne 4 12" xfId="1177" xr:uid="{00000000-0005-0000-0000-000064030000}"/>
    <cellStyle name="normálne 4 13" xfId="1166" xr:uid="{00000000-0005-0000-0000-000065030000}"/>
    <cellStyle name="normálne 4 14" xfId="1157" xr:uid="{00000000-0005-0000-0000-000066030000}"/>
    <cellStyle name="normálne 4 15" xfId="1123" xr:uid="{00000000-0005-0000-0000-000067030000}"/>
    <cellStyle name="normálne 4 16" xfId="1146" xr:uid="{00000000-0005-0000-0000-000068030000}"/>
    <cellStyle name="normálne 4 17" xfId="1151" xr:uid="{00000000-0005-0000-0000-000069030000}"/>
    <cellStyle name="normálne 4 18" xfId="1167" xr:uid="{00000000-0005-0000-0000-00006A030000}"/>
    <cellStyle name="normálne 4 19" xfId="934" xr:uid="{00000000-0005-0000-0000-00006B030000}"/>
    <cellStyle name="Normálne 4 2" xfId="59" xr:uid="{00000000-0005-0000-0000-00006C030000}"/>
    <cellStyle name="normálne 4 2 10" xfId="1087" xr:uid="{00000000-0005-0000-0000-00006D030000}"/>
    <cellStyle name="normálne 4 2 11" xfId="156" xr:uid="{00000000-0005-0000-0000-00006E030000}"/>
    <cellStyle name="normálne 4 2 2" xfId="169" xr:uid="{00000000-0005-0000-0000-00006F030000}"/>
    <cellStyle name="normálne 4 2 2 2" xfId="221" xr:uid="{00000000-0005-0000-0000-000070030000}"/>
    <cellStyle name="normálne 4 2 2 2 2" xfId="295" xr:uid="{00000000-0005-0000-0000-000071030000}"/>
    <cellStyle name="normálne 4 2 2 2 2 2" xfId="474" xr:uid="{00000000-0005-0000-0000-000072030000}"/>
    <cellStyle name="normálne 4 2 2 2 2 3" xfId="611" xr:uid="{00000000-0005-0000-0000-000073030000}"/>
    <cellStyle name="normálne 4 2 2 2 2 4" xfId="751" xr:uid="{00000000-0005-0000-0000-000074030000}"/>
    <cellStyle name="normálne 4 2 2 2 2 5" xfId="917" xr:uid="{00000000-0005-0000-0000-000075030000}"/>
    <cellStyle name="normálne 4 2 2 2 2 6" xfId="968" xr:uid="{00000000-0005-0000-0000-000076030000}"/>
    <cellStyle name="normálne 4 2 2 2 3" xfId="401" xr:uid="{00000000-0005-0000-0000-000077030000}"/>
    <cellStyle name="normálne 4 2 2 2 4" xfId="539" xr:uid="{00000000-0005-0000-0000-000078030000}"/>
    <cellStyle name="normálne 4 2 2 2 5" xfId="680" xr:uid="{00000000-0005-0000-0000-000079030000}"/>
    <cellStyle name="normálne 4 2 2 2 6" xfId="845" xr:uid="{00000000-0005-0000-0000-00007A030000}"/>
    <cellStyle name="normálne 4 2 2 2 7" xfId="1064" xr:uid="{00000000-0005-0000-0000-00007B030000}"/>
    <cellStyle name="normálne 4 2 2 3" xfId="260" xr:uid="{00000000-0005-0000-0000-00007C030000}"/>
    <cellStyle name="normálne 4 2 2 3 2" xfId="439" xr:uid="{00000000-0005-0000-0000-00007D030000}"/>
    <cellStyle name="normálne 4 2 2 3 3" xfId="576" xr:uid="{00000000-0005-0000-0000-00007E030000}"/>
    <cellStyle name="normálne 4 2 2 3 4" xfId="716" xr:uid="{00000000-0005-0000-0000-00007F030000}"/>
    <cellStyle name="normálne 4 2 2 3 5" xfId="882" xr:uid="{00000000-0005-0000-0000-000080030000}"/>
    <cellStyle name="normálne 4 2 2 3 6" xfId="1086" xr:uid="{00000000-0005-0000-0000-000081030000}"/>
    <cellStyle name="normálne 4 2 2 4" xfId="354" xr:uid="{00000000-0005-0000-0000-000082030000}"/>
    <cellStyle name="normálne 4 2 2 5" xfId="499" xr:uid="{00000000-0005-0000-0000-000083030000}"/>
    <cellStyle name="normálne 4 2 2 6" xfId="645" xr:uid="{00000000-0005-0000-0000-000084030000}"/>
    <cellStyle name="normálne 4 2 2 7" xfId="806" xr:uid="{00000000-0005-0000-0000-000085030000}"/>
    <cellStyle name="normálne 4 2 2 8" xfId="972" xr:uid="{00000000-0005-0000-0000-000086030000}"/>
    <cellStyle name="normálne 4 2 3" xfId="194" xr:uid="{00000000-0005-0000-0000-000087030000}"/>
    <cellStyle name="normálne 4 2 3 2" xfId="232" xr:uid="{00000000-0005-0000-0000-000088030000}"/>
    <cellStyle name="normálne 4 2 3 2 2" xfId="306" xr:uid="{00000000-0005-0000-0000-000089030000}"/>
    <cellStyle name="normálne 4 2 3 2 2 2" xfId="485" xr:uid="{00000000-0005-0000-0000-00008A030000}"/>
    <cellStyle name="normálne 4 2 3 2 2 3" xfId="622" xr:uid="{00000000-0005-0000-0000-00008B030000}"/>
    <cellStyle name="normálne 4 2 3 2 2 4" xfId="762" xr:uid="{00000000-0005-0000-0000-00008C030000}"/>
    <cellStyle name="normálne 4 2 3 2 2 5" xfId="928" xr:uid="{00000000-0005-0000-0000-00008D030000}"/>
    <cellStyle name="normálne 4 2 3 2 2 6" xfId="1022" xr:uid="{00000000-0005-0000-0000-00008E030000}"/>
    <cellStyle name="normálne 4 2 3 2 3" xfId="412" xr:uid="{00000000-0005-0000-0000-00008F030000}"/>
    <cellStyle name="normálne 4 2 3 2 4" xfId="550" xr:uid="{00000000-0005-0000-0000-000090030000}"/>
    <cellStyle name="normálne 4 2 3 2 5" xfId="691" xr:uid="{00000000-0005-0000-0000-000091030000}"/>
    <cellStyle name="normálne 4 2 3 2 6" xfId="856" xr:uid="{00000000-0005-0000-0000-000092030000}"/>
    <cellStyle name="normálne 4 2 3 2 7" xfId="991" xr:uid="{00000000-0005-0000-0000-000093030000}"/>
    <cellStyle name="normálne 4 2 3 3" xfId="271" xr:uid="{00000000-0005-0000-0000-000094030000}"/>
    <cellStyle name="normálne 4 2 3 3 2" xfId="450" xr:uid="{00000000-0005-0000-0000-000095030000}"/>
    <cellStyle name="normálne 4 2 3 3 3" xfId="587" xr:uid="{00000000-0005-0000-0000-000096030000}"/>
    <cellStyle name="normálne 4 2 3 3 4" xfId="727" xr:uid="{00000000-0005-0000-0000-000097030000}"/>
    <cellStyle name="normálne 4 2 3 3 5" xfId="893" xr:uid="{00000000-0005-0000-0000-000098030000}"/>
    <cellStyle name="normálne 4 2 3 3 6" xfId="974" xr:uid="{00000000-0005-0000-0000-000099030000}"/>
    <cellStyle name="normálne 4 2 3 4" xfId="375" xr:uid="{00000000-0005-0000-0000-00009A030000}"/>
    <cellStyle name="normálne 4 2 3 5" xfId="514" xr:uid="{00000000-0005-0000-0000-00009B030000}"/>
    <cellStyle name="normálne 4 2 3 6" xfId="656" xr:uid="{00000000-0005-0000-0000-00009C030000}"/>
    <cellStyle name="normálne 4 2 3 7" xfId="820" xr:uid="{00000000-0005-0000-0000-00009D030000}"/>
    <cellStyle name="normálne 4 2 3 8" xfId="1082" xr:uid="{00000000-0005-0000-0000-00009E030000}"/>
    <cellStyle name="normálne 4 2 4" xfId="210" xr:uid="{00000000-0005-0000-0000-00009F030000}"/>
    <cellStyle name="normálne 4 2 4 2" xfId="284" xr:uid="{00000000-0005-0000-0000-0000A0030000}"/>
    <cellStyle name="normálne 4 2 4 2 2" xfId="463" xr:uid="{00000000-0005-0000-0000-0000A1030000}"/>
    <cellStyle name="normálne 4 2 4 2 3" xfId="600" xr:uid="{00000000-0005-0000-0000-0000A2030000}"/>
    <cellStyle name="normálne 4 2 4 2 4" xfId="740" xr:uid="{00000000-0005-0000-0000-0000A3030000}"/>
    <cellStyle name="normálne 4 2 4 2 5" xfId="906" xr:uid="{00000000-0005-0000-0000-0000A4030000}"/>
    <cellStyle name="normálne 4 2 4 2 6" xfId="1091" xr:uid="{00000000-0005-0000-0000-0000A5030000}"/>
    <cellStyle name="normálne 4 2 4 3" xfId="390" xr:uid="{00000000-0005-0000-0000-0000A6030000}"/>
    <cellStyle name="normálne 4 2 4 4" xfId="528" xr:uid="{00000000-0005-0000-0000-0000A7030000}"/>
    <cellStyle name="normálne 4 2 4 5" xfId="669" xr:uid="{00000000-0005-0000-0000-0000A8030000}"/>
    <cellStyle name="normálne 4 2 4 6" xfId="834" xr:uid="{00000000-0005-0000-0000-0000A9030000}"/>
    <cellStyle name="normálne 4 2 4 7" xfId="1017" xr:uid="{00000000-0005-0000-0000-0000AA030000}"/>
    <cellStyle name="normálne 4 2 5" xfId="249" xr:uid="{00000000-0005-0000-0000-0000AB030000}"/>
    <cellStyle name="normálne 4 2 5 2" xfId="428" xr:uid="{00000000-0005-0000-0000-0000AC030000}"/>
    <cellStyle name="normálne 4 2 5 3" xfId="565" xr:uid="{00000000-0005-0000-0000-0000AD030000}"/>
    <cellStyle name="normálne 4 2 5 4" xfId="705" xr:uid="{00000000-0005-0000-0000-0000AE030000}"/>
    <cellStyle name="normálne 4 2 5 5" xfId="871" xr:uid="{00000000-0005-0000-0000-0000AF030000}"/>
    <cellStyle name="normálne 4 2 5 6" xfId="1046" xr:uid="{00000000-0005-0000-0000-0000B0030000}"/>
    <cellStyle name="normálne 4 2 6" xfId="341" xr:uid="{00000000-0005-0000-0000-0000B1030000}"/>
    <cellStyle name="normálne 4 2 7" xfId="380" xr:uid="{00000000-0005-0000-0000-0000B2030000}"/>
    <cellStyle name="normálne 4 2 8" xfId="634" xr:uid="{00000000-0005-0000-0000-0000B3030000}"/>
    <cellStyle name="normálne 4 2 9" xfId="788" xr:uid="{00000000-0005-0000-0000-0000B4030000}"/>
    <cellStyle name="normálne 4 20" xfId="1212" xr:uid="{00000000-0005-0000-0000-0000B5030000}"/>
    <cellStyle name="normálne 4 21" xfId="1218" xr:uid="{00000000-0005-0000-0000-0000B6030000}"/>
    <cellStyle name="normálne 4 22" xfId="1225" xr:uid="{00000000-0005-0000-0000-0000B7030000}"/>
    <cellStyle name="normálne 4 23" xfId="1232" xr:uid="{00000000-0005-0000-0000-0000B8030000}"/>
    <cellStyle name="normálne 4 24" xfId="1239" xr:uid="{00000000-0005-0000-0000-0000B9030000}"/>
    <cellStyle name="normálne 4 25" xfId="1246" xr:uid="{00000000-0005-0000-0000-0000BA030000}"/>
    <cellStyle name="normálne 4 26" xfId="1252" xr:uid="{00000000-0005-0000-0000-0000BB030000}"/>
    <cellStyle name="normálne 4 27" xfId="1258" xr:uid="{00000000-0005-0000-0000-0000BC030000}"/>
    <cellStyle name="normálne 4 28" xfId="1264" xr:uid="{00000000-0005-0000-0000-0000BD030000}"/>
    <cellStyle name="normálne 4 29" xfId="1270" xr:uid="{00000000-0005-0000-0000-0000BE030000}"/>
    <cellStyle name="normálne 4 3" xfId="64" xr:uid="{00000000-0005-0000-0000-0000BF030000}"/>
    <cellStyle name="normálne 4 3 2" xfId="215" xr:uid="{00000000-0005-0000-0000-0000C0030000}"/>
    <cellStyle name="normálne 4 3 2 2" xfId="289" xr:uid="{00000000-0005-0000-0000-0000C1030000}"/>
    <cellStyle name="normálne 4 3 2 2 2" xfId="468" xr:uid="{00000000-0005-0000-0000-0000C2030000}"/>
    <cellStyle name="normálne 4 3 2 2 3" xfId="605" xr:uid="{00000000-0005-0000-0000-0000C3030000}"/>
    <cellStyle name="normálne 4 3 2 2 4" xfId="745" xr:uid="{00000000-0005-0000-0000-0000C4030000}"/>
    <cellStyle name="normálne 4 3 2 2 5" xfId="911" xr:uid="{00000000-0005-0000-0000-0000C5030000}"/>
    <cellStyle name="normálne 4 3 2 2 6" xfId="945" xr:uid="{00000000-0005-0000-0000-0000C6030000}"/>
    <cellStyle name="normálne 4 3 2 3" xfId="395" xr:uid="{00000000-0005-0000-0000-0000C7030000}"/>
    <cellStyle name="normálne 4 3 2 4" xfId="533" xr:uid="{00000000-0005-0000-0000-0000C8030000}"/>
    <cellStyle name="normálne 4 3 2 5" xfId="674" xr:uid="{00000000-0005-0000-0000-0000C9030000}"/>
    <cellStyle name="normálne 4 3 2 6" xfId="839" xr:uid="{00000000-0005-0000-0000-0000CA030000}"/>
    <cellStyle name="normálne 4 3 2 7" xfId="1051" xr:uid="{00000000-0005-0000-0000-0000CB030000}"/>
    <cellStyle name="normálne 4 3 3" xfId="254" xr:uid="{00000000-0005-0000-0000-0000CC030000}"/>
    <cellStyle name="normálne 4 3 3 2" xfId="433" xr:uid="{00000000-0005-0000-0000-0000CD030000}"/>
    <cellStyle name="normálne 4 3 3 3" xfId="570" xr:uid="{00000000-0005-0000-0000-0000CE030000}"/>
    <cellStyle name="normálne 4 3 3 4" xfId="710" xr:uid="{00000000-0005-0000-0000-0000CF030000}"/>
    <cellStyle name="normálne 4 3 3 5" xfId="876" xr:uid="{00000000-0005-0000-0000-0000D0030000}"/>
    <cellStyle name="normálne 4 3 3 6" xfId="1073" xr:uid="{00000000-0005-0000-0000-0000D1030000}"/>
    <cellStyle name="normálne 4 3 4" xfId="348" xr:uid="{00000000-0005-0000-0000-0000D2030000}"/>
    <cellStyle name="normálne 4 3 5" xfId="363" xr:uid="{00000000-0005-0000-0000-0000D3030000}"/>
    <cellStyle name="normálne 4 3 6" xfId="639" xr:uid="{00000000-0005-0000-0000-0000D4030000}"/>
    <cellStyle name="normálne 4 3 7" xfId="801" xr:uid="{00000000-0005-0000-0000-0000D5030000}"/>
    <cellStyle name="normálne 4 3 8" xfId="1078" xr:uid="{00000000-0005-0000-0000-0000D6030000}"/>
    <cellStyle name="normálne 4 3 9" xfId="163" xr:uid="{00000000-0005-0000-0000-0000D7030000}"/>
    <cellStyle name="normálne 4 30" xfId="1385" xr:uid="{00000000-0005-0000-0000-0000D8030000}"/>
    <cellStyle name="normálne 4 31" xfId="142" xr:uid="{00000000-0005-0000-0000-0000D9030000}"/>
    <cellStyle name="normálne 4 4" xfId="183" xr:uid="{00000000-0005-0000-0000-0000DA030000}"/>
    <cellStyle name="normálne 4 4 2" xfId="226" xr:uid="{00000000-0005-0000-0000-0000DB030000}"/>
    <cellStyle name="normálne 4 4 2 2" xfId="300" xr:uid="{00000000-0005-0000-0000-0000DC030000}"/>
    <cellStyle name="normálne 4 4 2 2 2" xfId="479" xr:uid="{00000000-0005-0000-0000-0000DD030000}"/>
    <cellStyle name="normálne 4 4 2 2 3" xfId="616" xr:uid="{00000000-0005-0000-0000-0000DE030000}"/>
    <cellStyle name="normálne 4 4 2 2 4" xfId="756" xr:uid="{00000000-0005-0000-0000-0000DF030000}"/>
    <cellStyle name="normálne 4 4 2 2 5" xfId="922" xr:uid="{00000000-0005-0000-0000-0000E0030000}"/>
    <cellStyle name="normálne 4 4 2 2 6" xfId="1011" xr:uid="{00000000-0005-0000-0000-0000E1030000}"/>
    <cellStyle name="normálne 4 4 2 3" xfId="406" xr:uid="{00000000-0005-0000-0000-0000E2030000}"/>
    <cellStyle name="normálne 4 4 2 4" xfId="544" xr:uid="{00000000-0005-0000-0000-0000E3030000}"/>
    <cellStyle name="normálne 4 4 2 5" xfId="685" xr:uid="{00000000-0005-0000-0000-0000E4030000}"/>
    <cellStyle name="normálne 4 4 2 6" xfId="850" xr:uid="{00000000-0005-0000-0000-0000E5030000}"/>
    <cellStyle name="normálne 4 4 2 7" xfId="995" xr:uid="{00000000-0005-0000-0000-0000E6030000}"/>
    <cellStyle name="normálne 4 4 3" xfId="265" xr:uid="{00000000-0005-0000-0000-0000E7030000}"/>
    <cellStyle name="normálne 4 4 3 2" xfId="444" xr:uid="{00000000-0005-0000-0000-0000E8030000}"/>
    <cellStyle name="normálne 4 4 3 3" xfId="581" xr:uid="{00000000-0005-0000-0000-0000E9030000}"/>
    <cellStyle name="normálne 4 4 3 4" xfId="721" xr:uid="{00000000-0005-0000-0000-0000EA030000}"/>
    <cellStyle name="normálne 4 4 3 5" xfId="887" xr:uid="{00000000-0005-0000-0000-0000EB030000}"/>
    <cellStyle name="normálne 4 4 3 6" xfId="956" xr:uid="{00000000-0005-0000-0000-0000EC030000}"/>
    <cellStyle name="normálne 4 4 4" xfId="365" xr:uid="{00000000-0005-0000-0000-0000ED030000}"/>
    <cellStyle name="normálne 4 4 5" xfId="508" xr:uid="{00000000-0005-0000-0000-0000EE030000}"/>
    <cellStyle name="normálne 4 4 6" xfId="650" xr:uid="{00000000-0005-0000-0000-0000EF030000}"/>
    <cellStyle name="normálne 4 4 7" xfId="813" xr:uid="{00000000-0005-0000-0000-0000F0030000}"/>
    <cellStyle name="normálne 4 4 8" xfId="980" xr:uid="{00000000-0005-0000-0000-0000F1030000}"/>
    <cellStyle name="normálne 4 5" xfId="204" xr:uid="{00000000-0005-0000-0000-0000F2030000}"/>
    <cellStyle name="normálne 4 5 2" xfId="278" xr:uid="{00000000-0005-0000-0000-0000F3030000}"/>
    <cellStyle name="normálne 4 5 2 2" xfId="457" xr:uid="{00000000-0005-0000-0000-0000F4030000}"/>
    <cellStyle name="normálne 4 5 2 3" xfId="594" xr:uid="{00000000-0005-0000-0000-0000F5030000}"/>
    <cellStyle name="normálne 4 5 2 4" xfId="734" xr:uid="{00000000-0005-0000-0000-0000F6030000}"/>
    <cellStyle name="normálne 4 5 2 5" xfId="900" xr:uid="{00000000-0005-0000-0000-0000F7030000}"/>
    <cellStyle name="normálne 4 5 2 6" xfId="1076" xr:uid="{00000000-0005-0000-0000-0000F8030000}"/>
    <cellStyle name="normálne 4 5 3" xfId="384" xr:uid="{00000000-0005-0000-0000-0000F9030000}"/>
    <cellStyle name="normálne 4 5 4" xfId="522" xr:uid="{00000000-0005-0000-0000-0000FA030000}"/>
    <cellStyle name="normálne 4 5 5" xfId="663" xr:uid="{00000000-0005-0000-0000-0000FB030000}"/>
    <cellStyle name="normálne 4 5 6" xfId="828" xr:uid="{00000000-0005-0000-0000-0000FC030000}"/>
    <cellStyle name="normálne 4 5 7" xfId="938" xr:uid="{00000000-0005-0000-0000-0000FD030000}"/>
    <cellStyle name="normálne 4 6" xfId="243" xr:uid="{00000000-0005-0000-0000-0000FE030000}"/>
    <cellStyle name="normálne 4 6 2" xfId="422" xr:uid="{00000000-0005-0000-0000-0000FF030000}"/>
    <cellStyle name="normálne 4 6 3" xfId="559" xr:uid="{00000000-0005-0000-0000-000000040000}"/>
    <cellStyle name="normálne 4 6 4" xfId="699" xr:uid="{00000000-0005-0000-0000-000001040000}"/>
    <cellStyle name="normálne 4 6 5" xfId="865" xr:uid="{00000000-0005-0000-0000-000002040000}"/>
    <cellStyle name="normálne 4 6 6" xfId="1033" xr:uid="{00000000-0005-0000-0000-000003040000}"/>
    <cellStyle name="normálne 4 7" xfId="330" xr:uid="{00000000-0005-0000-0000-000004040000}"/>
    <cellStyle name="normálne 4 8" xfId="333" xr:uid="{00000000-0005-0000-0000-000005040000}"/>
    <cellStyle name="normálne 4 9" xfId="502" xr:uid="{00000000-0005-0000-0000-000006040000}"/>
    <cellStyle name="normálne 40" xfId="1230" xr:uid="{00000000-0005-0000-0000-000007040000}"/>
    <cellStyle name="normálne 41" xfId="1237" xr:uid="{00000000-0005-0000-0000-000008040000}"/>
    <cellStyle name="normálne 42" xfId="1244" xr:uid="{00000000-0005-0000-0000-000009040000}"/>
    <cellStyle name="normálne 43" xfId="1330" xr:uid="{00000000-0005-0000-0000-00000A040000}"/>
    <cellStyle name="normálne 44" xfId="1408" xr:uid="{00000000-0005-0000-0000-00000B040000}"/>
    <cellStyle name="normálne 45" xfId="1322" xr:uid="{00000000-0005-0000-0000-00000C040000}"/>
    <cellStyle name="normálne 46" xfId="1321" xr:uid="{00000000-0005-0000-0000-00000D040000}"/>
    <cellStyle name="normálne 47" xfId="1411" xr:uid="{00000000-0005-0000-0000-00000E040000}"/>
    <cellStyle name="normálne 48" xfId="1410" xr:uid="{00000000-0005-0000-0000-00000F040000}"/>
    <cellStyle name="normálne 49" xfId="1485" xr:uid="{00000000-0005-0000-0000-000010040000}"/>
    <cellStyle name="Normálne 5" xfId="23" xr:uid="{00000000-0005-0000-0000-000011040000}"/>
    <cellStyle name="normálne 5 2" xfId="323" xr:uid="{00000000-0005-0000-0000-000012040000}"/>
    <cellStyle name="normálne 5 2 2" xfId="937" xr:uid="{00000000-0005-0000-0000-000013040000}"/>
    <cellStyle name="normálne 5 2 2 2" xfId="1441" xr:uid="{00000000-0005-0000-0000-000014040000}"/>
    <cellStyle name="normálne 5 2 3" xfId="960" xr:uid="{00000000-0005-0000-0000-000015040000}"/>
    <cellStyle name="normálne 5 2 3 2" xfId="1448" xr:uid="{00000000-0005-0000-0000-000016040000}"/>
    <cellStyle name="normálne 5 2 4" xfId="1419" xr:uid="{00000000-0005-0000-0000-000017040000}"/>
    <cellStyle name="normálne 5 3" xfId="337" xr:uid="{00000000-0005-0000-0000-000018040000}"/>
    <cellStyle name="normálne 5 3 2" xfId="944" xr:uid="{00000000-0005-0000-0000-000019040000}"/>
    <cellStyle name="normálne 5 3 2 2" xfId="1444" xr:uid="{00000000-0005-0000-0000-00001A040000}"/>
    <cellStyle name="normálne 5 3 3" xfId="1080" xr:uid="{00000000-0005-0000-0000-00001B040000}"/>
    <cellStyle name="normálne 5 3 3 2" xfId="1459" xr:uid="{00000000-0005-0000-0000-00001C040000}"/>
    <cellStyle name="normálne 5 3 4" xfId="1422" xr:uid="{00000000-0005-0000-0000-00001D040000}"/>
    <cellStyle name="normálne 5 4" xfId="555" xr:uid="{00000000-0005-0000-0000-00001E040000}"/>
    <cellStyle name="normálne 5 4 2" xfId="1024" xr:uid="{00000000-0005-0000-0000-00001F040000}"/>
    <cellStyle name="normálne 5 4 2 2" xfId="1456" xr:uid="{00000000-0005-0000-0000-000020040000}"/>
    <cellStyle name="normálne 5 4 3" xfId="1004" xr:uid="{00000000-0005-0000-0000-000021040000}"/>
    <cellStyle name="normálne 5 4 3 2" xfId="1452" xr:uid="{00000000-0005-0000-0000-000022040000}"/>
    <cellStyle name="normálne 5 4 4" xfId="1429" xr:uid="{00000000-0005-0000-0000-000023040000}"/>
    <cellStyle name="normálne 5 5" xfId="783" xr:uid="{00000000-0005-0000-0000-000024040000}"/>
    <cellStyle name="normálne 5 5 2" xfId="1435" xr:uid="{00000000-0005-0000-0000-000025040000}"/>
    <cellStyle name="normálne 5 6" xfId="959" xr:uid="{00000000-0005-0000-0000-000026040000}"/>
    <cellStyle name="normálne 5 6 2" xfId="1447" xr:uid="{00000000-0005-0000-0000-000027040000}"/>
    <cellStyle name="normálne 5 7" xfId="1413" xr:uid="{00000000-0005-0000-0000-000028040000}"/>
    <cellStyle name="normálne 5 8" xfId="1384" xr:uid="{00000000-0005-0000-0000-000029040000}"/>
    <cellStyle name="normálne 5 9" xfId="134" xr:uid="{00000000-0005-0000-0000-00002A040000}"/>
    <cellStyle name="Normálne 50 2" xfId="30" xr:uid="{00000000-0005-0000-0000-00002B040000}"/>
    <cellStyle name="Normálne 6" xfId="31" xr:uid="{00000000-0005-0000-0000-00002C040000}"/>
    <cellStyle name="normálne 6 10" xfId="775" xr:uid="{00000000-0005-0000-0000-00002D040000}"/>
    <cellStyle name="normálne 6 10 2" xfId="1109" xr:uid="{00000000-0005-0000-0000-00002E040000}"/>
    <cellStyle name="normálne 6 10 3" xfId="1201" xr:uid="{00000000-0005-0000-0000-00002F040000}"/>
    <cellStyle name="normálne 6 11" xfId="1142" xr:uid="{00000000-0005-0000-0000-000030040000}"/>
    <cellStyle name="normálne 6 12" xfId="1158" xr:uid="{00000000-0005-0000-0000-000031040000}"/>
    <cellStyle name="normálne 6 13" xfId="1176" xr:uid="{00000000-0005-0000-0000-000032040000}"/>
    <cellStyle name="normálne 6 14" xfId="1137" xr:uid="{00000000-0005-0000-0000-000033040000}"/>
    <cellStyle name="normálne 6 15" xfId="1134" xr:uid="{00000000-0005-0000-0000-000034040000}"/>
    <cellStyle name="normálne 6 16" xfId="1192" xr:uid="{00000000-0005-0000-0000-000035040000}"/>
    <cellStyle name="normálne 6 17" xfId="1181" xr:uid="{00000000-0005-0000-0000-000036040000}"/>
    <cellStyle name="normálne 6 18" xfId="1186" xr:uid="{00000000-0005-0000-0000-000037040000}"/>
    <cellStyle name="normálne 6 19" xfId="861" xr:uid="{00000000-0005-0000-0000-000038040000}"/>
    <cellStyle name="Normálne 6 2" xfId="68" xr:uid="{00000000-0005-0000-0000-000039040000}"/>
    <cellStyle name="normálne 6 2 10" xfId="1040" xr:uid="{00000000-0005-0000-0000-00003A040000}"/>
    <cellStyle name="normálne 6 2 11" xfId="157" xr:uid="{00000000-0005-0000-0000-00003B040000}"/>
    <cellStyle name="normálne 6 2 2" xfId="170" xr:uid="{00000000-0005-0000-0000-00003C040000}"/>
    <cellStyle name="normálne 6 2 2 2" xfId="222" xr:uid="{00000000-0005-0000-0000-00003D040000}"/>
    <cellStyle name="normálne 6 2 2 2 2" xfId="296" xr:uid="{00000000-0005-0000-0000-00003E040000}"/>
    <cellStyle name="normálne 6 2 2 2 2 2" xfId="475" xr:uid="{00000000-0005-0000-0000-00003F040000}"/>
    <cellStyle name="normálne 6 2 2 2 2 3" xfId="612" xr:uid="{00000000-0005-0000-0000-000040040000}"/>
    <cellStyle name="normálne 6 2 2 2 2 4" xfId="752" xr:uid="{00000000-0005-0000-0000-000041040000}"/>
    <cellStyle name="normálne 6 2 2 2 2 5" xfId="918" xr:uid="{00000000-0005-0000-0000-000042040000}"/>
    <cellStyle name="normálne 6 2 2 2 2 6" xfId="1088" xr:uid="{00000000-0005-0000-0000-000043040000}"/>
    <cellStyle name="normálne 6 2 2 2 3" xfId="402" xr:uid="{00000000-0005-0000-0000-000044040000}"/>
    <cellStyle name="normálne 6 2 2 2 4" xfId="540" xr:uid="{00000000-0005-0000-0000-000045040000}"/>
    <cellStyle name="normálne 6 2 2 2 5" xfId="681" xr:uid="{00000000-0005-0000-0000-000046040000}"/>
    <cellStyle name="normálne 6 2 2 2 6" xfId="846" xr:uid="{00000000-0005-0000-0000-000047040000}"/>
    <cellStyle name="normálne 6 2 2 2 7" xfId="1015" xr:uid="{00000000-0005-0000-0000-000048040000}"/>
    <cellStyle name="normálne 6 2 2 3" xfId="261" xr:uid="{00000000-0005-0000-0000-000049040000}"/>
    <cellStyle name="normálne 6 2 2 3 2" xfId="440" xr:uid="{00000000-0005-0000-0000-00004A040000}"/>
    <cellStyle name="normálne 6 2 2 3 3" xfId="577" xr:uid="{00000000-0005-0000-0000-00004B040000}"/>
    <cellStyle name="normálne 6 2 2 3 4" xfId="717" xr:uid="{00000000-0005-0000-0000-00004C040000}"/>
    <cellStyle name="normálne 6 2 2 3 5" xfId="883" xr:uid="{00000000-0005-0000-0000-00004D040000}"/>
    <cellStyle name="normálne 6 2 2 3 6" xfId="1038" xr:uid="{00000000-0005-0000-0000-00004E040000}"/>
    <cellStyle name="normálne 6 2 2 4" xfId="355" xr:uid="{00000000-0005-0000-0000-00004F040000}"/>
    <cellStyle name="normálne 6 2 2 5" xfId="500" xr:uid="{00000000-0005-0000-0000-000050040000}"/>
    <cellStyle name="normálne 6 2 2 6" xfId="646" xr:uid="{00000000-0005-0000-0000-000051040000}"/>
    <cellStyle name="normálne 6 2 2 7" xfId="807" xr:uid="{00000000-0005-0000-0000-000052040000}"/>
    <cellStyle name="normálne 6 2 2 8" xfId="1093" xr:uid="{00000000-0005-0000-0000-000053040000}"/>
    <cellStyle name="normálne 6 2 3" xfId="195" xr:uid="{00000000-0005-0000-0000-000054040000}"/>
    <cellStyle name="normálne 6 2 3 2" xfId="233" xr:uid="{00000000-0005-0000-0000-000055040000}"/>
    <cellStyle name="normálne 6 2 3 2 2" xfId="307" xr:uid="{00000000-0005-0000-0000-000056040000}"/>
    <cellStyle name="normálne 6 2 3 2 2 2" xfId="486" xr:uid="{00000000-0005-0000-0000-000057040000}"/>
    <cellStyle name="normálne 6 2 3 2 2 3" xfId="623" xr:uid="{00000000-0005-0000-0000-000058040000}"/>
    <cellStyle name="normálne 6 2 3 2 2 4" xfId="763" xr:uid="{00000000-0005-0000-0000-000059040000}"/>
    <cellStyle name="normálne 6 2 3 2 2 5" xfId="929" xr:uid="{00000000-0005-0000-0000-00005A040000}"/>
    <cellStyle name="normálne 6 2 3 2 2 6" xfId="976" xr:uid="{00000000-0005-0000-0000-00005B040000}"/>
    <cellStyle name="normálne 6 2 3 2 3" xfId="413" xr:uid="{00000000-0005-0000-0000-00005C040000}"/>
    <cellStyle name="normálne 6 2 3 2 4" xfId="551" xr:uid="{00000000-0005-0000-0000-00005D040000}"/>
    <cellStyle name="normálne 6 2 3 2 5" xfId="692" xr:uid="{00000000-0005-0000-0000-00005E040000}"/>
    <cellStyle name="normálne 6 2 3 2 6" xfId="857" xr:uid="{00000000-0005-0000-0000-00005F040000}"/>
    <cellStyle name="normálne 6 2 3 2 7" xfId="1072" xr:uid="{00000000-0005-0000-0000-000060040000}"/>
    <cellStyle name="normálne 6 2 3 3" xfId="272" xr:uid="{00000000-0005-0000-0000-000061040000}"/>
    <cellStyle name="normálne 6 2 3 3 2" xfId="451" xr:uid="{00000000-0005-0000-0000-000062040000}"/>
    <cellStyle name="normálne 6 2 3 3 3" xfId="588" xr:uid="{00000000-0005-0000-0000-000063040000}"/>
    <cellStyle name="normálne 6 2 3 3 4" xfId="728" xr:uid="{00000000-0005-0000-0000-000064040000}"/>
    <cellStyle name="normálne 6 2 3 3 5" xfId="894" xr:uid="{00000000-0005-0000-0000-000065040000}"/>
    <cellStyle name="normálne 6 2 3 3 6" xfId="1096" xr:uid="{00000000-0005-0000-0000-000066040000}"/>
    <cellStyle name="normálne 6 2 3 4" xfId="376" xr:uid="{00000000-0005-0000-0000-000067040000}"/>
    <cellStyle name="normálne 6 2 3 5" xfId="515" xr:uid="{00000000-0005-0000-0000-000068040000}"/>
    <cellStyle name="normálne 6 2 3 6" xfId="657" xr:uid="{00000000-0005-0000-0000-000069040000}"/>
    <cellStyle name="normálne 6 2 3 7" xfId="821" xr:uid="{00000000-0005-0000-0000-00006A040000}"/>
    <cellStyle name="normálne 6 2 3 8" xfId="1035" xr:uid="{00000000-0005-0000-0000-00006B040000}"/>
    <cellStyle name="normálne 6 2 4" xfId="211" xr:uid="{00000000-0005-0000-0000-00006C040000}"/>
    <cellStyle name="normálne 6 2 4 2" xfId="285" xr:uid="{00000000-0005-0000-0000-00006D040000}"/>
    <cellStyle name="normálne 6 2 4 2 2" xfId="464" xr:uid="{00000000-0005-0000-0000-00006E040000}"/>
    <cellStyle name="normálne 6 2 4 2 3" xfId="601" xr:uid="{00000000-0005-0000-0000-00006F040000}"/>
    <cellStyle name="normálne 6 2 4 2 4" xfId="741" xr:uid="{00000000-0005-0000-0000-000070040000}"/>
    <cellStyle name="normálne 6 2 4 2 5" xfId="907" xr:uid="{00000000-0005-0000-0000-000071040000}"/>
    <cellStyle name="normálne 6 2 4 2 6" xfId="1043" xr:uid="{00000000-0005-0000-0000-000072040000}"/>
    <cellStyle name="normálne 6 2 4 3" xfId="391" xr:uid="{00000000-0005-0000-0000-000073040000}"/>
    <cellStyle name="normálne 6 2 4 4" xfId="529" xr:uid="{00000000-0005-0000-0000-000074040000}"/>
    <cellStyle name="normálne 6 2 4 5" xfId="670" xr:uid="{00000000-0005-0000-0000-000075040000}"/>
    <cellStyle name="normálne 6 2 4 6" xfId="835" xr:uid="{00000000-0005-0000-0000-000076040000}"/>
    <cellStyle name="normálne 6 2 4 7" xfId="971" xr:uid="{00000000-0005-0000-0000-000077040000}"/>
    <cellStyle name="normálne 6 2 5" xfId="250" xr:uid="{00000000-0005-0000-0000-000078040000}"/>
    <cellStyle name="normálne 6 2 5 2" xfId="429" xr:uid="{00000000-0005-0000-0000-000079040000}"/>
    <cellStyle name="normálne 6 2 5 3" xfId="566" xr:uid="{00000000-0005-0000-0000-00007A040000}"/>
    <cellStyle name="normálne 6 2 5 4" xfId="706" xr:uid="{00000000-0005-0000-0000-00007B040000}"/>
    <cellStyle name="normálne 6 2 5 5" xfId="872" xr:uid="{00000000-0005-0000-0000-00007C040000}"/>
    <cellStyle name="normálne 6 2 5 6" xfId="998" xr:uid="{00000000-0005-0000-0000-00007D040000}"/>
    <cellStyle name="normálne 6 2 6" xfId="342" xr:uid="{00000000-0005-0000-0000-00007E040000}"/>
    <cellStyle name="normálne 6 2 7" xfId="357" xr:uid="{00000000-0005-0000-0000-00007F040000}"/>
    <cellStyle name="normálne 6 2 8" xfId="635" xr:uid="{00000000-0005-0000-0000-000080040000}"/>
    <cellStyle name="normálne 6 2 9" xfId="789" xr:uid="{00000000-0005-0000-0000-000081040000}"/>
    <cellStyle name="normálne 6 20" xfId="1211" xr:uid="{00000000-0005-0000-0000-000082040000}"/>
    <cellStyle name="normálne 6 21" xfId="1219" xr:uid="{00000000-0005-0000-0000-000083040000}"/>
    <cellStyle name="normálne 6 22" xfId="1226" xr:uid="{00000000-0005-0000-0000-000084040000}"/>
    <cellStyle name="normálne 6 23" xfId="1233" xr:uid="{00000000-0005-0000-0000-000085040000}"/>
    <cellStyle name="normálne 6 24" xfId="1240" xr:uid="{00000000-0005-0000-0000-000086040000}"/>
    <cellStyle name="normálne 6 25" xfId="1247" xr:uid="{00000000-0005-0000-0000-000087040000}"/>
    <cellStyle name="normálne 6 26" xfId="1253" xr:uid="{00000000-0005-0000-0000-000088040000}"/>
    <cellStyle name="normálne 6 27" xfId="1259" xr:uid="{00000000-0005-0000-0000-000089040000}"/>
    <cellStyle name="normálne 6 28" xfId="1265" xr:uid="{00000000-0005-0000-0000-00008A040000}"/>
    <cellStyle name="normálne 6 29" xfId="1271" xr:uid="{00000000-0005-0000-0000-00008B040000}"/>
    <cellStyle name="normálne 6 3" xfId="164" xr:uid="{00000000-0005-0000-0000-00008C040000}"/>
    <cellStyle name="normálne 6 3 2" xfId="216" xr:uid="{00000000-0005-0000-0000-00008D040000}"/>
    <cellStyle name="normálne 6 3 2 2" xfId="290" xr:uid="{00000000-0005-0000-0000-00008E040000}"/>
    <cellStyle name="normálne 6 3 2 2 2" xfId="469" xr:uid="{00000000-0005-0000-0000-00008F040000}"/>
    <cellStyle name="normálne 6 3 2 2 3" xfId="606" xr:uid="{00000000-0005-0000-0000-000090040000}"/>
    <cellStyle name="normálne 6 3 2 2 4" xfId="746" xr:uid="{00000000-0005-0000-0000-000091040000}"/>
    <cellStyle name="normálne 6 3 2 2 5" xfId="912" xr:uid="{00000000-0005-0000-0000-000092040000}"/>
    <cellStyle name="normálne 6 3 2 2 6" xfId="1074" xr:uid="{00000000-0005-0000-0000-000093040000}"/>
    <cellStyle name="normálne 6 3 2 3" xfId="396" xr:uid="{00000000-0005-0000-0000-000094040000}"/>
    <cellStyle name="normálne 6 3 2 4" xfId="534" xr:uid="{00000000-0005-0000-0000-000095040000}"/>
    <cellStyle name="normálne 6 3 2 5" xfId="675" xr:uid="{00000000-0005-0000-0000-000096040000}"/>
    <cellStyle name="normálne 6 3 2 6" xfId="840" xr:uid="{00000000-0005-0000-0000-000097040000}"/>
    <cellStyle name="normálne 6 3 2 7" xfId="953" xr:uid="{00000000-0005-0000-0000-000098040000}"/>
    <cellStyle name="normálne 6 3 3" xfId="255" xr:uid="{00000000-0005-0000-0000-000099040000}"/>
    <cellStyle name="normálne 6 3 3 2" xfId="434" xr:uid="{00000000-0005-0000-0000-00009A040000}"/>
    <cellStyle name="normálne 6 3 3 3" xfId="571" xr:uid="{00000000-0005-0000-0000-00009B040000}"/>
    <cellStyle name="normálne 6 3 3 4" xfId="711" xr:uid="{00000000-0005-0000-0000-00009C040000}"/>
    <cellStyle name="normálne 6 3 3 5" xfId="877" xr:uid="{00000000-0005-0000-0000-00009D040000}"/>
    <cellStyle name="normálne 6 3 3 6" xfId="1025" xr:uid="{00000000-0005-0000-0000-00009E040000}"/>
    <cellStyle name="normálne 6 3 4" xfId="349" xr:uid="{00000000-0005-0000-0000-00009F040000}"/>
    <cellStyle name="normálne 6 3 5" xfId="328" xr:uid="{00000000-0005-0000-0000-0000A0040000}"/>
    <cellStyle name="normálne 6 3 6" xfId="640" xr:uid="{00000000-0005-0000-0000-0000A1040000}"/>
    <cellStyle name="normálne 6 3 7" xfId="802" xr:uid="{00000000-0005-0000-0000-0000A2040000}"/>
    <cellStyle name="normálne 6 3 8" xfId="1031" xr:uid="{00000000-0005-0000-0000-0000A3040000}"/>
    <cellStyle name="normálne 6 30" xfId="1364" xr:uid="{00000000-0005-0000-0000-0000A4040000}"/>
    <cellStyle name="normálne 6 31" xfId="143" xr:uid="{00000000-0005-0000-0000-0000A5040000}"/>
    <cellStyle name="normálne 6 4" xfId="184" xr:uid="{00000000-0005-0000-0000-0000A6040000}"/>
    <cellStyle name="normálne 6 4 2" xfId="227" xr:uid="{00000000-0005-0000-0000-0000A7040000}"/>
    <cellStyle name="normálne 6 4 2 2" xfId="301" xr:uid="{00000000-0005-0000-0000-0000A8040000}"/>
    <cellStyle name="normálne 6 4 2 2 2" xfId="480" xr:uid="{00000000-0005-0000-0000-0000A9040000}"/>
    <cellStyle name="normálne 6 4 2 2 3" xfId="617" xr:uid="{00000000-0005-0000-0000-0000AA040000}"/>
    <cellStyle name="normálne 6 4 2 2 4" xfId="757" xr:uid="{00000000-0005-0000-0000-0000AB040000}"/>
    <cellStyle name="normálne 6 4 2 2 5" xfId="923" xr:uid="{00000000-0005-0000-0000-0000AC040000}"/>
    <cellStyle name="normálne 6 4 2 2 6" xfId="961" xr:uid="{00000000-0005-0000-0000-0000AD040000}"/>
    <cellStyle name="normálne 6 4 2 3" xfId="407" xr:uid="{00000000-0005-0000-0000-0000AE040000}"/>
    <cellStyle name="normálne 6 4 2 4" xfId="545" xr:uid="{00000000-0005-0000-0000-0000AF040000}"/>
    <cellStyle name="normálne 6 4 2 5" xfId="686" xr:uid="{00000000-0005-0000-0000-0000B0040000}"/>
    <cellStyle name="normálne 6 4 2 6" xfId="851" xr:uid="{00000000-0005-0000-0000-0000B1040000}"/>
    <cellStyle name="normálne 6 4 2 7" xfId="1059" xr:uid="{00000000-0005-0000-0000-0000B2040000}"/>
    <cellStyle name="normálne 6 4 3" xfId="266" xr:uid="{00000000-0005-0000-0000-0000B3040000}"/>
    <cellStyle name="normálne 6 4 3 2" xfId="445" xr:uid="{00000000-0005-0000-0000-0000B4040000}"/>
    <cellStyle name="normálne 6 4 3 3" xfId="582" xr:uid="{00000000-0005-0000-0000-0000B5040000}"/>
    <cellStyle name="normálne 6 4 3 4" xfId="722" xr:uid="{00000000-0005-0000-0000-0000B6040000}"/>
    <cellStyle name="normálne 6 4 3 5" xfId="888" xr:uid="{00000000-0005-0000-0000-0000B7040000}"/>
    <cellStyle name="normálne 6 4 3 6" xfId="1081" xr:uid="{00000000-0005-0000-0000-0000B8040000}"/>
    <cellStyle name="normálne 6 4 4" xfId="366" xr:uid="{00000000-0005-0000-0000-0000B9040000}"/>
    <cellStyle name="normálne 6 4 5" xfId="509" xr:uid="{00000000-0005-0000-0000-0000BA040000}"/>
    <cellStyle name="normálne 6 4 6" xfId="651" xr:uid="{00000000-0005-0000-0000-0000BB040000}"/>
    <cellStyle name="normálne 6 4 7" xfId="814" xr:uid="{00000000-0005-0000-0000-0000BC040000}"/>
    <cellStyle name="normálne 6 4 8" xfId="1062" xr:uid="{00000000-0005-0000-0000-0000BD040000}"/>
    <cellStyle name="normálne 6 5" xfId="205" xr:uid="{00000000-0005-0000-0000-0000BE040000}"/>
    <cellStyle name="normálne 6 5 2" xfId="279" xr:uid="{00000000-0005-0000-0000-0000BF040000}"/>
    <cellStyle name="normálne 6 5 2 2" xfId="458" xr:uid="{00000000-0005-0000-0000-0000C0040000}"/>
    <cellStyle name="normálne 6 5 2 3" xfId="595" xr:uid="{00000000-0005-0000-0000-0000C1040000}"/>
    <cellStyle name="normálne 6 5 2 4" xfId="735" xr:uid="{00000000-0005-0000-0000-0000C2040000}"/>
    <cellStyle name="normálne 6 5 2 5" xfId="901" xr:uid="{00000000-0005-0000-0000-0000C3040000}"/>
    <cellStyle name="normálne 6 5 2 6" xfId="1029" xr:uid="{00000000-0005-0000-0000-0000C4040000}"/>
    <cellStyle name="normálne 6 5 3" xfId="385" xr:uid="{00000000-0005-0000-0000-0000C5040000}"/>
    <cellStyle name="normálne 6 5 4" xfId="523" xr:uid="{00000000-0005-0000-0000-0000C6040000}"/>
    <cellStyle name="normálne 6 5 5" xfId="664" xr:uid="{00000000-0005-0000-0000-0000C7040000}"/>
    <cellStyle name="normálne 6 5 6" xfId="829" xr:uid="{00000000-0005-0000-0000-0000C8040000}"/>
    <cellStyle name="normálne 6 5 7" xfId="949" xr:uid="{00000000-0005-0000-0000-0000C9040000}"/>
    <cellStyle name="normálne 6 6" xfId="244" xr:uid="{00000000-0005-0000-0000-0000CA040000}"/>
    <cellStyle name="normálne 6 6 2" xfId="423" xr:uid="{00000000-0005-0000-0000-0000CB040000}"/>
    <cellStyle name="normálne 6 6 3" xfId="560" xr:uid="{00000000-0005-0000-0000-0000CC040000}"/>
    <cellStyle name="normálne 6 6 4" xfId="700" xr:uid="{00000000-0005-0000-0000-0000CD040000}"/>
    <cellStyle name="normálne 6 6 5" xfId="866" xr:uid="{00000000-0005-0000-0000-0000CE040000}"/>
    <cellStyle name="normálne 6 6 6" xfId="987" xr:uid="{00000000-0005-0000-0000-0000CF040000}"/>
    <cellStyle name="normálne 6 7" xfId="331" xr:uid="{00000000-0005-0000-0000-0000D0040000}"/>
    <cellStyle name="normálne 6 8" xfId="494" xr:uid="{00000000-0005-0000-0000-0000D1040000}"/>
    <cellStyle name="normálne 6 9" xfId="343" xr:uid="{00000000-0005-0000-0000-0000D2040000}"/>
    <cellStyle name="Normálne 7" xfId="32" xr:uid="{00000000-0005-0000-0000-0000D3040000}"/>
    <cellStyle name="normálne 7 2" xfId="185" xr:uid="{00000000-0005-0000-0000-0000D4040000}"/>
    <cellStyle name="normálne 7 3" xfId="1478" xr:uid="{00000000-0005-0000-0000-0000D5040000}"/>
    <cellStyle name="normálne 7 4" xfId="145" xr:uid="{00000000-0005-0000-0000-0000D6040000}"/>
    <cellStyle name="Normálne 8" xfId="52" xr:uid="{00000000-0005-0000-0000-0000D7040000}"/>
    <cellStyle name="normálne 8 2" xfId="187" xr:uid="{00000000-0005-0000-0000-0000D8040000}"/>
    <cellStyle name="normálne 8 3" xfId="1352" xr:uid="{00000000-0005-0000-0000-0000D9040000}"/>
    <cellStyle name="normálne 8 4" xfId="149" xr:uid="{00000000-0005-0000-0000-0000DA040000}"/>
    <cellStyle name="Normálne 9" xfId="54" xr:uid="{00000000-0005-0000-0000-0000DB040000}"/>
    <cellStyle name="normálne 9 10" xfId="1182" xr:uid="{00000000-0005-0000-0000-0000DC040000}"/>
    <cellStyle name="normálne 9 11" xfId="1189" xr:uid="{00000000-0005-0000-0000-0000DD040000}"/>
    <cellStyle name="normálne 9 12" xfId="1191" xr:uid="{00000000-0005-0000-0000-0000DE040000}"/>
    <cellStyle name="normálne 9 13" xfId="1193" xr:uid="{00000000-0005-0000-0000-0000DF040000}"/>
    <cellStyle name="normálne 9 14" xfId="1195" xr:uid="{00000000-0005-0000-0000-0000E0040000}"/>
    <cellStyle name="normálne 9 15" xfId="1120" xr:uid="{00000000-0005-0000-0000-0000E1040000}"/>
    <cellStyle name="normálne 9 16" xfId="1171" xr:uid="{00000000-0005-0000-0000-0000E2040000}"/>
    <cellStyle name="normálne 9 17" xfId="1183" xr:uid="{00000000-0005-0000-0000-0000E3040000}"/>
    <cellStyle name="normálne 9 18" xfId="797" xr:uid="{00000000-0005-0000-0000-0000E4040000}"/>
    <cellStyle name="normálne 9 19" xfId="1209" xr:uid="{00000000-0005-0000-0000-0000E5040000}"/>
    <cellStyle name="Normálne 9 2" xfId="62" xr:uid="{00000000-0005-0000-0000-0000E6040000}"/>
    <cellStyle name="normálne 9 2 2" xfId="217" xr:uid="{00000000-0005-0000-0000-0000E7040000}"/>
    <cellStyle name="normálne 9 2 2 2" xfId="291" xr:uid="{00000000-0005-0000-0000-0000E8040000}"/>
    <cellStyle name="normálne 9 2 2 2 2" xfId="470" xr:uid="{00000000-0005-0000-0000-0000E9040000}"/>
    <cellStyle name="normálne 9 2 2 2 3" xfId="607" xr:uid="{00000000-0005-0000-0000-0000EA040000}"/>
    <cellStyle name="normálne 9 2 2 2 4" xfId="747" xr:uid="{00000000-0005-0000-0000-0000EB040000}"/>
    <cellStyle name="normálne 9 2 2 2 5" xfId="913" xr:uid="{00000000-0005-0000-0000-0000EC040000}"/>
    <cellStyle name="normálne 9 2 2 2 6" xfId="1027" xr:uid="{00000000-0005-0000-0000-0000ED040000}"/>
    <cellStyle name="normálne 9 2 2 3" xfId="397" xr:uid="{00000000-0005-0000-0000-0000EE040000}"/>
    <cellStyle name="normálne 9 2 2 4" xfId="535" xr:uid="{00000000-0005-0000-0000-0000EF040000}"/>
    <cellStyle name="normálne 9 2 2 5" xfId="676" xr:uid="{00000000-0005-0000-0000-0000F0040000}"/>
    <cellStyle name="normálne 9 2 2 6" xfId="841" xr:uid="{00000000-0005-0000-0000-0000F1040000}"/>
    <cellStyle name="normálne 9 2 2 7" xfId="946" xr:uid="{00000000-0005-0000-0000-0000F2040000}"/>
    <cellStyle name="normálne 9 2 3" xfId="256" xr:uid="{00000000-0005-0000-0000-0000F3040000}"/>
    <cellStyle name="normálne 9 2 3 2" xfId="435" xr:uid="{00000000-0005-0000-0000-0000F4040000}"/>
    <cellStyle name="normálne 9 2 3 3" xfId="572" xr:uid="{00000000-0005-0000-0000-0000F5040000}"/>
    <cellStyle name="normálne 9 2 3 4" xfId="712" xr:uid="{00000000-0005-0000-0000-0000F6040000}"/>
    <cellStyle name="normálne 9 2 3 5" xfId="878" xr:uid="{00000000-0005-0000-0000-0000F7040000}"/>
    <cellStyle name="normálne 9 2 3 6" xfId="979" xr:uid="{00000000-0005-0000-0000-0000F8040000}"/>
    <cellStyle name="normálne 9 2 4" xfId="350" xr:uid="{00000000-0005-0000-0000-0000F9040000}"/>
    <cellStyle name="normálne 9 2 5" xfId="495" xr:uid="{00000000-0005-0000-0000-0000FA040000}"/>
    <cellStyle name="normálne 9 2 6" xfId="641" xr:uid="{00000000-0005-0000-0000-0000FB040000}"/>
    <cellStyle name="normálne 9 2 7" xfId="791" xr:uid="{00000000-0005-0000-0000-0000FC040000}"/>
    <cellStyle name="normálne 9 2 8" xfId="1010" xr:uid="{00000000-0005-0000-0000-0000FD040000}"/>
    <cellStyle name="normálne 9 2 9" xfId="165" xr:uid="{00000000-0005-0000-0000-0000FE040000}"/>
    <cellStyle name="normálne 9 20" xfId="1222" xr:uid="{00000000-0005-0000-0000-0000FF040000}"/>
    <cellStyle name="normálne 9 21" xfId="1229" xr:uid="{00000000-0005-0000-0000-000000050000}"/>
    <cellStyle name="normálne 9 22" xfId="1236" xr:uid="{00000000-0005-0000-0000-000001050000}"/>
    <cellStyle name="normálne 9 23" xfId="1243" xr:uid="{00000000-0005-0000-0000-000002050000}"/>
    <cellStyle name="normálne 9 24" xfId="1250" xr:uid="{00000000-0005-0000-0000-000003050000}"/>
    <cellStyle name="normálne 9 25" xfId="1256" xr:uid="{00000000-0005-0000-0000-000004050000}"/>
    <cellStyle name="normálne 9 26" xfId="1262" xr:uid="{00000000-0005-0000-0000-000005050000}"/>
    <cellStyle name="normálne 9 27" xfId="1268" xr:uid="{00000000-0005-0000-0000-000006050000}"/>
    <cellStyle name="normálne 9 28" xfId="1274" xr:uid="{00000000-0005-0000-0000-000007050000}"/>
    <cellStyle name="normálne 9 29" xfId="146" xr:uid="{00000000-0005-0000-0000-000008050000}"/>
    <cellStyle name="normálne 9 3" xfId="186" xr:uid="{00000000-0005-0000-0000-000009050000}"/>
    <cellStyle name="normálne 9 3 2" xfId="228" xr:uid="{00000000-0005-0000-0000-00000A050000}"/>
    <cellStyle name="normálne 9 3 2 2" xfId="302" xr:uid="{00000000-0005-0000-0000-00000B050000}"/>
    <cellStyle name="normálne 9 3 2 2 2" xfId="481" xr:uid="{00000000-0005-0000-0000-00000C050000}"/>
    <cellStyle name="normálne 9 3 2 2 3" xfId="618" xr:uid="{00000000-0005-0000-0000-00000D050000}"/>
    <cellStyle name="normálne 9 3 2 2 4" xfId="758" xr:uid="{00000000-0005-0000-0000-00000E050000}"/>
    <cellStyle name="normálne 9 3 2 2 5" xfId="924" xr:uid="{00000000-0005-0000-0000-00000F050000}"/>
    <cellStyle name="normálne 9 3 2 2 6" xfId="1084" xr:uid="{00000000-0005-0000-0000-000010050000}"/>
    <cellStyle name="normálne 9 3 2 3" xfId="408" xr:uid="{00000000-0005-0000-0000-000011050000}"/>
    <cellStyle name="normálne 9 3 2 4" xfId="546" xr:uid="{00000000-0005-0000-0000-000012050000}"/>
    <cellStyle name="normálne 9 3 2 5" xfId="687" xr:uid="{00000000-0005-0000-0000-000013050000}"/>
    <cellStyle name="normálne 9 3 2 6" xfId="852" xr:uid="{00000000-0005-0000-0000-000014050000}"/>
    <cellStyle name="normálne 9 3 2 7" xfId="1012" xr:uid="{00000000-0005-0000-0000-000015050000}"/>
    <cellStyle name="normálne 9 3 3" xfId="267" xr:uid="{00000000-0005-0000-0000-000016050000}"/>
    <cellStyle name="normálne 9 3 3 2" xfId="446" xr:uid="{00000000-0005-0000-0000-000017050000}"/>
    <cellStyle name="normálne 9 3 3 3" xfId="583" xr:uid="{00000000-0005-0000-0000-000018050000}"/>
    <cellStyle name="normálne 9 3 3 4" xfId="723" xr:uid="{00000000-0005-0000-0000-000019050000}"/>
    <cellStyle name="normálne 9 3 3 5" xfId="889" xr:uid="{00000000-0005-0000-0000-00001A050000}"/>
    <cellStyle name="normálne 9 3 3 6" xfId="1034" xr:uid="{00000000-0005-0000-0000-00001B050000}"/>
    <cellStyle name="normálne 9 3 4" xfId="368" xr:uid="{00000000-0005-0000-0000-00001C050000}"/>
    <cellStyle name="normálne 9 3 5" xfId="510" xr:uid="{00000000-0005-0000-0000-00001D050000}"/>
    <cellStyle name="normálne 9 3 6" xfId="652" xr:uid="{00000000-0005-0000-0000-00001E050000}"/>
    <cellStyle name="normálne 9 3 7" xfId="815" xr:uid="{00000000-0005-0000-0000-00001F050000}"/>
    <cellStyle name="normálne 9 3 8" xfId="966" xr:uid="{00000000-0005-0000-0000-000020050000}"/>
    <cellStyle name="normálne 9 4" xfId="206" xr:uid="{00000000-0005-0000-0000-000021050000}"/>
    <cellStyle name="normálne 9 4 2" xfId="280" xr:uid="{00000000-0005-0000-0000-000022050000}"/>
    <cellStyle name="normálne 9 4 2 2" xfId="459" xr:uid="{00000000-0005-0000-0000-000023050000}"/>
    <cellStyle name="normálne 9 4 2 3" xfId="596" xr:uid="{00000000-0005-0000-0000-000024050000}"/>
    <cellStyle name="normálne 9 4 2 4" xfId="736" xr:uid="{00000000-0005-0000-0000-000025050000}"/>
    <cellStyle name="normálne 9 4 2 5" xfId="902" xr:uid="{00000000-0005-0000-0000-000026050000}"/>
    <cellStyle name="normálne 9 4 2 6" xfId="983" xr:uid="{00000000-0005-0000-0000-000027050000}"/>
    <cellStyle name="normálne 9 4 3" xfId="386" xr:uid="{00000000-0005-0000-0000-000028050000}"/>
    <cellStyle name="normálne 9 4 4" xfId="524" xr:uid="{00000000-0005-0000-0000-000029050000}"/>
    <cellStyle name="normálne 9 4 5" xfId="665" xr:uid="{00000000-0005-0000-0000-00002A050000}"/>
    <cellStyle name="normálne 9 4 6" xfId="830" xr:uid="{00000000-0005-0000-0000-00002B050000}"/>
    <cellStyle name="normálne 9 4 7" xfId="1077" xr:uid="{00000000-0005-0000-0000-00002C050000}"/>
    <cellStyle name="normálne 9 5" xfId="245" xr:uid="{00000000-0005-0000-0000-00002D050000}"/>
    <cellStyle name="normálne 9 5 2" xfId="424" xr:uid="{00000000-0005-0000-0000-00002E050000}"/>
    <cellStyle name="normálne 9 5 3" xfId="561" xr:uid="{00000000-0005-0000-0000-00002F050000}"/>
    <cellStyle name="normálne 9 5 4" xfId="701" xr:uid="{00000000-0005-0000-0000-000030050000}"/>
    <cellStyle name="normálne 9 5 5" xfId="867" xr:uid="{00000000-0005-0000-0000-000031050000}"/>
    <cellStyle name="normálne 9 5 6" xfId="1068" xr:uid="{00000000-0005-0000-0000-000032050000}"/>
    <cellStyle name="normálne 9 6" xfId="334" xr:uid="{00000000-0005-0000-0000-000033050000}"/>
    <cellStyle name="normálne 9 7" xfId="490" xr:uid="{00000000-0005-0000-0000-000034050000}"/>
    <cellStyle name="normálne 9 8" xfId="369" xr:uid="{00000000-0005-0000-0000-000035050000}"/>
    <cellStyle name="normálne 9 9" xfId="778" xr:uid="{00000000-0005-0000-0000-000036050000}"/>
    <cellStyle name="normálne 9 9 2" xfId="1110" xr:uid="{00000000-0005-0000-0000-000037050000}"/>
    <cellStyle name="normálne 9 9 3" xfId="1202" xr:uid="{00000000-0005-0000-0000-000038050000}"/>
    <cellStyle name="normálne 9_Tabulky IFP_casove rady-request_20111102_" xfId="72" xr:uid="{00000000-0005-0000-0000-000039050000}"/>
    <cellStyle name="Normálne 93" xfId="121" xr:uid="{00000000-0005-0000-0000-00003A050000}"/>
    <cellStyle name="normální_CENY.XLS" xfId="129" xr:uid="{00000000-0005-0000-0000-00003B050000}"/>
    <cellStyle name="Note" xfId="1344" xr:uid="{00000000-0005-0000-0000-00003C050000}"/>
    <cellStyle name="Output" xfId="1371" xr:uid="{00000000-0005-0000-0000-00003D050000}"/>
    <cellStyle name="Percentá" xfId="12" builtinId="5"/>
    <cellStyle name="percentá 10" xfId="1323" xr:uid="{00000000-0005-0000-0000-00003F050000}"/>
    <cellStyle name="percentá 11" xfId="1324" xr:uid="{00000000-0005-0000-0000-000040050000}"/>
    <cellStyle name="percentá 12" xfId="1325" xr:uid="{00000000-0005-0000-0000-000041050000}"/>
    <cellStyle name="percentá 13" xfId="1332" xr:uid="{00000000-0005-0000-0000-000042050000}"/>
    <cellStyle name="percentá 13 2" xfId="1476" xr:uid="{00000000-0005-0000-0000-000043050000}"/>
    <cellStyle name="percentá 14" xfId="1326" xr:uid="{00000000-0005-0000-0000-000044050000}"/>
    <cellStyle name="percentá 15" xfId="1327" xr:uid="{00000000-0005-0000-0000-000045050000}"/>
    <cellStyle name="Percentá 16" xfId="130" xr:uid="{00000000-0005-0000-0000-000046050000}"/>
    <cellStyle name="percentá 17" xfId="1328" xr:uid="{00000000-0005-0000-0000-000047050000}"/>
    <cellStyle name="Percentá 18" xfId="1334" xr:uid="{00000000-0005-0000-0000-000048050000}"/>
    <cellStyle name="Percentá 19" xfId="1335" xr:uid="{00000000-0005-0000-0000-000049050000}"/>
    <cellStyle name="Percentá 2" xfId="15" xr:uid="{00000000-0005-0000-0000-00004A050000}"/>
    <cellStyle name="percentá 2 10" xfId="7" xr:uid="{00000000-0005-0000-0000-00004B050000}"/>
    <cellStyle name="percentá 2 11" xfId="1147" xr:uid="{00000000-0005-0000-0000-00004C050000}"/>
    <cellStyle name="percentá 2 12" xfId="1178" xr:uid="{00000000-0005-0000-0000-00004D050000}"/>
    <cellStyle name="percentá 2 13" xfId="1185" xr:uid="{00000000-0005-0000-0000-00004E050000}"/>
    <cellStyle name="percentá 2 14" xfId="824" xr:uid="{00000000-0005-0000-0000-00004F050000}"/>
    <cellStyle name="percentá 2 15" xfId="1214" xr:uid="{00000000-0005-0000-0000-000050050000}"/>
    <cellStyle name="percentá 2 16" xfId="1220" xr:uid="{00000000-0005-0000-0000-000051050000}"/>
    <cellStyle name="percentá 2 17" xfId="1227" xr:uid="{00000000-0005-0000-0000-000052050000}"/>
    <cellStyle name="percentá 2 18" xfId="1234" xr:uid="{00000000-0005-0000-0000-000053050000}"/>
    <cellStyle name="percentá 2 19" xfId="1241" xr:uid="{00000000-0005-0000-0000-000054050000}"/>
    <cellStyle name="Percentá 2 2" xfId="21" xr:uid="{00000000-0005-0000-0000-000055050000}"/>
    <cellStyle name="percentá 2 2 2" xfId="192" xr:uid="{00000000-0005-0000-0000-000056050000}"/>
    <cellStyle name="percentá 2 2 3" xfId="154" xr:uid="{00000000-0005-0000-0000-000057050000}"/>
    <cellStyle name="percentá 2 20" xfId="1248" xr:uid="{00000000-0005-0000-0000-000058050000}"/>
    <cellStyle name="percentá 2 21" xfId="1254" xr:uid="{00000000-0005-0000-0000-000059050000}"/>
    <cellStyle name="percentá 2 22" xfId="1260" xr:uid="{00000000-0005-0000-0000-00005A050000}"/>
    <cellStyle name="percentá 2 23" xfId="1266" xr:uid="{00000000-0005-0000-0000-00005B050000}"/>
    <cellStyle name="percentá 2 24" xfId="1272" xr:uid="{00000000-0005-0000-0000-00005C050000}"/>
    <cellStyle name="Percentá 2 3" xfId="25" xr:uid="{00000000-0005-0000-0000-00005D050000}"/>
    <cellStyle name="percentá 2 3 2" xfId="336" xr:uid="{00000000-0005-0000-0000-00005E050000}"/>
    <cellStyle name="percentá 2 3 2 2" xfId="943" xr:uid="{00000000-0005-0000-0000-00005F050000}"/>
    <cellStyle name="percentá 2 3 2 2 2" xfId="1443" xr:uid="{00000000-0005-0000-0000-000060050000}"/>
    <cellStyle name="percentá 2 3 2 3" xfId="954" xr:uid="{00000000-0005-0000-0000-000061050000}"/>
    <cellStyle name="percentá 2 3 2 3 2" xfId="1445" xr:uid="{00000000-0005-0000-0000-000062050000}"/>
    <cellStyle name="percentá 2 3 2 4" xfId="1421" xr:uid="{00000000-0005-0000-0000-000063050000}"/>
    <cellStyle name="percentá 2 3 3" xfId="379" xr:uid="{00000000-0005-0000-0000-000064050000}"/>
    <cellStyle name="percentá 2 3 3 2" xfId="963" xr:uid="{00000000-0005-0000-0000-000065050000}"/>
    <cellStyle name="percentá 2 3 3 2 2" xfId="1449" xr:uid="{00000000-0005-0000-0000-000066050000}"/>
    <cellStyle name="percentá 2 3 3 3" xfId="1097" xr:uid="{00000000-0005-0000-0000-000067050000}"/>
    <cellStyle name="percentá 2 3 3 3 2" xfId="1463" xr:uid="{00000000-0005-0000-0000-000068050000}"/>
    <cellStyle name="percentá 2 3 3 4" xfId="1423" xr:uid="{00000000-0005-0000-0000-000069050000}"/>
    <cellStyle name="percentá 2 3 4" xfId="506" xr:uid="{00000000-0005-0000-0000-00006A050000}"/>
    <cellStyle name="percentá 2 3 4 2" xfId="1008" xr:uid="{00000000-0005-0000-0000-00006B050000}"/>
    <cellStyle name="percentá 2 3 4 2 2" xfId="1455" xr:uid="{00000000-0005-0000-0000-00006C050000}"/>
    <cellStyle name="percentá 2 3 4 3" xfId="1060" xr:uid="{00000000-0005-0000-0000-00006D050000}"/>
    <cellStyle name="percentá 2 3 4 3 2" xfId="1458" xr:uid="{00000000-0005-0000-0000-00006E050000}"/>
    <cellStyle name="percentá 2 3 4 4" xfId="1428" xr:uid="{00000000-0005-0000-0000-00006F050000}"/>
    <cellStyle name="percentá 2 3 5" xfId="793" xr:uid="{00000000-0005-0000-0000-000070050000}"/>
    <cellStyle name="percentá 2 3 5 2" xfId="1437" xr:uid="{00000000-0005-0000-0000-000071050000}"/>
    <cellStyle name="percentá 2 3 6" xfId="1083" xr:uid="{00000000-0005-0000-0000-000072050000}"/>
    <cellStyle name="percentá 2 3 6 2" xfId="1460" xr:uid="{00000000-0005-0000-0000-000073050000}"/>
    <cellStyle name="percentá 2 3 7" xfId="1415" xr:uid="{00000000-0005-0000-0000-000074050000}"/>
    <cellStyle name="percentá 2 3 8" xfId="148" xr:uid="{00000000-0005-0000-0000-000075050000}"/>
    <cellStyle name="Percentá 2 4" xfId="37" xr:uid="{00000000-0005-0000-0000-000076050000}"/>
    <cellStyle name="percentá 2 4 2" xfId="179" xr:uid="{00000000-0005-0000-0000-000077050000}"/>
    <cellStyle name="Percentá 2 5" xfId="49" xr:uid="{00000000-0005-0000-0000-000078050000}"/>
    <cellStyle name="percentá 2 5 2" xfId="1106" xr:uid="{00000000-0005-0000-0000-000079050000}"/>
    <cellStyle name="percentá 2 5 3" xfId="1198" xr:uid="{00000000-0005-0000-0000-00007A050000}"/>
    <cellStyle name="percentá 2 5 4" xfId="776" xr:uid="{00000000-0005-0000-0000-00007B050000}"/>
    <cellStyle name="Percentá 2 6" xfId="50" xr:uid="{00000000-0005-0000-0000-00007C050000}"/>
    <cellStyle name="percentá 2 6 2" xfId="1100" xr:uid="{00000000-0005-0000-0000-00007D050000}"/>
    <cellStyle name="percentá 2 7" xfId="1121" xr:uid="{00000000-0005-0000-0000-00007E050000}"/>
    <cellStyle name="percentá 2 8" xfId="1131" xr:uid="{00000000-0005-0000-0000-00007F050000}"/>
    <cellStyle name="percentá 2 9" xfId="1144" xr:uid="{00000000-0005-0000-0000-000080050000}"/>
    <cellStyle name="Percentá 20" xfId="1337" xr:uid="{00000000-0005-0000-0000-000081050000}"/>
    <cellStyle name="Percentá 21" xfId="1404" xr:uid="{00000000-0005-0000-0000-000082050000}"/>
    <cellStyle name="Percentá 22" xfId="1395" xr:uid="{00000000-0005-0000-0000-000083050000}"/>
    <cellStyle name="Percentá 23" xfId="1353" xr:uid="{00000000-0005-0000-0000-000084050000}"/>
    <cellStyle name="Percentá 24" xfId="1388" xr:uid="{00000000-0005-0000-0000-000085050000}"/>
    <cellStyle name="Percentá 25" xfId="1398" xr:uid="{00000000-0005-0000-0000-000086050000}"/>
    <cellStyle name="Percentá 26" xfId="1399" xr:uid="{00000000-0005-0000-0000-000087050000}"/>
    <cellStyle name="Percentá 27" xfId="1387" xr:uid="{00000000-0005-0000-0000-000088050000}"/>
    <cellStyle name="Percentá 28" xfId="1474" xr:uid="{00000000-0005-0000-0000-000089050000}"/>
    <cellStyle name="Percentá 29" xfId="1400" xr:uid="{00000000-0005-0000-0000-00008A050000}"/>
    <cellStyle name="Percentá 3" xfId="24" xr:uid="{00000000-0005-0000-0000-00008B050000}"/>
    <cellStyle name="percentá 3 10" xfId="1138" xr:uid="{00000000-0005-0000-0000-00008C050000}"/>
    <cellStyle name="percentá 3 11" xfId="1190" xr:uid="{00000000-0005-0000-0000-00008D050000}"/>
    <cellStyle name="percentá 3 12" xfId="151" xr:uid="{00000000-0005-0000-0000-00008E050000}"/>
    <cellStyle name="Percentá 3 2" xfId="27" xr:uid="{00000000-0005-0000-0000-00008F050000}"/>
    <cellStyle name="percentá 3 2 2" xfId="189" xr:uid="{00000000-0005-0000-0000-000090050000}"/>
    <cellStyle name="percentá 3 3" xfId="1114" xr:uid="{00000000-0005-0000-0000-000091050000}"/>
    <cellStyle name="percentá 3 4" xfId="1160" xr:uid="{00000000-0005-0000-0000-000092050000}"/>
    <cellStyle name="percentá 3 5" xfId="1148" xr:uid="{00000000-0005-0000-0000-000093050000}"/>
    <cellStyle name="percentá 3 6" xfId="1145" xr:uid="{00000000-0005-0000-0000-000094050000}"/>
    <cellStyle name="percentá 3 7" xfId="1133" xr:uid="{00000000-0005-0000-0000-000095050000}"/>
    <cellStyle name="percentá 3 8" xfId="1165" xr:uid="{00000000-0005-0000-0000-000096050000}"/>
    <cellStyle name="percentá 3 9" xfId="1156" xr:uid="{00000000-0005-0000-0000-000097050000}"/>
    <cellStyle name="Percentá 30" xfId="1481" xr:uid="{00000000-0005-0000-0000-000098050000}"/>
    <cellStyle name="Percentá 31" xfId="1484" xr:uid="{00000000-0005-0000-0000-000099050000}"/>
    <cellStyle name="Percentá 32" xfId="1482" xr:uid="{00000000-0005-0000-0000-00009A050000}"/>
    <cellStyle name="Percentá 33" xfId="1486" xr:uid="{00000000-0005-0000-0000-00009B050000}"/>
    <cellStyle name="Percentá 34" xfId="1498" xr:uid="{00000000-0005-0000-0000-00009C050000}"/>
    <cellStyle name="Percentá 35" xfId="1502" xr:uid="{4E78E5D7-623B-45AF-B0A9-7ED219350B08}"/>
    <cellStyle name="Percentá 4" xfId="58" xr:uid="{00000000-0005-0000-0000-00009D050000}"/>
    <cellStyle name="percentá 4 2" xfId="159" xr:uid="{00000000-0005-0000-0000-00009E050000}"/>
    <cellStyle name="Percentá 5" xfId="67" xr:uid="{00000000-0005-0000-0000-00009F050000}"/>
    <cellStyle name="percentá 5 2" xfId="173" xr:uid="{00000000-0005-0000-0000-0000A0050000}"/>
    <cellStyle name="Percentá 6" xfId="120" xr:uid="{00000000-0005-0000-0000-0000A1050000}"/>
    <cellStyle name="percentá 6 2" xfId="200" xr:uid="{00000000-0005-0000-0000-0000A2050000}"/>
    <cellStyle name="Percentá 7" xfId="125" xr:uid="{00000000-0005-0000-0000-0000A3050000}"/>
    <cellStyle name="percentá 7 2" xfId="239" xr:uid="{00000000-0005-0000-0000-0000A4050000}"/>
    <cellStyle name="percentá 8" xfId="313" xr:uid="{00000000-0005-0000-0000-0000A5050000}"/>
    <cellStyle name="percentá 9" xfId="315" xr:uid="{00000000-0005-0000-0000-0000A6050000}"/>
    <cellStyle name="percentá 9 2" xfId="493" xr:uid="{00000000-0005-0000-0000-0000A7050000}"/>
    <cellStyle name="percentá 9 2 2" xfId="1426" xr:uid="{00000000-0005-0000-0000-0000A8050000}"/>
    <cellStyle name="percentá 9 3" xfId="630" xr:uid="{00000000-0005-0000-0000-0000A9050000}"/>
    <cellStyle name="percentá 9 3 2" xfId="1431" xr:uid="{00000000-0005-0000-0000-0000AA050000}"/>
    <cellStyle name="percentá 9 4" xfId="769" xr:uid="{00000000-0005-0000-0000-0000AB050000}"/>
    <cellStyle name="percentá 9 4 2" xfId="1433" xr:uid="{00000000-0005-0000-0000-0000AC050000}"/>
    <cellStyle name="percentá 9 5" xfId="936" xr:uid="{00000000-0005-0000-0000-0000AD050000}"/>
    <cellStyle name="percentá 9 5 2" xfId="1440" xr:uid="{00000000-0005-0000-0000-0000AE050000}"/>
    <cellStyle name="percentá 9 6" xfId="986" xr:uid="{00000000-0005-0000-0000-0000AF050000}"/>
    <cellStyle name="percentá 9 6 2" xfId="1451" xr:uid="{00000000-0005-0000-0000-0000B0050000}"/>
    <cellStyle name="percentá 9 7" xfId="1417" xr:uid="{00000000-0005-0000-0000-0000B1050000}"/>
    <cellStyle name="Použité hypertextové prepojenie 2" xfId="47" xr:uid="{00000000-0005-0000-0000-0000B2050000}"/>
    <cellStyle name="Poznámka 2" xfId="116" xr:uid="{00000000-0005-0000-0000-0000B3050000}"/>
    <cellStyle name="Poznámka 2 2" xfId="1320" xr:uid="{00000000-0005-0000-0000-0000B4050000}"/>
    <cellStyle name="Poznámka 3" xfId="1316" xr:uid="{00000000-0005-0000-0000-0000B5050000}"/>
    <cellStyle name="Poznámka 4" xfId="1318" xr:uid="{00000000-0005-0000-0000-0000B6050000}"/>
    <cellStyle name="Poznámka 5" xfId="1317" xr:uid="{00000000-0005-0000-0000-0000B7050000}"/>
    <cellStyle name="Poznámka 6" xfId="1319" xr:uid="{00000000-0005-0000-0000-0000B8050000}"/>
    <cellStyle name="Poznámka 7" xfId="1315" xr:uid="{00000000-0005-0000-0000-0000B9050000}"/>
    <cellStyle name="Prepojená bunka" xfId="86" builtinId="24" customBuiltin="1"/>
    <cellStyle name="Prepojená bunka 2" xfId="1286" xr:uid="{00000000-0005-0000-0000-0000BB050000}"/>
    <cellStyle name="SAPBEXaggData" xfId="135" xr:uid="{00000000-0005-0000-0000-0000BC050000}"/>
    <cellStyle name="Spolu" xfId="90" builtinId="25" customBuiltin="1"/>
    <cellStyle name="Spolu 2" xfId="1290" xr:uid="{00000000-0005-0000-0000-0000BE050000}"/>
    <cellStyle name="Text upozornenia" xfId="88" builtinId="11" customBuiltin="1"/>
    <cellStyle name="Text upozornenia 2" xfId="1288" xr:uid="{00000000-0005-0000-0000-0000C0050000}"/>
    <cellStyle name="Title" xfId="1390" xr:uid="{00000000-0005-0000-0000-0000C1050000}"/>
    <cellStyle name="Titul 2" xfId="1275" xr:uid="{00000000-0005-0000-0000-0000C3050000}"/>
    <cellStyle name="Total" xfId="1346" xr:uid="{00000000-0005-0000-0000-0000C4050000}"/>
    <cellStyle name="Vstup" xfId="83" builtinId="20" customBuiltin="1"/>
    <cellStyle name="Vstup 2" xfId="1283" xr:uid="{00000000-0005-0000-0000-0000C6050000}"/>
    <cellStyle name="Výpočet" xfId="85" builtinId="22" customBuiltin="1"/>
    <cellStyle name="Výpočet 2" xfId="1285" xr:uid="{00000000-0005-0000-0000-0000C8050000}"/>
    <cellStyle name="Výstup" xfId="84" builtinId="21" customBuiltin="1"/>
    <cellStyle name="Výstup 2" xfId="1284" xr:uid="{00000000-0005-0000-0000-0000CA050000}"/>
    <cellStyle name="Vysvetľujúci text" xfId="89" builtinId="53" customBuiltin="1"/>
    <cellStyle name="Vysvetľujúci text 2" xfId="1289" xr:uid="{00000000-0005-0000-0000-0000CC050000}"/>
    <cellStyle name="Warning Text" xfId="1477" xr:uid="{00000000-0005-0000-0000-0000CD050000}"/>
    <cellStyle name="Zlá" xfId="81" builtinId="27" customBuiltin="1"/>
    <cellStyle name="Zlá 2" xfId="39" xr:uid="{00000000-0005-0000-0000-0000CF050000}"/>
    <cellStyle name="Zlá 2 2" xfId="1281" xr:uid="{00000000-0005-0000-0000-0000D0050000}"/>
    <cellStyle name="Zvýraznenie1" xfId="91" builtinId="29" customBuiltin="1"/>
    <cellStyle name="Zvýraznenie1 2" xfId="1291" xr:uid="{00000000-0005-0000-0000-0000D2050000}"/>
    <cellStyle name="Zvýraznenie2" xfId="95" builtinId="33" customBuiltin="1"/>
    <cellStyle name="Zvýraznenie2 2" xfId="1295" xr:uid="{00000000-0005-0000-0000-0000D4050000}"/>
    <cellStyle name="Zvýraznenie3" xfId="99" builtinId="37" customBuiltin="1"/>
    <cellStyle name="Zvýraznenie3 2" xfId="1299" xr:uid="{00000000-0005-0000-0000-0000D6050000}"/>
    <cellStyle name="Zvýraznenie4" xfId="103" builtinId="41" customBuiltin="1"/>
    <cellStyle name="Zvýraznenie4 2" xfId="1303" xr:uid="{00000000-0005-0000-0000-0000D8050000}"/>
    <cellStyle name="Zvýraznenie5" xfId="107" builtinId="45" customBuiltin="1"/>
    <cellStyle name="Zvýraznenie5 2" xfId="1307" xr:uid="{00000000-0005-0000-0000-0000DA050000}"/>
    <cellStyle name="Zvýraznenie6" xfId="111" builtinId="49" customBuiltin="1"/>
    <cellStyle name="Zvýraznenie6 2" xfId="1311" xr:uid="{00000000-0005-0000-0000-0000DC050000}"/>
  </cellStyles>
  <dxfs count="0"/>
  <tableStyles count="0" defaultTableStyle="TableStyleMedium2" defaultPivotStyle="PivotStyleMedium9"/>
  <colors>
    <mruColors>
      <color rgb="FFFF7575"/>
      <color rgb="FF676868"/>
      <color rgb="FF686767"/>
      <color rgb="FFDDEDFA"/>
      <color rgb="FFC3C2C2"/>
      <color rgb="FFA6A6A6"/>
      <color rgb="FF2EAAE1"/>
      <color rgb="FFA9DAF0"/>
      <color rgb="FF7FC8E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79.xml"/><Relationship Id="rId21" Type="http://schemas.openxmlformats.org/officeDocument/2006/relationships/worksheet" Target="worksheets/sheet21.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63" Type="http://schemas.openxmlformats.org/officeDocument/2006/relationships/externalLink" Target="externalLinks/externalLink25.xml"/><Relationship Id="rId68" Type="http://schemas.openxmlformats.org/officeDocument/2006/relationships/externalLink" Target="externalLinks/externalLink30.xml"/><Relationship Id="rId84" Type="http://schemas.openxmlformats.org/officeDocument/2006/relationships/externalLink" Target="externalLinks/externalLink46.xml"/><Relationship Id="rId89" Type="http://schemas.openxmlformats.org/officeDocument/2006/relationships/externalLink" Target="externalLinks/externalLink51.xml"/><Relationship Id="rId112" Type="http://schemas.openxmlformats.org/officeDocument/2006/relationships/externalLink" Target="externalLinks/externalLink74.xml"/><Relationship Id="rId16" Type="http://schemas.openxmlformats.org/officeDocument/2006/relationships/worksheet" Target="worksheets/sheet16.xml"/><Relationship Id="rId107" Type="http://schemas.openxmlformats.org/officeDocument/2006/relationships/externalLink" Target="externalLinks/externalLink69.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74" Type="http://schemas.openxmlformats.org/officeDocument/2006/relationships/externalLink" Target="externalLinks/externalLink36.xml"/><Relationship Id="rId79" Type="http://schemas.openxmlformats.org/officeDocument/2006/relationships/externalLink" Target="externalLinks/externalLink41.xml"/><Relationship Id="rId102" Type="http://schemas.openxmlformats.org/officeDocument/2006/relationships/externalLink" Target="externalLinks/externalLink64.xml"/><Relationship Id="rId123" Type="http://schemas.openxmlformats.org/officeDocument/2006/relationships/externalLink" Target="externalLinks/externalLink85.xml"/><Relationship Id="rId128"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52.xml"/><Relationship Id="rId95" Type="http://schemas.openxmlformats.org/officeDocument/2006/relationships/externalLink" Target="externalLinks/externalLink57.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64" Type="http://schemas.openxmlformats.org/officeDocument/2006/relationships/externalLink" Target="externalLinks/externalLink26.xml"/><Relationship Id="rId69" Type="http://schemas.openxmlformats.org/officeDocument/2006/relationships/externalLink" Target="externalLinks/externalLink31.xml"/><Relationship Id="rId113" Type="http://schemas.openxmlformats.org/officeDocument/2006/relationships/externalLink" Target="externalLinks/externalLink75.xml"/><Relationship Id="rId118" Type="http://schemas.openxmlformats.org/officeDocument/2006/relationships/externalLink" Target="externalLinks/externalLink80.xml"/><Relationship Id="rId80" Type="http://schemas.openxmlformats.org/officeDocument/2006/relationships/externalLink" Target="externalLinks/externalLink42.xml"/><Relationship Id="rId85" Type="http://schemas.openxmlformats.org/officeDocument/2006/relationships/externalLink" Target="externalLinks/externalLink4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externalLink" Target="externalLinks/externalLink21.xml"/><Relationship Id="rId103" Type="http://schemas.openxmlformats.org/officeDocument/2006/relationships/externalLink" Target="externalLinks/externalLink65.xml"/><Relationship Id="rId108" Type="http://schemas.openxmlformats.org/officeDocument/2006/relationships/externalLink" Target="externalLinks/externalLink70.xml"/><Relationship Id="rId124" Type="http://schemas.openxmlformats.org/officeDocument/2006/relationships/externalLink" Target="externalLinks/externalLink86.xml"/><Relationship Id="rId54" Type="http://schemas.openxmlformats.org/officeDocument/2006/relationships/externalLink" Target="externalLinks/externalLink16.xml"/><Relationship Id="rId70" Type="http://schemas.openxmlformats.org/officeDocument/2006/relationships/externalLink" Target="externalLinks/externalLink32.xml"/><Relationship Id="rId75" Type="http://schemas.openxmlformats.org/officeDocument/2006/relationships/externalLink" Target="externalLinks/externalLink37.xml"/><Relationship Id="rId91" Type="http://schemas.openxmlformats.org/officeDocument/2006/relationships/externalLink" Target="externalLinks/externalLink53.xml"/><Relationship Id="rId96" Type="http://schemas.openxmlformats.org/officeDocument/2006/relationships/externalLink" Target="externalLinks/externalLink58.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externalLink" Target="externalLinks/externalLink11.xml"/><Relationship Id="rId114" Type="http://schemas.openxmlformats.org/officeDocument/2006/relationships/externalLink" Target="externalLinks/externalLink76.xml"/><Relationship Id="rId119" Type="http://schemas.openxmlformats.org/officeDocument/2006/relationships/externalLink" Target="externalLinks/externalLink81.xml"/><Relationship Id="rId44" Type="http://schemas.openxmlformats.org/officeDocument/2006/relationships/externalLink" Target="externalLinks/externalLink6.xml"/><Relationship Id="rId60" Type="http://schemas.openxmlformats.org/officeDocument/2006/relationships/externalLink" Target="externalLinks/externalLink22.xml"/><Relationship Id="rId65" Type="http://schemas.openxmlformats.org/officeDocument/2006/relationships/externalLink" Target="externalLinks/externalLink27.xml"/><Relationship Id="rId81" Type="http://schemas.openxmlformats.org/officeDocument/2006/relationships/externalLink" Target="externalLinks/externalLink43.xml"/><Relationship Id="rId86" Type="http://schemas.openxmlformats.org/officeDocument/2006/relationships/externalLink" Target="externalLinks/externalLink4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xml"/><Relationship Id="rId109" Type="http://schemas.openxmlformats.org/officeDocument/2006/relationships/externalLink" Target="externalLinks/externalLink71.xml"/><Relationship Id="rId34" Type="http://schemas.openxmlformats.org/officeDocument/2006/relationships/worksheet" Target="worksheets/sheet34.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76" Type="http://schemas.openxmlformats.org/officeDocument/2006/relationships/externalLink" Target="externalLinks/externalLink38.xml"/><Relationship Id="rId97" Type="http://schemas.openxmlformats.org/officeDocument/2006/relationships/externalLink" Target="externalLinks/externalLink59.xml"/><Relationship Id="rId104" Type="http://schemas.openxmlformats.org/officeDocument/2006/relationships/externalLink" Target="externalLinks/externalLink66.xml"/><Relationship Id="rId120" Type="http://schemas.openxmlformats.org/officeDocument/2006/relationships/externalLink" Target="externalLinks/externalLink82.xml"/><Relationship Id="rId125"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33.xml"/><Relationship Id="rId92" Type="http://schemas.openxmlformats.org/officeDocument/2006/relationships/externalLink" Target="externalLinks/externalLink5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66" Type="http://schemas.openxmlformats.org/officeDocument/2006/relationships/externalLink" Target="externalLinks/externalLink28.xml"/><Relationship Id="rId87" Type="http://schemas.openxmlformats.org/officeDocument/2006/relationships/externalLink" Target="externalLinks/externalLink49.xml"/><Relationship Id="rId110" Type="http://schemas.openxmlformats.org/officeDocument/2006/relationships/externalLink" Target="externalLinks/externalLink72.xml"/><Relationship Id="rId115" Type="http://schemas.openxmlformats.org/officeDocument/2006/relationships/externalLink" Target="externalLinks/externalLink77.xml"/><Relationship Id="rId61" Type="http://schemas.openxmlformats.org/officeDocument/2006/relationships/externalLink" Target="externalLinks/externalLink23.xml"/><Relationship Id="rId82" Type="http://schemas.openxmlformats.org/officeDocument/2006/relationships/externalLink" Target="externalLinks/externalLink4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18.xml"/><Relationship Id="rId77" Type="http://schemas.openxmlformats.org/officeDocument/2006/relationships/externalLink" Target="externalLinks/externalLink39.xml"/><Relationship Id="rId100" Type="http://schemas.openxmlformats.org/officeDocument/2006/relationships/externalLink" Target="externalLinks/externalLink62.xml"/><Relationship Id="rId105" Type="http://schemas.openxmlformats.org/officeDocument/2006/relationships/externalLink" Target="externalLinks/externalLink67.xml"/><Relationship Id="rId12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3.xml"/><Relationship Id="rId72" Type="http://schemas.openxmlformats.org/officeDocument/2006/relationships/externalLink" Target="externalLinks/externalLink34.xml"/><Relationship Id="rId93" Type="http://schemas.openxmlformats.org/officeDocument/2006/relationships/externalLink" Target="externalLinks/externalLink55.xml"/><Relationship Id="rId98" Type="http://schemas.openxmlformats.org/officeDocument/2006/relationships/externalLink" Target="externalLinks/externalLink60.xml"/><Relationship Id="rId121" Type="http://schemas.openxmlformats.org/officeDocument/2006/relationships/externalLink" Target="externalLinks/externalLink8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8.xml"/><Relationship Id="rId67" Type="http://schemas.openxmlformats.org/officeDocument/2006/relationships/externalLink" Target="externalLinks/externalLink29.xml"/><Relationship Id="rId116" Type="http://schemas.openxmlformats.org/officeDocument/2006/relationships/externalLink" Target="externalLinks/externalLink78.xml"/><Relationship Id="rId20" Type="http://schemas.openxmlformats.org/officeDocument/2006/relationships/worksheet" Target="worksheets/sheet20.xml"/><Relationship Id="rId41" Type="http://schemas.openxmlformats.org/officeDocument/2006/relationships/externalLink" Target="externalLinks/externalLink3.xml"/><Relationship Id="rId62" Type="http://schemas.openxmlformats.org/officeDocument/2006/relationships/externalLink" Target="externalLinks/externalLink24.xml"/><Relationship Id="rId83" Type="http://schemas.openxmlformats.org/officeDocument/2006/relationships/externalLink" Target="externalLinks/externalLink45.xml"/><Relationship Id="rId88" Type="http://schemas.openxmlformats.org/officeDocument/2006/relationships/externalLink" Target="externalLinks/externalLink50.xml"/><Relationship Id="rId111" Type="http://schemas.openxmlformats.org/officeDocument/2006/relationships/externalLink" Target="externalLinks/externalLink7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externalLink" Target="externalLinks/externalLink19.xml"/><Relationship Id="rId106" Type="http://schemas.openxmlformats.org/officeDocument/2006/relationships/externalLink" Target="externalLinks/externalLink68.xml"/><Relationship Id="rId12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externalLink" Target="externalLinks/externalLink14.xml"/><Relationship Id="rId73" Type="http://schemas.openxmlformats.org/officeDocument/2006/relationships/externalLink" Target="externalLinks/externalLink35.xml"/><Relationship Id="rId78" Type="http://schemas.openxmlformats.org/officeDocument/2006/relationships/externalLink" Target="externalLinks/externalLink40.xml"/><Relationship Id="rId94" Type="http://schemas.openxmlformats.org/officeDocument/2006/relationships/externalLink" Target="externalLinks/externalLink56.xml"/><Relationship Id="rId99" Type="http://schemas.openxmlformats.org/officeDocument/2006/relationships/externalLink" Target="externalLinks/externalLink61.xml"/><Relationship Id="rId101" Type="http://schemas.openxmlformats.org/officeDocument/2006/relationships/externalLink" Target="externalLinks/externalLink63.xml"/><Relationship Id="rId122" Type="http://schemas.openxmlformats.org/officeDocument/2006/relationships/externalLink" Target="externalLinks/externalLink84.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2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5.xml"/><Relationship Id="rId1" Type="http://schemas.microsoft.com/office/2011/relationships/chartStyle" Target="style25.xml"/><Relationship Id="rId4"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6.xml"/><Relationship Id="rId1" Type="http://schemas.microsoft.com/office/2011/relationships/chartStyle" Target="style26.xml"/><Relationship Id="rId4" Type="http://schemas.openxmlformats.org/officeDocument/2006/relationships/chartUserShapes" Target="../drawings/drawing16.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33.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6.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1.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2.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3.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37.xml"/><Relationship Id="rId1" Type="http://schemas.microsoft.com/office/2011/relationships/chartStyle" Target="style37.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38.xml"/><Relationship Id="rId1" Type="http://schemas.microsoft.com/office/2011/relationships/chartStyle" Target="style38.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0.28873294983204817"/>
          <c:w val="0.88681971843441276"/>
          <c:h val="0.56976232893168144"/>
        </c:manualLayout>
      </c:layout>
      <c:barChart>
        <c:barDir val="col"/>
        <c:grouping val="clustered"/>
        <c:varyColors val="0"/>
        <c:ser>
          <c:idx val="0"/>
          <c:order val="2"/>
          <c:tx>
            <c:strRef>
              <c:f>Zhrnutie!$A$22</c:f>
              <c:strCache>
                <c:ptCount val="1"/>
                <c:pt idx="0">
                  <c:v>Návrh rozpočtu verejnej správy (bez ďalších opatrení)</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70C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Zhrnutie!$B$21:$F$21</c:f>
              <c:numCache>
                <c:formatCode>General</c:formatCode>
                <c:ptCount val="5"/>
                <c:pt idx="0">
                  <c:v>2023</c:v>
                </c:pt>
                <c:pt idx="1">
                  <c:v>2024</c:v>
                </c:pt>
                <c:pt idx="2">
                  <c:v>2025</c:v>
                </c:pt>
                <c:pt idx="3">
                  <c:v>2026</c:v>
                </c:pt>
                <c:pt idx="4">
                  <c:v>2027</c:v>
                </c:pt>
              </c:numCache>
            </c:numRef>
          </c:cat>
          <c:val>
            <c:numRef>
              <c:f>Zhrnutie!$B$22:$F$22</c:f>
              <c:numCache>
                <c:formatCode>0.0</c:formatCode>
                <c:ptCount val="5"/>
                <c:pt idx="0">
                  <c:v>-4.8934746579132851</c:v>
                </c:pt>
                <c:pt idx="1">
                  <c:v>-5.7853712374767481</c:v>
                </c:pt>
                <c:pt idx="2">
                  <c:v>-4.72</c:v>
                </c:pt>
                <c:pt idx="3">
                  <c:v>-4.16</c:v>
                </c:pt>
                <c:pt idx="4">
                  <c:v>-4.87</c:v>
                </c:pt>
              </c:numCache>
            </c:numRef>
          </c:val>
          <c:extLst>
            <c:ext xmlns:c16="http://schemas.microsoft.com/office/drawing/2014/chart" uri="{C3380CC4-5D6E-409C-BE32-E72D297353CC}">
              <c16:uniqueId val="{00000002-716B-45B5-8976-5D69AC7090F1}"/>
            </c:ext>
          </c:extLst>
        </c:ser>
        <c:dLbls>
          <c:showLegendKey val="0"/>
          <c:showVal val="0"/>
          <c:showCatName val="0"/>
          <c:showSerName val="0"/>
          <c:showPercent val="0"/>
          <c:showBubbleSize val="0"/>
        </c:dLbls>
        <c:gapWidth val="150"/>
        <c:axId val="557539920"/>
        <c:axId val="561011080"/>
      </c:barChart>
      <c:lineChart>
        <c:grouping val="standard"/>
        <c:varyColors val="0"/>
        <c:ser>
          <c:idx val="1"/>
          <c:order val="0"/>
          <c:tx>
            <c:strRef>
              <c:f>Zhrnutie!$A$23</c:f>
              <c:strCache>
                <c:ptCount val="1"/>
                <c:pt idx="0">
                  <c:v>Ciele rozpočtu verejnej správy</c:v>
                </c:pt>
              </c:strCache>
            </c:strRef>
          </c:tx>
          <c:spPr>
            <a:ln w="28575" cap="rnd">
              <a:noFill/>
              <a:round/>
            </a:ln>
            <a:effectLst/>
          </c:spPr>
          <c:marker>
            <c:symbol val="diamond"/>
            <c:size val="5"/>
            <c:spPr>
              <a:solidFill>
                <a:srgbClr val="002060"/>
              </a:solidFill>
              <a:ln w="9525">
                <a:noFill/>
              </a:ln>
              <a:effectLst/>
            </c:spPr>
          </c:marker>
          <c:dLbls>
            <c:spPr>
              <a:solidFill>
                <a:srgbClr val="FFFFFF"/>
              </a:solidFill>
              <a:ln>
                <a:solidFill>
                  <a:srgbClr val="002060"/>
                </a:solidFill>
              </a:ln>
              <a:effectLst/>
            </c:spPr>
            <c:txPr>
              <a:bodyPr rot="0" spcFirstLastPara="1" vertOverflow="ellipsis" vert="horz" wrap="square" anchor="ctr" anchorCtr="1"/>
              <a:lstStyle/>
              <a:p>
                <a:pPr>
                  <a:defRPr sz="900" b="0" i="0" u="none" strike="noStrike" kern="1200" baseline="0">
                    <a:solidFill>
                      <a:srgbClr val="00206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Zhrnutie!$B$21:$F$21</c:f>
              <c:numCache>
                <c:formatCode>General</c:formatCode>
                <c:ptCount val="5"/>
                <c:pt idx="0">
                  <c:v>2023</c:v>
                </c:pt>
                <c:pt idx="1">
                  <c:v>2024</c:v>
                </c:pt>
                <c:pt idx="2">
                  <c:v>2025</c:v>
                </c:pt>
                <c:pt idx="3">
                  <c:v>2026</c:v>
                </c:pt>
                <c:pt idx="4">
                  <c:v>2027</c:v>
                </c:pt>
              </c:numCache>
            </c:numRef>
          </c:cat>
          <c:val>
            <c:numRef>
              <c:f>Zhrnutie!$B$23:$F$23</c:f>
              <c:numCache>
                <c:formatCode>0.0</c:formatCode>
                <c:ptCount val="5"/>
                <c:pt idx="2">
                  <c:v>-4.72</c:v>
                </c:pt>
                <c:pt idx="3">
                  <c:v>-3.72</c:v>
                </c:pt>
                <c:pt idx="4">
                  <c:v>-3</c:v>
                </c:pt>
              </c:numCache>
            </c:numRef>
          </c:val>
          <c:smooth val="0"/>
          <c:extLst>
            <c:ext xmlns:c16="http://schemas.microsoft.com/office/drawing/2014/chart" uri="{C3380CC4-5D6E-409C-BE32-E72D297353CC}">
              <c16:uniqueId val="{00000000-716B-45B5-8976-5D69AC7090F1}"/>
            </c:ext>
          </c:extLst>
        </c:ser>
        <c:ser>
          <c:idx val="2"/>
          <c:order val="1"/>
          <c:tx>
            <c:strRef>
              <c:f>Zhrnutie!#REF!</c:f>
              <c:strCache>
                <c:ptCount val="1"/>
                <c:pt idx="0">
                  <c:v>#REF!</c:v>
                </c:pt>
              </c:strCache>
            </c:strRef>
          </c:tx>
          <c:spPr>
            <a:ln w="28575" cap="rnd">
              <a:solidFill>
                <a:srgbClr val="FF0000"/>
              </a:solidFill>
              <a:round/>
            </a:ln>
            <a:effectLst/>
          </c:spPr>
          <c:marker>
            <c:symbol val="none"/>
          </c:marker>
          <c:cat>
            <c:numRef>
              <c:f>Zhrnutie!$B$21:$F$21</c:f>
              <c:numCache>
                <c:formatCode>General</c:formatCode>
                <c:ptCount val="5"/>
                <c:pt idx="0">
                  <c:v>2023</c:v>
                </c:pt>
                <c:pt idx="1">
                  <c:v>2024</c:v>
                </c:pt>
                <c:pt idx="2">
                  <c:v>2025</c:v>
                </c:pt>
                <c:pt idx="3">
                  <c:v>2026</c:v>
                </c:pt>
                <c:pt idx="4">
                  <c:v>2027</c:v>
                </c:pt>
              </c:numCache>
            </c:numRef>
          </c:cat>
          <c:val>
            <c:numRef>
              <c:f>Zhrnutie!#REF!</c:f>
              <c:numCache>
                <c:formatCode>General</c:formatCode>
                <c:ptCount val="1"/>
                <c:pt idx="0">
                  <c:v>1</c:v>
                </c:pt>
              </c:numCache>
            </c:numRef>
          </c:val>
          <c:smooth val="0"/>
          <c:extLst>
            <c:ext xmlns:c16="http://schemas.microsoft.com/office/drawing/2014/chart" uri="{C3380CC4-5D6E-409C-BE32-E72D297353CC}">
              <c16:uniqueId val="{00000008-26F5-49DC-B5AC-D977A7E20429}"/>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t"/>
        <c:numFmt formatCode="General" sourceLinked="1"/>
        <c:majorTickMark val="none"/>
        <c:minorTickMark val="none"/>
        <c:tickLblPos val="high"/>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axMin"/>
          <c:max val="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legend>
      <c:legendPos val="b"/>
      <c:legendEntry>
        <c:idx val="2"/>
        <c:delete val="1"/>
      </c:legendEntry>
      <c:layout>
        <c:manualLayout>
          <c:xMode val="edge"/>
          <c:yMode val="edge"/>
          <c:x val="7.5020225609905761E-2"/>
          <c:y val="5.3652442929169935E-3"/>
          <c:w val="0.73098179069932212"/>
          <c:h val="0.1983196688042860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 3'!$D$4</c:f>
              <c:strCache>
                <c:ptCount val="1"/>
                <c:pt idx="0">
                  <c:v>Zamestnanosť cudzincov</c:v>
                </c:pt>
              </c:strCache>
            </c:strRef>
          </c:tx>
          <c:spPr>
            <a:solidFill>
              <a:schemeClr val="bg1">
                <a:lumMod val="75000"/>
              </a:schemeClr>
            </a:solidFill>
            <a:ln>
              <a:noFill/>
            </a:ln>
            <a:effectLst/>
          </c:spPr>
          <c:invertIfNegative val="0"/>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3'!$F$4:$L$4</c:f>
              <c:numCache>
                <c:formatCode>0.0</c:formatCode>
                <c:ptCount val="7"/>
                <c:pt idx="0">
                  <c:v>0.47827472966396839</c:v>
                </c:pt>
                <c:pt idx="1">
                  <c:v>0.70462123094124873</c:v>
                </c:pt>
                <c:pt idx="2">
                  <c:v>0.38353783845742334</c:v>
                </c:pt>
                <c:pt idx="3">
                  <c:v>0.58921551942395933</c:v>
                </c:pt>
                <c:pt idx="4">
                  <c:v>0.37288490807704483</c:v>
                </c:pt>
                <c:pt idx="5">
                  <c:v>0.25708584522012295</c:v>
                </c:pt>
                <c:pt idx="6">
                  <c:v>0.23028323467269565</c:v>
                </c:pt>
              </c:numCache>
            </c:numRef>
          </c:val>
          <c:extLst>
            <c:ext xmlns:c16="http://schemas.microsoft.com/office/drawing/2014/chart" uri="{C3380CC4-5D6E-409C-BE32-E72D297353CC}">
              <c16:uniqueId val="{00000000-FE49-429B-A47E-9F72B1764216}"/>
            </c:ext>
          </c:extLst>
        </c:ser>
        <c:ser>
          <c:idx val="1"/>
          <c:order val="1"/>
          <c:tx>
            <c:strRef>
              <c:f>'Graf 3'!$D$5</c:f>
              <c:strCache>
                <c:ptCount val="1"/>
                <c:pt idx="0">
                  <c:v>Domáca zamestnanosť</c:v>
                </c:pt>
              </c:strCache>
            </c:strRef>
          </c:tx>
          <c:spPr>
            <a:solidFill>
              <a:srgbClr val="2C9ADC"/>
            </a:solidFill>
            <a:ln>
              <a:noFill/>
            </a:ln>
            <a:effectLst/>
          </c:spPr>
          <c:invertIfNegative val="0"/>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3'!$F$5:$L$5</c:f>
              <c:numCache>
                <c:formatCode>0.0</c:formatCode>
                <c:ptCount val="7"/>
                <c:pt idx="0">
                  <c:v>1.2901493063795459</c:v>
                </c:pt>
                <c:pt idx="1">
                  <c:v>-0.42608094518304895</c:v>
                </c:pt>
                <c:pt idx="2">
                  <c:v>-0.48637698068927088</c:v>
                </c:pt>
                <c:pt idx="3">
                  <c:v>-0.17318202713522279</c:v>
                </c:pt>
                <c:pt idx="4">
                  <c:v>-0.17005665962183353</c:v>
                </c:pt>
                <c:pt idx="5">
                  <c:v>-0.20551100197902511</c:v>
                </c:pt>
                <c:pt idx="6">
                  <c:v>-0.38059836680400239</c:v>
                </c:pt>
              </c:numCache>
            </c:numRef>
          </c:val>
          <c:extLst>
            <c:ext xmlns:c16="http://schemas.microsoft.com/office/drawing/2014/chart" uri="{C3380CC4-5D6E-409C-BE32-E72D297353CC}">
              <c16:uniqueId val="{00000001-FE49-429B-A47E-9F72B1764216}"/>
            </c:ext>
          </c:extLst>
        </c:ser>
        <c:dLbls>
          <c:showLegendKey val="0"/>
          <c:showVal val="0"/>
          <c:showCatName val="0"/>
          <c:showSerName val="0"/>
          <c:showPercent val="0"/>
          <c:showBubbleSize val="0"/>
        </c:dLbls>
        <c:gapWidth val="150"/>
        <c:overlap val="100"/>
        <c:axId val="2144281183"/>
        <c:axId val="2144287423"/>
      </c:barChart>
      <c:lineChart>
        <c:grouping val="standard"/>
        <c:varyColors val="0"/>
        <c:ser>
          <c:idx val="2"/>
          <c:order val="2"/>
          <c:tx>
            <c:strRef>
              <c:f>'Graf 3'!$D$6</c:f>
              <c:strCache>
                <c:ptCount val="1"/>
                <c:pt idx="0">
                  <c:v>Rast zamestnanosti</c:v>
                </c:pt>
              </c:strCache>
            </c:strRef>
          </c:tx>
          <c:spPr>
            <a:ln w="28575" cap="rnd">
              <a:solidFill>
                <a:schemeClr val="tx1"/>
              </a:solidFill>
              <a:round/>
            </a:ln>
            <a:effectLst/>
          </c:spPr>
          <c:marker>
            <c:symbol val="none"/>
          </c:marker>
          <c:dLbls>
            <c:dLbl>
              <c:idx val="0"/>
              <c:layout>
                <c:manualLayout>
                  <c:x val="-3.6111111111111108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49-429B-A47E-9F72B1764216}"/>
                </c:ext>
              </c:extLst>
            </c:dLbl>
            <c:dLbl>
              <c:idx val="1"/>
              <c:layout>
                <c:manualLayout>
                  <c:x val="-2.5000000000000001E-2"/>
                  <c:y val="-0.1620370370370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49-429B-A47E-9F72B1764216}"/>
                </c:ext>
              </c:extLst>
            </c:dLbl>
            <c:dLbl>
              <c:idx val="2"/>
              <c:layout>
                <c:manualLayout>
                  <c:x val="-4.1666666666666664E-2"/>
                  <c:y val="0.152777777777777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49-429B-A47E-9F72B1764216}"/>
                </c:ext>
              </c:extLst>
            </c:dLbl>
            <c:dLbl>
              <c:idx val="3"/>
              <c:layout>
                <c:manualLayout>
                  <c:x val="-4.166666666666666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49-429B-A47E-9F72B1764216}"/>
                </c:ext>
              </c:extLst>
            </c:dLbl>
            <c:dLbl>
              <c:idx val="4"/>
              <c:layout>
                <c:manualLayout>
                  <c:x val="-3.3333333333333437E-2"/>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49-429B-A47E-9F72B1764216}"/>
                </c:ext>
              </c:extLst>
            </c:dLbl>
            <c:dLbl>
              <c:idx val="5"/>
              <c:layout>
                <c:manualLayout>
                  <c:x val="-3.3333333333333437E-2"/>
                  <c:y val="-9.7222222222222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49-429B-A47E-9F72B1764216}"/>
                </c:ext>
              </c:extLst>
            </c:dLbl>
            <c:dLbl>
              <c:idx val="6"/>
              <c:layout>
                <c:manualLayout>
                  <c:x val="-3.6111111111111316E-2"/>
                  <c:y val="0.106481481481481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E49-429B-A47E-9F72B1764216}"/>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3'!$F$6:$L$6</c:f>
              <c:numCache>
                <c:formatCode>0.0</c:formatCode>
                <c:ptCount val="7"/>
                <c:pt idx="0">
                  <c:v>1.7684240360435144</c:v>
                </c:pt>
                <c:pt idx="1">
                  <c:v>0.27854028575819978</c:v>
                </c:pt>
                <c:pt idx="2">
                  <c:v>-0.10283914223184754</c:v>
                </c:pt>
                <c:pt idx="3">
                  <c:v>0.41603349228873654</c:v>
                </c:pt>
                <c:pt idx="4">
                  <c:v>0.2028282484552113</c:v>
                </c:pt>
                <c:pt idx="5">
                  <c:v>5.1574843241097845E-2</c:v>
                </c:pt>
                <c:pt idx="6">
                  <c:v>-0.15031513213130676</c:v>
                </c:pt>
              </c:numCache>
            </c:numRef>
          </c:val>
          <c:smooth val="0"/>
          <c:extLst>
            <c:ext xmlns:c16="http://schemas.microsoft.com/office/drawing/2014/chart" uri="{C3380CC4-5D6E-409C-BE32-E72D297353CC}">
              <c16:uniqueId val="{00000009-FE49-429B-A47E-9F72B1764216}"/>
            </c:ext>
          </c:extLst>
        </c:ser>
        <c:dLbls>
          <c:showLegendKey val="0"/>
          <c:showVal val="0"/>
          <c:showCatName val="0"/>
          <c:showSerName val="0"/>
          <c:showPercent val="0"/>
          <c:showBubbleSize val="0"/>
        </c:dLbls>
        <c:marker val="1"/>
        <c:smooth val="0"/>
        <c:axId val="2144281183"/>
        <c:axId val="2144287423"/>
      </c:lineChart>
      <c:catAx>
        <c:axId val="2144281183"/>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144287423"/>
        <c:crosses val="autoZero"/>
        <c:auto val="1"/>
        <c:lblAlgn val="ctr"/>
        <c:lblOffset val="100"/>
        <c:noMultiLvlLbl val="0"/>
      </c:catAx>
      <c:valAx>
        <c:axId val="2144287423"/>
        <c:scaling>
          <c:orientation val="minMax"/>
        </c:scaling>
        <c:delete val="0"/>
        <c:axPos val="l"/>
        <c:majorGridlines>
          <c:spPr>
            <a:ln w="3175" cap="flat" cmpd="sng" algn="ctr">
              <a:solidFill>
                <a:srgbClr val="686767">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144281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7121314891892E-2"/>
          <c:y val="5.0925925925925923E-2"/>
          <c:w val="0.92708287868510864"/>
          <c:h val="0.89814814814814814"/>
        </c:manualLayout>
      </c:layout>
      <c:barChart>
        <c:barDir val="col"/>
        <c:grouping val="stacked"/>
        <c:varyColors val="0"/>
        <c:ser>
          <c:idx val="1"/>
          <c:order val="1"/>
          <c:tx>
            <c:strRef>
              <c:f>'Graf 4'!$C$5</c:f>
              <c:strCache>
                <c:ptCount val="1"/>
                <c:pt idx="0">
                  <c:v>Čistá inflácia</c:v>
                </c:pt>
              </c:strCache>
            </c:strRef>
          </c:tx>
          <c:spPr>
            <a:solidFill>
              <a:srgbClr val="2C9ADC"/>
            </a:solidFill>
            <a:ln>
              <a:noFill/>
            </a:ln>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4'!$J$5:$Q$5</c:f>
              <c:numCache>
                <c:formatCode>0.0</c:formatCode>
                <c:ptCount val="8"/>
                <c:pt idx="0">
                  <c:v>2.7307937029223668</c:v>
                </c:pt>
                <c:pt idx="1">
                  <c:v>6.999556153255619</c:v>
                </c:pt>
                <c:pt idx="2">
                  <c:v>6.4392974719613871</c:v>
                </c:pt>
                <c:pt idx="3">
                  <c:v>2.2478883812506947</c:v>
                </c:pt>
                <c:pt idx="4">
                  <c:v>1.626613262034903</c:v>
                </c:pt>
                <c:pt idx="5">
                  <c:v>1.6038083603532474</c:v>
                </c:pt>
                <c:pt idx="6">
                  <c:v>1.5994538897231902</c:v>
                </c:pt>
                <c:pt idx="7">
                  <c:v>1.7166925824239023</c:v>
                </c:pt>
              </c:numCache>
            </c:numRef>
          </c:val>
          <c:extLst>
            <c:ext xmlns:c16="http://schemas.microsoft.com/office/drawing/2014/chart" uri="{C3380CC4-5D6E-409C-BE32-E72D297353CC}">
              <c16:uniqueId val="{00000000-E010-4040-BFE1-3565FC46FF9B}"/>
            </c:ext>
          </c:extLst>
        </c:ser>
        <c:ser>
          <c:idx val="2"/>
          <c:order val="2"/>
          <c:tx>
            <c:strRef>
              <c:f>'Graf 4'!$C$6</c:f>
              <c:strCache>
                <c:ptCount val="1"/>
                <c:pt idx="0">
                  <c:v>Ceny potravín</c:v>
                </c:pt>
              </c:strCache>
            </c:strRef>
          </c:tx>
          <c:spPr>
            <a:solidFill>
              <a:srgbClr val="7F7F7F"/>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4'!$J$6:$Q$6</c:f>
              <c:numCache>
                <c:formatCode>0.0</c:formatCode>
                <c:ptCount val="8"/>
                <c:pt idx="0">
                  <c:v>0.35911003830834964</c:v>
                </c:pt>
                <c:pt idx="1">
                  <c:v>3.6248616420760778</c:v>
                </c:pt>
                <c:pt idx="2">
                  <c:v>3.3012852628051901</c:v>
                </c:pt>
                <c:pt idx="3">
                  <c:v>0.35815164994610027</c:v>
                </c:pt>
                <c:pt idx="4">
                  <c:v>0.75951691031612467</c:v>
                </c:pt>
                <c:pt idx="5">
                  <c:v>0.76283764943688737</c:v>
                </c:pt>
                <c:pt idx="6">
                  <c:v>0.68056990258704875</c:v>
                </c:pt>
                <c:pt idx="7">
                  <c:v>0.58853213658345938</c:v>
                </c:pt>
              </c:numCache>
            </c:numRef>
          </c:val>
          <c:extLst>
            <c:ext xmlns:c16="http://schemas.microsoft.com/office/drawing/2014/chart" uri="{C3380CC4-5D6E-409C-BE32-E72D297353CC}">
              <c16:uniqueId val="{00000001-E010-4040-BFE1-3565FC46FF9B}"/>
            </c:ext>
          </c:extLst>
        </c:ser>
        <c:ser>
          <c:idx val="3"/>
          <c:order val="3"/>
          <c:tx>
            <c:strRef>
              <c:f>'Graf 4'!$C$7</c:f>
              <c:strCache>
                <c:ptCount val="1"/>
                <c:pt idx="0">
                  <c:v>Regulované ceny</c:v>
                </c:pt>
              </c:strCache>
            </c:strRef>
          </c:tx>
          <c:spPr>
            <a:solidFill>
              <a:srgbClr val="C6D9F1"/>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4'!$J$7:$Q$7</c:f>
              <c:numCache>
                <c:formatCode>0.0</c:formatCode>
                <c:ptCount val="8"/>
                <c:pt idx="0">
                  <c:v>-0.11301965904529207</c:v>
                </c:pt>
                <c:pt idx="1">
                  <c:v>2.1186264998737663</c:v>
                </c:pt>
                <c:pt idx="2">
                  <c:v>1.3720798703273509</c:v>
                </c:pt>
                <c:pt idx="3">
                  <c:v>0.15704482487581606</c:v>
                </c:pt>
                <c:pt idx="4">
                  <c:v>1.3287843198099196</c:v>
                </c:pt>
                <c:pt idx="5">
                  <c:v>0.15599497286900163</c:v>
                </c:pt>
                <c:pt idx="6">
                  <c:v>-0.15277515003238282</c:v>
                </c:pt>
                <c:pt idx="7">
                  <c:v>-1.3992459648678589E-3</c:v>
                </c:pt>
              </c:numCache>
            </c:numRef>
          </c:val>
          <c:extLst>
            <c:ext xmlns:c16="http://schemas.microsoft.com/office/drawing/2014/chart" uri="{C3380CC4-5D6E-409C-BE32-E72D297353CC}">
              <c16:uniqueId val="{00000002-E010-4040-BFE1-3565FC46FF9B}"/>
            </c:ext>
          </c:extLst>
        </c:ser>
        <c:ser>
          <c:idx val="4"/>
          <c:order val="4"/>
          <c:tx>
            <c:strRef>
              <c:f>'Graf 4'!$C$8</c:f>
              <c:strCache>
                <c:ptCount val="1"/>
                <c:pt idx="0">
                  <c:v>Zmena nepriamych daní</c:v>
                </c:pt>
              </c:strCache>
            </c:strRef>
          </c:tx>
          <c:spPr>
            <a:solidFill>
              <a:srgbClr val="BFBFBF"/>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4'!$J$8:$Q$8</c:f>
              <c:numCache>
                <c:formatCode>0.0</c:formatCode>
                <c:ptCount val="8"/>
                <c:pt idx="0">
                  <c:v>0.23931106738705676</c:v>
                </c:pt>
                <c:pt idx="1">
                  <c:v>7.3317400844105929E-2</c:v>
                </c:pt>
                <c:pt idx="2">
                  <c:v>-0.62979555565749445</c:v>
                </c:pt>
                <c:pt idx="3">
                  <c:v>2.8480099991708502E-2</c:v>
                </c:pt>
                <c:pt idx="4">
                  <c:v>1.6484365328482617</c:v>
                </c:pt>
                <c:pt idx="5">
                  <c:v>0.16454444397387183</c:v>
                </c:pt>
                <c:pt idx="6">
                  <c:v>6.0384410298905157E-2</c:v>
                </c:pt>
                <c:pt idx="7">
                  <c:v>0.12032318220357148</c:v>
                </c:pt>
              </c:numCache>
            </c:numRef>
          </c:val>
          <c:extLst>
            <c:ext xmlns:c16="http://schemas.microsoft.com/office/drawing/2014/chart" uri="{C3380CC4-5D6E-409C-BE32-E72D297353CC}">
              <c16:uniqueId val="{00000003-E010-4040-BFE1-3565FC46FF9B}"/>
            </c:ext>
          </c:extLst>
        </c:ser>
        <c:dLbls>
          <c:showLegendKey val="0"/>
          <c:showVal val="0"/>
          <c:showCatName val="0"/>
          <c:showSerName val="0"/>
          <c:showPercent val="0"/>
          <c:showBubbleSize val="0"/>
        </c:dLbls>
        <c:gapWidth val="150"/>
        <c:overlap val="100"/>
        <c:axId val="494366880"/>
        <c:axId val="494367272"/>
      </c:barChart>
      <c:lineChart>
        <c:grouping val="standard"/>
        <c:varyColors val="0"/>
        <c:ser>
          <c:idx val="0"/>
          <c:order val="0"/>
          <c:tx>
            <c:strRef>
              <c:f>'Graf 4'!$C$4</c:f>
              <c:strCache>
                <c:ptCount val="1"/>
                <c:pt idx="0">
                  <c:v>Celková inflácia</c:v>
                </c:pt>
              </c:strCache>
            </c:strRef>
          </c:tx>
          <c:spPr>
            <a:ln w="19050">
              <a:solidFill>
                <a:schemeClr val="tx1"/>
              </a:solidFill>
            </a:ln>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10-4040-BFE1-3565FC46FF9B}"/>
                </c:ext>
              </c:extLst>
            </c:dLbl>
            <c:dLbl>
              <c:idx val="1"/>
              <c:layout>
                <c:manualLayout>
                  <c:x val="-3.7103912196849033E-2"/>
                  <c:y val="6.00120345336209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10-4040-BFE1-3565FC46FF9B}"/>
                </c:ext>
              </c:extLst>
            </c:dLbl>
            <c:dLbl>
              <c:idx val="2"/>
              <c:numFmt formatCode="#,##0.0" sourceLinked="0"/>
              <c:spPr>
                <a:noFill/>
                <a:ln>
                  <a:noFill/>
                </a:ln>
                <a:effectLst/>
              </c:spPr>
              <c:txPr>
                <a:bodyPr/>
                <a:lstStyle/>
                <a:p>
                  <a:pPr>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6-E010-4040-BFE1-3565FC46FF9B}"/>
                </c:ext>
              </c:extLst>
            </c:dLbl>
            <c:dLbl>
              <c:idx val="3"/>
              <c:layout>
                <c:manualLayout>
                  <c:x val="-2.903168702425208E-2"/>
                  <c:y val="-6.0011663555395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10-4040-BFE1-3565FC46FF9B}"/>
                </c:ext>
              </c:extLst>
            </c:dLbl>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4'!$J$4:$Q$4</c:f>
              <c:numCache>
                <c:formatCode>0.0</c:formatCode>
                <c:ptCount val="8"/>
                <c:pt idx="0">
                  <c:v>3.216195149572481</c:v>
                </c:pt>
                <c:pt idx="1">
                  <c:v>12.816361696049569</c:v>
                </c:pt>
                <c:pt idx="2">
                  <c:v>10.482867049436432</c:v>
                </c:pt>
                <c:pt idx="3">
                  <c:v>2.7915649560643194</c:v>
                </c:pt>
                <c:pt idx="4">
                  <c:v>5.3633510250092087</c:v>
                </c:pt>
                <c:pt idx="5">
                  <c:v>2.687185426633008</c:v>
                </c:pt>
                <c:pt idx="6">
                  <c:v>2.1876330525767615</c:v>
                </c:pt>
                <c:pt idx="7">
                  <c:v>2.4241486552460652</c:v>
                </c:pt>
              </c:numCache>
            </c:numRef>
          </c:val>
          <c:smooth val="0"/>
          <c:extLst>
            <c:ext xmlns:c16="http://schemas.microsoft.com/office/drawing/2014/chart" uri="{C3380CC4-5D6E-409C-BE32-E72D297353CC}">
              <c16:uniqueId val="{00000008-E010-4040-BFE1-3565FC46FF9B}"/>
            </c:ext>
          </c:extLst>
        </c:ser>
        <c:dLbls>
          <c:showLegendKey val="0"/>
          <c:showVal val="0"/>
          <c:showCatName val="0"/>
          <c:showSerName val="0"/>
          <c:showPercent val="0"/>
          <c:showBubbleSize val="0"/>
        </c:dLbls>
        <c:marker val="1"/>
        <c:smooth val="0"/>
        <c:axId val="494366880"/>
        <c:axId val="494367272"/>
      </c:lineChart>
      <c:catAx>
        <c:axId val="494366880"/>
        <c:scaling>
          <c:orientation val="minMax"/>
        </c:scaling>
        <c:delete val="0"/>
        <c:axPos val="b"/>
        <c:numFmt formatCode="General" sourceLinked="1"/>
        <c:majorTickMark val="none"/>
        <c:minorTickMark val="none"/>
        <c:tickLblPos val="low"/>
        <c:spPr>
          <a:ln w="12700">
            <a:solidFill>
              <a:srgbClr val="676868"/>
            </a:solidFill>
          </a:ln>
        </c:spPr>
        <c:crossAx val="494367272"/>
        <c:crosses val="autoZero"/>
        <c:auto val="1"/>
        <c:lblAlgn val="ctr"/>
        <c:lblOffset val="100"/>
        <c:noMultiLvlLbl val="1"/>
      </c:catAx>
      <c:valAx>
        <c:axId val="494367272"/>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94366880"/>
        <c:crosses val="autoZero"/>
        <c:crossBetween val="between"/>
      </c:valAx>
    </c:plotArea>
    <c:legend>
      <c:legendPos val="r"/>
      <c:layout>
        <c:manualLayout>
          <c:xMode val="edge"/>
          <c:yMode val="edge"/>
          <c:x val="0.43830748882690446"/>
          <c:y val="2.7695692392309807E-2"/>
          <c:w val="0.54363484322121891"/>
          <c:h val="0.34935406718501294"/>
        </c:manualLayout>
      </c:layout>
      <c:overlay val="0"/>
    </c:legend>
    <c:plotVisOnly val="1"/>
    <c:dispBlanksAs val="gap"/>
    <c:showDLblsOverMax val="0"/>
  </c:chart>
  <c:spPr>
    <a:ln>
      <a:noFill/>
    </a:ln>
  </c:spPr>
  <c:txPr>
    <a:bodyPr/>
    <a:lstStyle/>
    <a:p>
      <a:pPr>
        <a:defRPr sz="1000">
          <a:solidFill>
            <a:sysClr val="windowText" lastClr="000000"/>
          </a:solidFill>
          <a:latin typeface="Arial Narrow" pitchFamily="34"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7121314891892E-2"/>
          <c:y val="5.0925925925925923E-2"/>
          <c:w val="0.92708287868510864"/>
          <c:h val="0.89814814814814814"/>
        </c:manualLayout>
      </c:layout>
      <c:barChart>
        <c:barDir val="col"/>
        <c:grouping val="stacked"/>
        <c:varyColors val="0"/>
        <c:ser>
          <c:idx val="1"/>
          <c:order val="1"/>
          <c:tx>
            <c:strRef>
              <c:f>'Graf 4'!$D$5</c:f>
              <c:strCache>
                <c:ptCount val="1"/>
                <c:pt idx="0">
                  <c:v>Net inflation</c:v>
                </c:pt>
              </c:strCache>
            </c:strRef>
          </c:tx>
          <c:spPr>
            <a:solidFill>
              <a:srgbClr val="2C9ADC"/>
            </a:solidFill>
            <a:ln>
              <a:noFill/>
            </a:ln>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4'!$J$5:$Q$5</c:f>
              <c:numCache>
                <c:formatCode>0.0</c:formatCode>
                <c:ptCount val="8"/>
                <c:pt idx="0">
                  <c:v>2.7307937029223668</c:v>
                </c:pt>
                <c:pt idx="1">
                  <c:v>6.999556153255619</c:v>
                </c:pt>
                <c:pt idx="2">
                  <c:v>6.4392974719613871</c:v>
                </c:pt>
                <c:pt idx="3">
                  <c:v>2.2478883812506947</c:v>
                </c:pt>
                <c:pt idx="4">
                  <c:v>1.626613262034903</c:v>
                </c:pt>
                <c:pt idx="5">
                  <c:v>1.6038083603532474</c:v>
                </c:pt>
                <c:pt idx="6">
                  <c:v>1.5994538897231902</c:v>
                </c:pt>
                <c:pt idx="7">
                  <c:v>1.7166925824239023</c:v>
                </c:pt>
              </c:numCache>
            </c:numRef>
          </c:val>
          <c:extLst>
            <c:ext xmlns:c16="http://schemas.microsoft.com/office/drawing/2014/chart" uri="{C3380CC4-5D6E-409C-BE32-E72D297353CC}">
              <c16:uniqueId val="{00000000-9495-4112-8F05-9CE3CF842FA9}"/>
            </c:ext>
          </c:extLst>
        </c:ser>
        <c:ser>
          <c:idx val="2"/>
          <c:order val="2"/>
          <c:tx>
            <c:strRef>
              <c:f>'Graf 4'!$D$6</c:f>
              <c:strCache>
                <c:ptCount val="1"/>
                <c:pt idx="0">
                  <c:v>Food prices</c:v>
                </c:pt>
              </c:strCache>
            </c:strRef>
          </c:tx>
          <c:spPr>
            <a:solidFill>
              <a:srgbClr val="7F7F7F"/>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4'!$J$6:$Q$6</c:f>
              <c:numCache>
                <c:formatCode>0.0</c:formatCode>
                <c:ptCount val="8"/>
                <c:pt idx="0">
                  <c:v>0.35911003830834964</c:v>
                </c:pt>
                <c:pt idx="1">
                  <c:v>3.6248616420760778</c:v>
                </c:pt>
                <c:pt idx="2">
                  <c:v>3.3012852628051901</c:v>
                </c:pt>
                <c:pt idx="3">
                  <c:v>0.35815164994610027</c:v>
                </c:pt>
                <c:pt idx="4">
                  <c:v>0.75951691031612467</c:v>
                </c:pt>
                <c:pt idx="5">
                  <c:v>0.76283764943688737</c:v>
                </c:pt>
                <c:pt idx="6">
                  <c:v>0.68056990258704875</c:v>
                </c:pt>
                <c:pt idx="7">
                  <c:v>0.58853213658345938</c:v>
                </c:pt>
              </c:numCache>
            </c:numRef>
          </c:val>
          <c:extLst>
            <c:ext xmlns:c16="http://schemas.microsoft.com/office/drawing/2014/chart" uri="{C3380CC4-5D6E-409C-BE32-E72D297353CC}">
              <c16:uniqueId val="{00000001-9495-4112-8F05-9CE3CF842FA9}"/>
            </c:ext>
          </c:extLst>
        </c:ser>
        <c:ser>
          <c:idx val="3"/>
          <c:order val="3"/>
          <c:tx>
            <c:strRef>
              <c:f>'Graf 4'!$D$7</c:f>
              <c:strCache>
                <c:ptCount val="1"/>
                <c:pt idx="0">
                  <c:v>Regulated prices</c:v>
                </c:pt>
              </c:strCache>
            </c:strRef>
          </c:tx>
          <c:spPr>
            <a:solidFill>
              <a:srgbClr val="C6D9F1"/>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4'!$J$7:$Q$7</c:f>
              <c:numCache>
                <c:formatCode>0.0</c:formatCode>
                <c:ptCount val="8"/>
                <c:pt idx="0">
                  <c:v>-0.11301965904529207</c:v>
                </c:pt>
                <c:pt idx="1">
                  <c:v>2.1186264998737663</c:v>
                </c:pt>
                <c:pt idx="2">
                  <c:v>1.3720798703273509</c:v>
                </c:pt>
                <c:pt idx="3">
                  <c:v>0.15704482487581606</c:v>
                </c:pt>
                <c:pt idx="4">
                  <c:v>1.3287843198099196</c:v>
                </c:pt>
                <c:pt idx="5">
                  <c:v>0.15599497286900163</c:v>
                </c:pt>
                <c:pt idx="6">
                  <c:v>-0.15277515003238282</c:v>
                </c:pt>
                <c:pt idx="7">
                  <c:v>-1.3992459648678589E-3</c:v>
                </c:pt>
              </c:numCache>
            </c:numRef>
          </c:val>
          <c:extLst>
            <c:ext xmlns:c16="http://schemas.microsoft.com/office/drawing/2014/chart" uri="{C3380CC4-5D6E-409C-BE32-E72D297353CC}">
              <c16:uniqueId val="{00000002-9495-4112-8F05-9CE3CF842FA9}"/>
            </c:ext>
          </c:extLst>
        </c:ser>
        <c:ser>
          <c:idx val="4"/>
          <c:order val="4"/>
          <c:tx>
            <c:strRef>
              <c:f>'Graf 4'!$D$8</c:f>
              <c:strCache>
                <c:ptCount val="1"/>
                <c:pt idx="0">
                  <c:v>Change in indirect taxes</c:v>
                </c:pt>
              </c:strCache>
            </c:strRef>
          </c:tx>
          <c:spPr>
            <a:solidFill>
              <a:srgbClr val="BFBFBF"/>
            </a:solidFill>
          </c:spPr>
          <c:invertIfNegative val="0"/>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4'!$J$8:$Q$8</c:f>
              <c:numCache>
                <c:formatCode>0.0</c:formatCode>
                <c:ptCount val="8"/>
                <c:pt idx="0">
                  <c:v>0.23931106738705676</c:v>
                </c:pt>
                <c:pt idx="1">
                  <c:v>7.3317400844105929E-2</c:v>
                </c:pt>
                <c:pt idx="2">
                  <c:v>-0.62979555565749445</c:v>
                </c:pt>
                <c:pt idx="3">
                  <c:v>2.8480099991708502E-2</c:v>
                </c:pt>
                <c:pt idx="4">
                  <c:v>1.6484365328482617</c:v>
                </c:pt>
                <c:pt idx="5">
                  <c:v>0.16454444397387183</c:v>
                </c:pt>
                <c:pt idx="6">
                  <c:v>6.0384410298905157E-2</c:v>
                </c:pt>
                <c:pt idx="7">
                  <c:v>0.12032318220357148</c:v>
                </c:pt>
              </c:numCache>
            </c:numRef>
          </c:val>
          <c:extLst>
            <c:ext xmlns:c16="http://schemas.microsoft.com/office/drawing/2014/chart" uri="{C3380CC4-5D6E-409C-BE32-E72D297353CC}">
              <c16:uniqueId val="{00000003-9495-4112-8F05-9CE3CF842FA9}"/>
            </c:ext>
          </c:extLst>
        </c:ser>
        <c:dLbls>
          <c:showLegendKey val="0"/>
          <c:showVal val="0"/>
          <c:showCatName val="0"/>
          <c:showSerName val="0"/>
          <c:showPercent val="0"/>
          <c:showBubbleSize val="0"/>
        </c:dLbls>
        <c:gapWidth val="150"/>
        <c:overlap val="100"/>
        <c:axId val="494366880"/>
        <c:axId val="494367272"/>
      </c:barChart>
      <c:lineChart>
        <c:grouping val="standard"/>
        <c:varyColors val="0"/>
        <c:ser>
          <c:idx val="0"/>
          <c:order val="0"/>
          <c:tx>
            <c:strRef>
              <c:f>'Graf 4'!$D$4</c:f>
              <c:strCache>
                <c:ptCount val="1"/>
                <c:pt idx="0">
                  <c:v>Headline inflation</c:v>
                </c:pt>
              </c:strCache>
            </c:strRef>
          </c:tx>
          <c:spPr>
            <a:ln w="19050">
              <a:solidFill>
                <a:schemeClr val="tx1"/>
              </a:solidFill>
            </a:ln>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95-4112-8F05-9CE3CF842FA9}"/>
                </c:ext>
              </c:extLst>
            </c:dLbl>
            <c:dLbl>
              <c:idx val="1"/>
              <c:layout>
                <c:manualLayout>
                  <c:x val="-3.7765765765765763E-2"/>
                  <c:y val="6.001205679678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95-4112-8F05-9CE3CF842FA9}"/>
                </c:ext>
              </c:extLst>
            </c:dLbl>
            <c:dLbl>
              <c:idx val="2"/>
              <c:numFmt formatCode="#,##0.0" sourceLinked="0"/>
              <c:spPr>
                <a:noFill/>
                <a:ln>
                  <a:noFill/>
                </a:ln>
                <a:effectLst/>
              </c:spPr>
              <c:txPr>
                <a:bodyPr/>
                <a:lstStyle/>
                <a:p>
                  <a:pPr>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6-9495-4112-8F05-9CE3CF842FA9}"/>
                </c:ext>
              </c:extLst>
            </c:dLbl>
            <c:dLbl>
              <c:idx val="3"/>
              <c:layout>
                <c:manualLayout>
                  <c:x val="-4.0360360360360489E-2"/>
                  <c:y val="-6.0011685818424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95-4112-8F05-9CE3CF842FA9}"/>
                </c:ext>
              </c:extLst>
            </c:dLbl>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4'!$J$3:$Q$3</c:f>
              <c:numCache>
                <c:formatCode>General</c:formatCode>
                <c:ptCount val="8"/>
                <c:pt idx="0">
                  <c:v>2021</c:v>
                </c:pt>
                <c:pt idx="1">
                  <c:v>2022</c:v>
                </c:pt>
                <c:pt idx="2">
                  <c:v>2023</c:v>
                </c:pt>
                <c:pt idx="3">
                  <c:v>2024</c:v>
                </c:pt>
                <c:pt idx="4">
                  <c:v>2025</c:v>
                </c:pt>
                <c:pt idx="5">
                  <c:v>2026</c:v>
                </c:pt>
                <c:pt idx="6">
                  <c:v>2027</c:v>
                </c:pt>
                <c:pt idx="7">
                  <c:v>2028</c:v>
                </c:pt>
              </c:numCache>
            </c:numRef>
          </c:cat>
          <c:val>
            <c:numRef>
              <c:f>'Graf 4'!$J$4:$Q$4</c:f>
              <c:numCache>
                <c:formatCode>0.0</c:formatCode>
                <c:ptCount val="8"/>
                <c:pt idx="0">
                  <c:v>3.216195149572481</c:v>
                </c:pt>
                <c:pt idx="1">
                  <c:v>12.816361696049569</c:v>
                </c:pt>
                <c:pt idx="2">
                  <c:v>10.482867049436432</c:v>
                </c:pt>
                <c:pt idx="3">
                  <c:v>2.7915649560643194</c:v>
                </c:pt>
                <c:pt idx="4">
                  <c:v>5.3633510250092087</c:v>
                </c:pt>
                <c:pt idx="5">
                  <c:v>2.687185426633008</c:v>
                </c:pt>
                <c:pt idx="6">
                  <c:v>2.1876330525767615</c:v>
                </c:pt>
                <c:pt idx="7">
                  <c:v>2.4241486552460652</c:v>
                </c:pt>
              </c:numCache>
            </c:numRef>
          </c:val>
          <c:smooth val="0"/>
          <c:extLst>
            <c:ext xmlns:c16="http://schemas.microsoft.com/office/drawing/2014/chart" uri="{C3380CC4-5D6E-409C-BE32-E72D297353CC}">
              <c16:uniqueId val="{00000008-9495-4112-8F05-9CE3CF842FA9}"/>
            </c:ext>
          </c:extLst>
        </c:ser>
        <c:dLbls>
          <c:showLegendKey val="0"/>
          <c:showVal val="0"/>
          <c:showCatName val="0"/>
          <c:showSerName val="0"/>
          <c:showPercent val="0"/>
          <c:showBubbleSize val="0"/>
        </c:dLbls>
        <c:marker val="1"/>
        <c:smooth val="0"/>
        <c:axId val="494366880"/>
        <c:axId val="494367272"/>
      </c:lineChart>
      <c:catAx>
        <c:axId val="494366880"/>
        <c:scaling>
          <c:orientation val="minMax"/>
        </c:scaling>
        <c:delete val="0"/>
        <c:axPos val="b"/>
        <c:numFmt formatCode="General" sourceLinked="1"/>
        <c:majorTickMark val="none"/>
        <c:minorTickMark val="none"/>
        <c:tickLblPos val="low"/>
        <c:spPr>
          <a:ln w="12700">
            <a:solidFill>
              <a:srgbClr val="676868"/>
            </a:solidFill>
          </a:ln>
        </c:spPr>
        <c:crossAx val="494367272"/>
        <c:crosses val="autoZero"/>
        <c:auto val="1"/>
        <c:lblAlgn val="ctr"/>
        <c:lblOffset val="100"/>
        <c:noMultiLvlLbl val="1"/>
      </c:catAx>
      <c:valAx>
        <c:axId val="494367272"/>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94366880"/>
        <c:crosses val="autoZero"/>
        <c:crossBetween val="between"/>
      </c:valAx>
    </c:plotArea>
    <c:legend>
      <c:legendPos val="r"/>
      <c:layout>
        <c:manualLayout>
          <c:xMode val="edge"/>
          <c:yMode val="edge"/>
          <c:x val="0.43830748882690446"/>
          <c:y val="2.7695692392309807E-2"/>
          <c:w val="0.54363484322121891"/>
          <c:h val="0.34935406718501294"/>
        </c:manualLayout>
      </c:layout>
      <c:overlay val="0"/>
    </c:legend>
    <c:plotVisOnly val="1"/>
    <c:dispBlanksAs val="gap"/>
    <c:showDLblsOverMax val="0"/>
  </c:chart>
  <c:spPr>
    <a:ln>
      <a:noFill/>
    </a:ln>
  </c:spPr>
  <c:txPr>
    <a:bodyPr/>
    <a:lstStyle/>
    <a:p>
      <a:pPr>
        <a:defRPr sz="1000">
          <a:solidFill>
            <a:sysClr val="windowText" lastClr="000000"/>
          </a:solidFill>
          <a:latin typeface="Arial Narrow" pitchFamily="34"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6523950131226E-2"/>
          <c:y val="0.10159722222222223"/>
          <c:w val="0.85456549376640423"/>
          <c:h val="0.71877138888888892"/>
        </c:manualLayout>
      </c:layout>
      <c:lineChart>
        <c:grouping val="standard"/>
        <c:varyColors val="0"/>
        <c:ser>
          <c:idx val="0"/>
          <c:order val="0"/>
          <c:tx>
            <c:strRef>
              <c:f>'Graf 5'!$B$6</c:f>
              <c:strCache>
                <c:ptCount val="1"/>
                <c:pt idx="0">
                  <c:v>Kompozit</c:v>
                </c:pt>
              </c:strCache>
            </c:strRef>
          </c:tx>
          <c:spPr>
            <a:ln w="28575" cap="rnd">
              <a:solidFill>
                <a:schemeClr val="tx1"/>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5'!$B$7:$B$74</c:f>
              <c:numCache>
                <c:formatCode>General</c:formatCode>
                <c:ptCount val="68"/>
                <c:pt idx="0">
                  <c:v>51</c:v>
                </c:pt>
                <c:pt idx="1">
                  <c:v>51.9</c:v>
                </c:pt>
                <c:pt idx="2">
                  <c:v>51.6</c:v>
                </c:pt>
                <c:pt idx="3">
                  <c:v>51.5</c:v>
                </c:pt>
                <c:pt idx="4">
                  <c:v>51.8</c:v>
                </c:pt>
                <c:pt idx="5">
                  <c:v>52.2</c:v>
                </c:pt>
                <c:pt idx="6">
                  <c:v>51.5</c:v>
                </c:pt>
                <c:pt idx="7">
                  <c:v>51.9</c:v>
                </c:pt>
                <c:pt idx="8">
                  <c:v>50.1</c:v>
                </c:pt>
                <c:pt idx="9">
                  <c:v>50.6</c:v>
                </c:pt>
                <c:pt idx="10">
                  <c:v>50.6</c:v>
                </c:pt>
                <c:pt idx="11">
                  <c:v>50.9</c:v>
                </c:pt>
                <c:pt idx="12">
                  <c:v>51.3</c:v>
                </c:pt>
                <c:pt idx="13">
                  <c:v>51.6</c:v>
                </c:pt>
                <c:pt idx="14">
                  <c:v>29.7</c:v>
                </c:pt>
                <c:pt idx="15">
                  <c:v>13.6</c:v>
                </c:pt>
                <c:pt idx="16">
                  <c:v>31.9</c:v>
                </c:pt>
                <c:pt idx="17">
                  <c:v>48.5</c:v>
                </c:pt>
                <c:pt idx="18">
                  <c:v>54.9</c:v>
                </c:pt>
                <c:pt idx="19">
                  <c:v>51.9</c:v>
                </c:pt>
                <c:pt idx="20">
                  <c:v>50.4</c:v>
                </c:pt>
                <c:pt idx="21">
                  <c:v>50</c:v>
                </c:pt>
                <c:pt idx="22">
                  <c:v>45.3</c:v>
                </c:pt>
                <c:pt idx="23">
                  <c:v>49.1</c:v>
                </c:pt>
                <c:pt idx="24">
                  <c:v>47.8</c:v>
                </c:pt>
                <c:pt idx="25">
                  <c:v>48.8</c:v>
                </c:pt>
                <c:pt idx="26">
                  <c:v>53.2</c:v>
                </c:pt>
                <c:pt idx="27">
                  <c:v>53.8</c:v>
                </c:pt>
                <c:pt idx="28">
                  <c:v>57.1</c:v>
                </c:pt>
                <c:pt idx="29">
                  <c:v>59.5</c:v>
                </c:pt>
                <c:pt idx="30">
                  <c:v>60.2</c:v>
                </c:pt>
                <c:pt idx="31">
                  <c:v>59</c:v>
                </c:pt>
                <c:pt idx="32">
                  <c:v>56.2</c:v>
                </c:pt>
                <c:pt idx="33">
                  <c:v>54.2</c:v>
                </c:pt>
                <c:pt idx="34">
                  <c:v>55.4</c:v>
                </c:pt>
                <c:pt idx="35">
                  <c:v>53.3</c:v>
                </c:pt>
                <c:pt idx="36">
                  <c:v>52.3</c:v>
                </c:pt>
                <c:pt idx="37">
                  <c:v>55.5</c:v>
                </c:pt>
                <c:pt idx="38">
                  <c:v>54.9</c:v>
                </c:pt>
                <c:pt idx="39">
                  <c:v>55.8</c:v>
                </c:pt>
                <c:pt idx="40">
                  <c:v>54.8</c:v>
                </c:pt>
                <c:pt idx="41">
                  <c:v>52</c:v>
                </c:pt>
                <c:pt idx="42">
                  <c:v>49.9</c:v>
                </c:pt>
                <c:pt idx="43">
                  <c:v>48.9</c:v>
                </c:pt>
                <c:pt idx="44">
                  <c:v>48.1</c:v>
                </c:pt>
                <c:pt idx="45">
                  <c:v>47.3</c:v>
                </c:pt>
                <c:pt idx="46">
                  <c:v>47.8</c:v>
                </c:pt>
                <c:pt idx="47">
                  <c:v>49.3</c:v>
                </c:pt>
                <c:pt idx="48">
                  <c:v>50.3</c:v>
                </c:pt>
                <c:pt idx="49">
                  <c:v>52</c:v>
                </c:pt>
                <c:pt idx="50">
                  <c:v>53.7</c:v>
                </c:pt>
                <c:pt idx="51">
                  <c:v>54.1</c:v>
                </c:pt>
                <c:pt idx="52">
                  <c:v>52.8</c:v>
                </c:pt>
                <c:pt idx="53">
                  <c:v>49.9</c:v>
                </c:pt>
                <c:pt idx="54">
                  <c:v>48.6</c:v>
                </c:pt>
                <c:pt idx="55">
                  <c:v>46.7</c:v>
                </c:pt>
                <c:pt idx="56">
                  <c:v>47.2</c:v>
                </c:pt>
                <c:pt idx="57">
                  <c:v>46.5</c:v>
                </c:pt>
                <c:pt idx="58">
                  <c:v>47.6</c:v>
                </c:pt>
                <c:pt idx="59">
                  <c:v>47.6</c:v>
                </c:pt>
                <c:pt idx="60">
                  <c:v>47.9</c:v>
                </c:pt>
                <c:pt idx="61">
                  <c:v>49.2</c:v>
                </c:pt>
                <c:pt idx="62">
                  <c:v>50.3</c:v>
                </c:pt>
                <c:pt idx="63">
                  <c:v>51.7</c:v>
                </c:pt>
                <c:pt idx="64">
                  <c:v>52.2</c:v>
                </c:pt>
                <c:pt idx="65">
                  <c:v>50.9</c:v>
                </c:pt>
                <c:pt idx="66">
                  <c:v>50.2</c:v>
                </c:pt>
                <c:pt idx="67">
                  <c:v>51</c:v>
                </c:pt>
              </c:numCache>
            </c:numRef>
          </c:val>
          <c:smooth val="0"/>
          <c:extLst>
            <c:ext xmlns:c16="http://schemas.microsoft.com/office/drawing/2014/chart" uri="{C3380CC4-5D6E-409C-BE32-E72D297353CC}">
              <c16:uniqueId val="{00000000-0A32-46C9-A9FF-BD3E0F5EB586}"/>
            </c:ext>
          </c:extLst>
        </c:ser>
        <c:ser>
          <c:idx val="1"/>
          <c:order val="1"/>
          <c:tx>
            <c:strRef>
              <c:f>'Graf 5'!$C$6</c:f>
              <c:strCache>
                <c:ptCount val="1"/>
                <c:pt idx="0">
                  <c:v>Priemysel</c:v>
                </c:pt>
              </c:strCache>
            </c:strRef>
          </c:tx>
          <c:spPr>
            <a:ln w="28575" cap="rnd">
              <a:solidFill>
                <a:schemeClr val="accent6"/>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5'!$C$7:$C$74</c:f>
              <c:numCache>
                <c:formatCode>General</c:formatCode>
                <c:ptCount val="68"/>
                <c:pt idx="0">
                  <c:v>50.5</c:v>
                </c:pt>
                <c:pt idx="1">
                  <c:v>49.3</c:v>
                </c:pt>
                <c:pt idx="2">
                  <c:v>47.5</c:v>
                </c:pt>
                <c:pt idx="3">
                  <c:v>47.9</c:v>
                </c:pt>
                <c:pt idx="4">
                  <c:v>47.7</c:v>
                </c:pt>
                <c:pt idx="5">
                  <c:v>47.6</c:v>
                </c:pt>
                <c:pt idx="6">
                  <c:v>46.5</c:v>
                </c:pt>
                <c:pt idx="7">
                  <c:v>47</c:v>
                </c:pt>
                <c:pt idx="8">
                  <c:v>45.7</c:v>
                </c:pt>
                <c:pt idx="9">
                  <c:v>45.9</c:v>
                </c:pt>
                <c:pt idx="10">
                  <c:v>46.9</c:v>
                </c:pt>
                <c:pt idx="11">
                  <c:v>46.3</c:v>
                </c:pt>
                <c:pt idx="12">
                  <c:v>47.9</c:v>
                </c:pt>
                <c:pt idx="13">
                  <c:v>49.2</c:v>
                </c:pt>
                <c:pt idx="14">
                  <c:v>44.5</c:v>
                </c:pt>
                <c:pt idx="15">
                  <c:v>33.4</c:v>
                </c:pt>
                <c:pt idx="16">
                  <c:v>39.4</c:v>
                </c:pt>
                <c:pt idx="17">
                  <c:v>47.4</c:v>
                </c:pt>
                <c:pt idx="18">
                  <c:v>51.8</c:v>
                </c:pt>
                <c:pt idx="19">
                  <c:v>51.7</c:v>
                </c:pt>
                <c:pt idx="20">
                  <c:v>53.7</c:v>
                </c:pt>
                <c:pt idx="21">
                  <c:v>54.8</c:v>
                </c:pt>
                <c:pt idx="22">
                  <c:v>53.8</c:v>
                </c:pt>
                <c:pt idx="23">
                  <c:v>55.2</c:v>
                </c:pt>
                <c:pt idx="24">
                  <c:v>54.8</c:v>
                </c:pt>
                <c:pt idx="25">
                  <c:v>57.9</c:v>
                </c:pt>
                <c:pt idx="26">
                  <c:v>62.5</c:v>
                </c:pt>
                <c:pt idx="27">
                  <c:v>62.9</c:v>
                </c:pt>
                <c:pt idx="28">
                  <c:v>63.1</c:v>
                </c:pt>
                <c:pt idx="29">
                  <c:v>63.4</c:v>
                </c:pt>
                <c:pt idx="30">
                  <c:v>62.8</c:v>
                </c:pt>
                <c:pt idx="31">
                  <c:v>61.4</c:v>
                </c:pt>
                <c:pt idx="32">
                  <c:v>58.6</c:v>
                </c:pt>
                <c:pt idx="33">
                  <c:v>58.3</c:v>
                </c:pt>
                <c:pt idx="34">
                  <c:v>58.4</c:v>
                </c:pt>
                <c:pt idx="35">
                  <c:v>58</c:v>
                </c:pt>
                <c:pt idx="36">
                  <c:v>58.7</c:v>
                </c:pt>
                <c:pt idx="37">
                  <c:v>58.2</c:v>
                </c:pt>
                <c:pt idx="38">
                  <c:v>56.5</c:v>
                </c:pt>
                <c:pt idx="39">
                  <c:v>55.5</c:v>
                </c:pt>
                <c:pt idx="40">
                  <c:v>54.6</c:v>
                </c:pt>
                <c:pt idx="41">
                  <c:v>52.1</c:v>
                </c:pt>
                <c:pt idx="42">
                  <c:v>49.8</c:v>
                </c:pt>
                <c:pt idx="43">
                  <c:v>49.6</c:v>
                </c:pt>
                <c:pt idx="44">
                  <c:v>48.4</c:v>
                </c:pt>
                <c:pt idx="45">
                  <c:v>46.4</c:v>
                </c:pt>
                <c:pt idx="46">
                  <c:v>47.1</c:v>
                </c:pt>
                <c:pt idx="47">
                  <c:v>47.8</c:v>
                </c:pt>
                <c:pt idx="48">
                  <c:v>48.8</c:v>
                </c:pt>
                <c:pt idx="49">
                  <c:v>48.5</c:v>
                </c:pt>
                <c:pt idx="50">
                  <c:v>47.3</c:v>
                </c:pt>
                <c:pt idx="51">
                  <c:v>45.8</c:v>
                </c:pt>
                <c:pt idx="52">
                  <c:v>44.8</c:v>
                </c:pt>
                <c:pt idx="53">
                  <c:v>43.4</c:v>
                </c:pt>
                <c:pt idx="54">
                  <c:v>42.7</c:v>
                </c:pt>
                <c:pt idx="55">
                  <c:v>43.5</c:v>
                </c:pt>
                <c:pt idx="56">
                  <c:v>43.4</c:v>
                </c:pt>
                <c:pt idx="57">
                  <c:v>43.1</c:v>
                </c:pt>
                <c:pt idx="58">
                  <c:v>44.2</c:v>
                </c:pt>
                <c:pt idx="59">
                  <c:v>44.4</c:v>
                </c:pt>
                <c:pt idx="60">
                  <c:v>46.6</c:v>
                </c:pt>
                <c:pt idx="61">
                  <c:v>46.5</c:v>
                </c:pt>
                <c:pt idx="62">
                  <c:v>46.1</c:v>
                </c:pt>
                <c:pt idx="63">
                  <c:v>45.7</c:v>
                </c:pt>
                <c:pt idx="64">
                  <c:v>47.3</c:v>
                </c:pt>
                <c:pt idx="65">
                  <c:v>45.8</c:v>
                </c:pt>
                <c:pt idx="66">
                  <c:v>45.8</c:v>
                </c:pt>
                <c:pt idx="67">
                  <c:v>45.8</c:v>
                </c:pt>
              </c:numCache>
            </c:numRef>
          </c:val>
          <c:smooth val="0"/>
          <c:extLst>
            <c:ext xmlns:c16="http://schemas.microsoft.com/office/drawing/2014/chart" uri="{C3380CC4-5D6E-409C-BE32-E72D297353CC}">
              <c16:uniqueId val="{00000001-0A32-46C9-A9FF-BD3E0F5EB586}"/>
            </c:ext>
          </c:extLst>
        </c:ser>
        <c:ser>
          <c:idx val="2"/>
          <c:order val="2"/>
          <c:tx>
            <c:strRef>
              <c:f>'Graf 5'!$D$6</c:f>
              <c:strCache>
                <c:ptCount val="1"/>
                <c:pt idx="0">
                  <c:v>Služby</c:v>
                </c:pt>
              </c:strCache>
            </c:strRef>
          </c:tx>
          <c:spPr>
            <a:ln w="28575" cap="rnd">
              <a:solidFill>
                <a:srgbClr val="00B0F0"/>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5'!$D$7:$D$74</c:f>
              <c:numCache>
                <c:formatCode>General</c:formatCode>
                <c:ptCount val="68"/>
                <c:pt idx="0">
                  <c:v>51.2</c:v>
                </c:pt>
                <c:pt idx="1">
                  <c:v>52.8</c:v>
                </c:pt>
                <c:pt idx="2">
                  <c:v>53.3</c:v>
                </c:pt>
                <c:pt idx="3">
                  <c:v>52.8</c:v>
                </c:pt>
                <c:pt idx="4">
                  <c:v>52.9</c:v>
                </c:pt>
                <c:pt idx="5">
                  <c:v>53.6</c:v>
                </c:pt>
                <c:pt idx="6">
                  <c:v>53.2</c:v>
                </c:pt>
                <c:pt idx="7">
                  <c:v>53.5</c:v>
                </c:pt>
                <c:pt idx="8">
                  <c:v>51.6</c:v>
                </c:pt>
                <c:pt idx="9">
                  <c:v>52.2</c:v>
                </c:pt>
                <c:pt idx="10">
                  <c:v>51.9</c:v>
                </c:pt>
                <c:pt idx="11">
                  <c:v>52.8</c:v>
                </c:pt>
                <c:pt idx="12">
                  <c:v>52.5</c:v>
                </c:pt>
                <c:pt idx="13">
                  <c:v>52.6</c:v>
                </c:pt>
                <c:pt idx="14">
                  <c:v>26.4</c:v>
                </c:pt>
                <c:pt idx="15">
                  <c:v>12</c:v>
                </c:pt>
                <c:pt idx="16">
                  <c:v>30.5</c:v>
                </c:pt>
                <c:pt idx="17">
                  <c:v>48.3</c:v>
                </c:pt>
                <c:pt idx="18">
                  <c:v>54.7</c:v>
                </c:pt>
                <c:pt idx="19">
                  <c:v>50.5</c:v>
                </c:pt>
                <c:pt idx="20">
                  <c:v>48</c:v>
                </c:pt>
                <c:pt idx="21">
                  <c:v>46.9</c:v>
                </c:pt>
                <c:pt idx="22">
                  <c:v>41.7</c:v>
                </c:pt>
                <c:pt idx="23">
                  <c:v>46.4</c:v>
                </c:pt>
                <c:pt idx="24">
                  <c:v>45.4</c:v>
                </c:pt>
                <c:pt idx="25">
                  <c:v>45.7</c:v>
                </c:pt>
                <c:pt idx="26">
                  <c:v>49.6</c:v>
                </c:pt>
                <c:pt idx="27">
                  <c:v>50.5</c:v>
                </c:pt>
                <c:pt idx="28">
                  <c:v>55.2</c:v>
                </c:pt>
                <c:pt idx="29">
                  <c:v>58.3</c:v>
                </c:pt>
                <c:pt idx="30">
                  <c:v>59.8</c:v>
                </c:pt>
                <c:pt idx="31">
                  <c:v>59</c:v>
                </c:pt>
                <c:pt idx="32">
                  <c:v>56.4</c:v>
                </c:pt>
                <c:pt idx="33">
                  <c:v>54.6</c:v>
                </c:pt>
                <c:pt idx="34">
                  <c:v>55.9</c:v>
                </c:pt>
                <c:pt idx="35">
                  <c:v>53.1</c:v>
                </c:pt>
                <c:pt idx="36">
                  <c:v>51.1</c:v>
                </c:pt>
                <c:pt idx="37">
                  <c:v>55.5</c:v>
                </c:pt>
                <c:pt idx="38">
                  <c:v>55.6</c:v>
                </c:pt>
                <c:pt idx="39">
                  <c:v>57.7</c:v>
                </c:pt>
                <c:pt idx="40">
                  <c:v>56.1</c:v>
                </c:pt>
                <c:pt idx="41">
                  <c:v>53</c:v>
                </c:pt>
                <c:pt idx="42">
                  <c:v>51.2</c:v>
                </c:pt>
                <c:pt idx="43">
                  <c:v>49.8</c:v>
                </c:pt>
                <c:pt idx="44">
                  <c:v>48.8</c:v>
                </c:pt>
                <c:pt idx="45">
                  <c:v>48.6</c:v>
                </c:pt>
                <c:pt idx="46">
                  <c:v>48.5</c:v>
                </c:pt>
                <c:pt idx="47">
                  <c:v>49.8</c:v>
                </c:pt>
                <c:pt idx="48">
                  <c:v>50.8</c:v>
                </c:pt>
                <c:pt idx="49">
                  <c:v>52.7</c:v>
                </c:pt>
                <c:pt idx="50">
                  <c:v>55</c:v>
                </c:pt>
                <c:pt idx="51">
                  <c:v>56.2</c:v>
                </c:pt>
                <c:pt idx="52">
                  <c:v>55.1</c:v>
                </c:pt>
                <c:pt idx="53">
                  <c:v>52</c:v>
                </c:pt>
                <c:pt idx="54">
                  <c:v>50.9</c:v>
                </c:pt>
                <c:pt idx="55">
                  <c:v>47.9</c:v>
                </c:pt>
                <c:pt idx="56">
                  <c:v>48.7</c:v>
                </c:pt>
                <c:pt idx="57">
                  <c:v>47.8</c:v>
                </c:pt>
                <c:pt idx="58">
                  <c:v>48.7</c:v>
                </c:pt>
                <c:pt idx="59">
                  <c:v>48.8</c:v>
                </c:pt>
                <c:pt idx="60">
                  <c:v>48.4</c:v>
                </c:pt>
                <c:pt idx="61">
                  <c:v>50.2</c:v>
                </c:pt>
                <c:pt idx="62">
                  <c:v>51.5</c:v>
                </c:pt>
                <c:pt idx="63">
                  <c:v>53.3</c:v>
                </c:pt>
                <c:pt idx="64">
                  <c:v>53.2</c:v>
                </c:pt>
                <c:pt idx="65">
                  <c:v>52.8</c:v>
                </c:pt>
                <c:pt idx="66">
                  <c:v>51.9</c:v>
                </c:pt>
                <c:pt idx="67">
                  <c:v>52.9</c:v>
                </c:pt>
              </c:numCache>
            </c:numRef>
          </c:val>
          <c:smooth val="0"/>
          <c:extLst>
            <c:ext xmlns:c16="http://schemas.microsoft.com/office/drawing/2014/chart" uri="{C3380CC4-5D6E-409C-BE32-E72D297353CC}">
              <c16:uniqueId val="{00000002-0A32-46C9-A9FF-BD3E0F5EB586}"/>
            </c:ext>
          </c:extLst>
        </c:ser>
        <c:dLbls>
          <c:showLegendKey val="0"/>
          <c:showVal val="0"/>
          <c:showCatName val="0"/>
          <c:showSerName val="0"/>
          <c:showPercent val="0"/>
          <c:showBubbleSize val="0"/>
        </c:dLbls>
        <c:smooth val="0"/>
        <c:axId val="879849104"/>
        <c:axId val="879847464"/>
        <c:extLst>
          <c:ext xmlns:c15="http://schemas.microsoft.com/office/drawing/2012/chart" uri="{02D57815-91ED-43cb-92C2-25804820EDAC}">
            <c15:filteredLineSeries>
              <c15:ser>
                <c:idx val="3"/>
                <c:order val="3"/>
                <c:tx>
                  <c:strRef>
                    <c:extLst>
                      <c:ext uri="{02D57815-91ED-43cb-92C2-25804820EDAC}">
                        <c15:formulaRef>
                          <c15:sqref>'Graf 5'!$H$1</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'Graf 5'!$A$7:$A$74</c15:sqref>
                        </c15:formulaRef>
                      </c:ext>
                    </c:extLst>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extLst>
                      <c:ext uri="{02D57815-91ED-43cb-92C2-25804820EDAC}">
                        <c15:formulaRef>
                          <c15:sqref>'Graf 5'!$H$28:$H$44</c15:sqref>
                        </c15:formulaRef>
                      </c:ext>
                    </c:extLst>
                    <c:numCache>
                      <c:formatCode>General</c:formatCode>
                      <c:ptCount val="17"/>
                    </c:numCache>
                  </c:numRef>
                </c:val>
                <c:smooth val="0"/>
                <c:extLst>
                  <c:ext xmlns:c16="http://schemas.microsoft.com/office/drawing/2014/chart" uri="{C3380CC4-5D6E-409C-BE32-E72D297353CC}">
                    <c16:uniqueId val="{00000003-0A32-46C9-A9FF-BD3E0F5EB586}"/>
                  </c:ext>
                </c:extLst>
              </c15:ser>
            </c15:filteredLineSeries>
          </c:ext>
        </c:extLst>
      </c:lineChart>
      <c:valAx>
        <c:axId val="879847464"/>
        <c:scaling>
          <c:orientation val="minMax"/>
          <c:max val="60"/>
          <c:min val="40"/>
        </c:scaling>
        <c:delete val="0"/>
        <c:axPos val="r"/>
        <c:majorGridlines>
          <c:spPr>
            <a:ln w="3175" cap="flat" cmpd="sng" algn="ctr">
              <a:solidFill>
                <a:srgbClr val="686767">
                  <a:alpha val="25000"/>
                </a:srgbClr>
              </a:solidFill>
              <a:prstDash val="sysDot"/>
              <a:round/>
            </a:ln>
            <a:effectLst/>
          </c:spPr>
        </c:majorGridlines>
        <c:numFmt formatCode="General" sourceLinked="1"/>
        <c:majorTickMark val="none"/>
        <c:minorTickMark val="none"/>
        <c:tickLblPos val="low"/>
        <c:spPr>
          <a:noFill/>
          <a:ln w="15875">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crossAx val="879849104"/>
        <c:crosses val="max"/>
        <c:crossBetween val="between"/>
        <c:majorUnit val="5"/>
      </c:valAx>
      <c:dateAx>
        <c:axId val="879849104"/>
        <c:scaling>
          <c:orientation val="minMax"/>
          <c:min val="44562"/>
        </c:scaling>
        <c:delete val="0"/>
        <c:axPos val="b"/>
        <c:numFmt formatCode="[$-41B]mm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crossAx val="879847464"/>
        <c:crossesAt val="50"/>
        <c:auto val="0"/>
        <c:lblOffset val="100"/>
        <c:baseTimeUnit val="months"/>
        <c:majorUnit val="2"/>
        <c:majorTimeUnit val="months"/>
        <c:minorUnit val="1"/>
        <c:minorTimeUnit val="months"/>
      </c:dateAx>
      <c:spPr>
        <a:noFill/>
        <a:ln>
          <a:noFill/>
        </a:ln>
        <a:effectLst/>
      </c:spPr>
    </c:plotArea>
    <c:legend>
      <c:legendPos val="b"/>
      <c:layout>
        <c:manualLayout>
          <c:xMode val="edge"/>
          <c:yMode val="edge"/>
          <c:x val="0.17218354700854704"/>
          <c:y val="3.1027777777777846E-4"/>
          <c:w val="0.67523910256410258"/>
          <c:h val="0.16293861111111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legend>
    <c:plotVisOnly val="1"/>
    <c:dispBlanksAs val="span"/>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6523950131226E-2"/>
          <c:y val="0.10159722222222223"/>
          <c:w val="0.85456549376640423"/>
          <c:h val="0.71877138888888892"/>
        </c:manualLayout>
      </c:layout>
      <c:lineChart>
        <c:grouping val="standard"/>
        <c:varyColors val="0"/>
        <c:ser>
          <c:idx val="0"/>
          <c:order val="0"/>
          <c:tx>
            <c:strRef>
              <c:f>'Graf 5'!$B$5</c:f>
              <c:strCache>
                <c:ptCount val="1"/>
                <c:pt idx="0">
                  <c:v>Composite</c:v>
                </c:pt>
              </c:strCache>
            </c:strRef>
          </c:tx>
          <c:spPr>
            <a:ln w="28575" cap="rnd">
              <a:solidFill>
                <a:schemeClr val="tx1"/>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5'!$B$7:$B$74</c:f>
              <c:numCache>
                <c:formatCode>General</c:formatCode>
                <c:ptCount val="68"/>
                <c:pt idx="0">
                  <c:v>51</c:v>
                </c:pt>
                <c:pt idx="1">
                  <c:v>51.9</c:v>
                </c:pt>
                <c:pt idx="2">
                  <c:v>51.6</c:v>
                </c:pt>
                <c:pt idx="3">
                  <c:v>51.5</c:v>
                </c:pt>
                <c:pt idx="4">
                  <c:v>51.8</c:v>
                </c:pt>
                <c:pt idx="5">
                  <c:v>52.2</c:v>
                </c:pt>
                <c:pt idx="6">
                  <c:v>51.5</c:v>
                </c:pt>
                <c:pt idx="7">
                  <c:v>51.9</c:v>
                </c:pt>
                <c:pt idx="8">
                  <c:v>50.1</c:v>
                </c:pt>
                <c:pt idx="9">
                  <c:v>50.6</c:v>
                </c:pt>
                <c:pt idx="10">
                  <c:v>50.6</c:v>
                </c:pt>
                <c:pt idx="11">
                  <c:v>50.9</c:v>
                </c:pt>
                <c:pt idx="12">
                  <c:v>51.3</c:v>
                </c:pt>
                <c:pt idx="13">
                  <c:v>51.6</c:v>
                </c:pt>
                <c:pt idx="14">
                  <c:v>29.7</c:v>
                </c:pt>
                <c:pt idx="15">
                  <c:v>13.6</c:v>
                </c:pt>
                <c:pt idx="16">
                  <c:v>31.9</c:v>
                </c:pt>
                <c:pt idx="17">
                  <c:v>48.5</c:v>
                </c:pt>
                <c:pt idx="18">
                  <c:v>54.9</c:v>
                </c:pt>
                <c:pt idx="19">
                  <c:v>51.9</c:v>
                </c:pt>
                <c:pt idx="20">
                  <c:v>50.4</c:v>
                </c:pt>
                <c:pt idx="21">
                  <c:v>50</c:v>
                </c:pt>
                <c:pt idx="22">
                  <c:v>45.3</c:v>
                </c:pt>
                <c:pt idx="23">
                  <c:v>49.1</c:v>
                </c:pt>
                <c:pt idx="24">
                  <c:v>47.8</c:v>
                </c:pt>
                <c:pt idx="25">
                  <c:v>48.8</c:v>
                </c:pt>
                <c:pt idx="26">
                  <c:v>53.2</c:v>
                </c:pt>
                <c:pt idx="27">
                  <c:v>53.8</c:v>
                </c:pt>
                <c:pt idx="28">
                  <c:v>57.1</c:v>
                </c:pt>
                <c:pt idx="29">
                  <c:v>59.5</c:v>
                </c:pt>
                <c:pt idx="30">
                  <c:v>60.2</c:v>
                </c:pt>
                <c:pt idx="31">
                  <c:v>59</c:v>
                </c:pt>
                <c:pt idx="32">
                  <c:v>56.2</c:v>
                </c:pt>
                <c:pt idx="33">
                  <c:v>54.2</c:v>
                </c:pt>
                <c:pt idx="34">
                  <c:v>55.4</c:v>
                </c:pt>
                <c:pt idx="35">
                  <c:v>53.3</c:v>
                </c:pt>
                <c:pt idx="36">
                  <c:v>52.3</c:v>
                </c:pt>
                <c:pt idx="37">
                  <c:v>55.5</c:v>
                </c:pt>
                <c:pt idx="38">
                  <c:v>54.9</c:v>
                </c:pt>
                <c:pt idx="39">
                  <c:v>55.8</c:v>
                </c:pt>
                <c:pt idx="40">
                  <c:v>54.8</c:v>
                </c:pt>
                <c:pt idx="41">
                  <c:v>52</c:v>
                </c:pt>
                <c:pt idx="42">
                  <c:v>49.9</c:v>
                </c:pt>
                <c:pt idx="43">
                  <c:v>48.9</c:v>
                </c:pt>
                <c:pt idx="44">
                  <c:v>48.1</c:v>
                </c:pt>
                <c:pt idx="45">
                  <c:v>47.3</c:v>
                </c:pt>
                <c:pt idx="46">
                  <c:v>47.8</c:v>
                </c:pt>
                <c:pt idx="47">
                  <c:v>49.3</c:v>
                </c:pt>
                <c:pt idx="48">
                  <c:v>50.3</c:v>
                </c:pt>
                <c:pt idx="49">
                  <c:v>52</c:v>
                </c:pt>
                <c:pt idx="50">
                  <c:v>53.7</c:v>
                </c:pt>
                <c:pt idx="51">
                  <c:v>54.1</c:v>
                </c:pt>
                <c:pt idx="52">
                  <c:v>52.8</c:v>
                </c:pt>
                <c:pt idx="53">
                  <c:v>49.9</c:v>
                </c:pt>
                <c:pt idx="54">
                  <c:v>48.6</c:v>
                </c:pt>
                <c:pt idx="55">
                  <c:v>46.7</c:v>
                </c:pt>
                <c:pt idx="56">
                  <c:v>47.2</c:v>
                </c:pt>
                <c:pt idx="57">
                  <c:v>46.5</c:v>
                </c:pt>
                <c:pt idx="58">
                  <c:v>47.6</c:v>
                </c:pt>
                <c:pt idx="59">
                  <c:v>47.6</c:v>
                </c:pt>
                <c:pt idx="60">
                  <c:v>47.9</c:v>
                </c:pt>
                <c:pt idx="61">
                  <c:v>49.2</c:v>
                </c:pt>
                <c:pt idx="62">
                  <c:v>50.3</c:v>
                </c:pt>
                <c:pt idx="63">
                  <c:v>51.7</c:v>
                </c:pt>
                <c:pt idx="64">
                  <c:v>52.2</c:v>
                </c:pt>
                <c:pt idx="65">
                  <c:v>50.9</c:v>
                </c:pt>
                <c:pt idx="66">
                  <c:v>50.2</c:v>
                </c:pt>
                <c:pt idx="67">
                  <c:v>51</c:v>
                </c:pt>
              </c:numCache>
            </c:numRef>
          </c:val>
          <c:smooth val="0"/>
          <c:extLst>
            <c:ext xmlns:c16="http://schemas.microsoft.com/office/drawing/2014/chart" uri="{C3380CC4-5D6E-409C-BE32-E72D297353CC}">
              <c16:uniqueId val="{00000000-954E-480C-8106-C4311FD489C3}"/>
            </c:ext>
          </c:extLst>
        </c:ser>
        <c:ser>
          <c:idx val="1"/>
          <c:order val="1"/>
          <c:tx>
            <c:strRef>
              <c:f>'Graf 5'!$C$5</c:f>
              <c:strCache>
                <c:ptCount val="1"/>
                <c:pt idx="0">
                  <c:v>Manufacturing</c:v>
                </c:pt>
              </c:strCache>
            </c:strRef>
          </c:tx>
          <c:spPr>
            <a:ln w="28575" cap="rnd">
              <a:solidFill>
                <a:schemeClr val="accent6"/>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5'!$C$7:$C$74</c:f>
              <c:numCache>
                <c:formatCode>General</c:formatCode>
                <c:ptCount val="68"/>
                <c:pt idx="0">
                  <c:v>50.5</c:v>
                </c:pt>
                <c:pt idx="1">
                  <c:v>49.3</c:v>
                </c:pt>
                <c:pt idx="2">
                  <c:v>47.5</c:v>
                </c:pt>
                <c:pt idx="3">
                  <c:v>47.9</c:v>
                </c:pt>
                <c:pt idx="4">
                  <c:v>47.7</c:v>
                </c:pt>
                <c:pt idx="5">
                  <c:v>47.6</c:v>
                </c:pt>
                <c:pt idx="6">
                  <c:v>46.5</c:v>
                </c:pt>
                <c:pt idx="7">
                  <c:v>47</c:v>
                </c:pt>
                <c:pt idx="8">
                  <c:v>45.7</c:v>
                </c:pt>
                <c:pt idx="9">
                  <c:v>45.9</c:v>
                </c:pt>
                <c:pt idx="10">
                  <c:v>46.9</c:v>
                </c:pt>
                <c:pt idx="11">
                  <c:v>46.3</c:v>
                </c:pt>
                <c:pt idx="12">
                  <c:v>47.9</c:v>
                </c:pt>
                <c:pt idx="13">
                  <c:v>49.2</c:v>
                </c:pt>
                <c:pt idx="14">
                  <c:v>44.5</c:v>
                </c:pt>
                <c:pt idx="15">
                  <c:v>33.4</c:v>
                </c:pt>
                <c:pt idx="16">
                  <c:v>39.4</c:v>
                </c:pt>
                <c:pt idx="17">
                  <c:v>47.4</c:v>
                </c:pt>
                <c:pt idx="18">
                  <c:v>51.8</c:v>
                </c:pt>
                <c:pt idx="19">
                  <c:v>51.7</c:v>
                </c:pt>
                <c:pt idx="20">
                  <c:v>53.7</c:v>
                </c:pt>
                <c:pt idx="21">
                  <c:v>54.8</c:v>
                </c:pt>
                <c:pt idx="22">
                  <c:v>53.8</c:v>
                </c:pt>
                <c:pt idx="23">
                  <c:v>55.2</c:v>
                </c:pt>
                <c:pt idx="24">
                  <c:v>54.8</c:v>
                </c:pt>
                <c:pt idx="25">
                  <c:v>57.9</c:v>
                </c:pt>
                <c:pt idx="26">
                  <c:v>62.5</c:v>
                </c:pt>
                <c:pt idx="27">
                  <c:v>62.9</c:v>
                </c:pt>
                <c:pt idx="28">
                  <c:v>63.1</c:v>
                </c:pt>
                <c:pt idx="29">
                  <c:v>63.4</c:v>
                </c:pt>
                <c:pt idx="30">
                  <c:v>62.8</c:v>
                </c:pt>
                <c:pt idx="31">
                  <c:v>61.4</c:v>
                </c:pt>
                <c:pt idx="32">
                  <c:v>58.6</c:v>
                </c:pt>
                <c:pt idx="33">
                  <c:v>58.3</c:v>
                </c:pt>
                <c:pt idx="34">
                  <c:v>58.4</c:v>
                </c:pt>
                <c:pt idx="35">
                  <c:v>58</c:v>
                </c:pt>
                <c:pt idx="36">
                  <c:v>58.7</c:v>
                </c:pt>
                <c:pt idx="37">
                  <c:v>58.2</c:v>
                </c:pt>
                <c:pt idx="38">
                  <c:v>56.5</c:v>
                </c:pt>
                <c:pt idx="39">
                  <c:v>55.5</c:v>
                </c:pt>
                <c:pt idx="40">
                  <c:v>54.6</c:v>
                </c:pt>
                <c:pt idx="41">
                  <c:v>52.1</c:v>
                </c:pt>
                <c:pt idx="42">
                  <c:v>49.8</c:v>
                </c:pt>
                <c:pt idx="43">
                  <c:v>49.6</c:v>
                </c:pt>
                <c:pt idx="44">
                  <c:v>48.4</c:v>
                </c:pt>
                <c:pt idx="45">
                  <c:v>46.4</c:v>
                </c:pt>
                <c:pt idx="46">
                  <c:v>47.1</c:v>
                </c:pt>
                <c:pt idx="47">
                  <c:v>47.8</c:v>
                </c:pt>
                <c:pt idx="48">
                  <c:v>48.8</c:v>
                </c:pt>
                <c:pt idx="49">
                  <c:v>48.5</c:v>
                </c:pt>
                <c:pt idx="50">
                  <c:v>47.3</c:v>
                </c:pt>
                <c:pt idx="51">
                  <c:v>45.8</c:v>
                </c:pt>
                <c:pt idx="52">
                  <c:v>44.8</c:v>
                </c:pt>
                <c:pt idx="53">
                  <c:v>43.4</c:v>
                </c:pt>
                <c:pt idx="54">
                  <c:v>42.7</c:v>
                </c:pt>
                <c:pt idx="55">
                  <c:v>43.5</c:v>
                </c:pt>
                <c:pt idx="56">
                  <c:v>43.4</c:v>
                </c:pt>
                <c:pt idx="57">
                  <c:v>43.1</c:v>
                </c:pt>
                <c:pt idx="58">
                  <c:v>44.2</c:v>
                </c:pt>
                <c:pt idx="59">
                  <c:v>44.4</c:v>
                </c:pt>
                <c:pt idx="60">
                  <c:v>46.6</c:v>
                </c:pt>
                <c:pt idx="61">
                  <c:v>46.5</c:v>
                </c:pt>
                <c:pt idx="62">
                  <c:v>46.1</c:v>
                </c:pt>
                <c:pt idx="63">
                  <c:v>45.7</c:v>
                </c:pt>
                <c:pt idx="64">
                  <c:v>47.3</c:v>
                </c:pt>
                <c:pt idx="65">
                  <c:v>45.8</c:v>
                </c:pt>
                <c:pt idx="66">
                  <c:v>45.8</c:v>
                </c:pt>
                <c:pt idx="67">
                  <c:v>45.8</c:v>
                </c:pt>
              </c:numCache>
            </c:numRef>
          </c:val>
          <c:smooth val="0"/>
          <c:extLst>
            <c:ext xmlns:c16="http://schemas.microsoft.com/office/drawing/2014/chart" uri="{C3380CC4-5D6E-409C-BE32-E72D297353CC}">
              <c16:uniqueId val="{00000001-954E-480C-8106-C4311FD489C3}"/>
            </c:ext>
          </c:extLst>
        </c:ser>
        <c:ser>
          <c:idx val="2"/>
          <c:order val="2"/>
          <c:tx>
            <c:strRef>
              <c:f>'Graf 5'!$D$5</c:f>
              <c:strCache>
                <c:ptCount val="1"/>
                <c:pt idx="0">
                  <c:v>Services</c:v>
                </c:pt>
              </c:strCache>
            </c:strRef>
          </c:tx>
          <c:spPr>
            <a:ln w="28575" cap="rnd">
              <a:solidFill>
                <a:srgbClr val="00B0F0"/>
              </a:solidFill>
              <a:round/>
            </a:ln>
            <a:effectLst/>
          </c:spPr>
          <c:marker>
            <c:symbol val="none"/>
          </c:marker>
          <c:cat>
            <c:numRef>
              <c:f>'Graf 5'!$A$7:$A$74</c:f>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f>'Graf 5'!$D$7:$D$74</c:f>
              <c:numCache>
                <c:formatCode>General</c:formatCode>
                <c:ptCount val="68"/>
                <c:pt idx="0">
                  <c:v>51.2</c:v>
                </c:pt>
                <c:pt idx="1">
                  <c:v>52.8</c:v>
                </c:pt>
                <c:pt idx="2">
                  <c:v>53.3</c:v>
                </c:pt>
                <c:pt idx="3">
                  <c:v>52.8</c:v>
                </c:pt>
                <c:pt idx="4">
                  <c:v>52.9</c:v>
                </c:pt>
                <c:pt idx="5">
                  <c:v>53.6</c:v>
                </c:pt>
                <c:pt idx="6">
                  <c:v>53.2</c:v>
                </c:pt>
                <c:pt idx="7">
                  <c:v>53.5</c:v>
                </c:pt>
                <c:pt idx="8">
                  <c:v>51.6</c:v>
                </c:pt>
                <c:pt idx="9">
                  <c:v>52.2</c:v>
                </c:pt>
                <c:pt idx="10">
                  <c:v>51.9</c:v>
                </c:pt>
                <c:pt idx="11">
                  <c:v>52.8</c:v>
                </c:pt>
                <c:pt idx="12">
                  <c:v>52.5</c:v>
                </c:pt>
                <c:pt idx="13">
                  <c:v>52.6</c:v>
                </c:pt>
                <c:pt idx="14">
                  <c:v>26.4</c:v>
                </c:pt>
                <c:pt idx="15">
                  <c:v>12</c:v>
                </c:pt>
                <c:pt idx="16">
                  <c:v>30.5</c:v>
                </c:pt>
                <c:pt idx="17">
                  <c:v>48.3</c:v>
                </c:pt>
                <c:pt idx="18">
                  <c:v>54.7</c:v>
                </c:pt>
                <c:pt idx="19">
                  <c:v>50.5</c:v>
                </c:pt>
                <c:pt idx="20">
                  <c:v>48</c:v>
                </c:pt>
                <c:pt idx="21">
                  <c:v>46.9</c:v>
                </c:pt>
                <c:pt idx="22">
                  <c:v>41.7</c:v>
                </c:pt>
                <c:pt idx="23">
                  <c:v>46.4</c:v>
                </c:pt>
                <c:pt idx="24">
                  <c:v>45.4</c:v>
                </c:pt>
                <c:pt idx="25">
                  <c:v>45.7</c:v>
                </c:pt>
                <c:pt idx="26">
                  <c:v>49.6</c:v>
                </c:pt>
                <c:pt idx="27">
                  <c:v>50.5</c:v>
                </c:pt>
                <c:pt idx="28">
                  <c:v>55.2</c:v>
                </c:pt>
                <c:pt idx="29">
                  <c:v>58.3</c:v>
                </c:pt>
                <c:pt idx="30">
                  <c:v>59.8</c:v>
                </c:pt>
                <c:pt idx="31">
                  <c:v>59</c:v>
                </c:pt>
                <c:pt idx="32">
                  <c:v>56.4</c:v>
                </c:pt>
                <c:pt idx="33">
                  <c:v>54.6</c:v>
                </c:pt>
                <c:pt idx="34">
                  <c:v>55.9</c:v>
                </c:pt>
                <c:pt idx="35">
                  <c:v>53.1</c:v>
                </c:pt>
                <c:pt idx="36">
                  <c:v>51.1</c:v>
                </c:pt>
                <c:pt idx="37">
                  <c:v>55.5</c:v>
                </c:pt>
                <c:pt idx="38">
                  <c:v>55.6</c:v>
                </c:pt>
                <c:pt idx="39">
                  <c:v>57.7</c:v>
                </c:pt>
                <c:pt idx="40">
                  <c:v>56.1</c:v>
                </c:pt>
                <c:pt idx="41">
                  <c:v>53</c:v>
                </c:pt>
                <c:pt idx="42">
                  <c:v>51.2</c:v>
                </c:pt>
                <c:pt idx="43">
                  <c:v>49.8</c:v>
                </c:pt>
                <c:pt idx="44">
                  <c:v>48.8</c:v>
                </c:pt>
                <c:pt idx="45">
                  <c:v>48.6</c:v>
                </c:pt>
                <c:pt idx="46">
                  <c:v>48.5</c:v>
                </c:pt>
                <c:pt idx="47">
                  <c:v>49.8</c:v>
                </c:pt>
                <c:pt idx="48">
                  <c:v>50.8</c:v>
                </c:pt>
                <c:pt idx="49">
                  <c:v>52.7</c:v>
                </c:pt>
                <c:pt idx="50">
                  <c:v>55</c:v>
                </c:pt>
                <c:pt idx="51">
                  <c:v>56.2</c:v>
                </c:pt>
                <c:pt idx="52">
                  <c:v>55.1</c:v>
                </c:pt>
                <c:pt idx="53">
                  <c:v>52</c:v>
                </c:pt>
                <c:pt idx="54">
                  <c:v>50.9</c:v>
                </c:pt>
                <c:pt idx="55">
                  <c:v>47.9</c:v>
                </c:pt>
                <c:pt idx="56">
                  <c:v>48.7</c:v>
                </c:pt>
                <c:pt idx="57">
                  <c:v>47.8</c:v>
                </c:pt>
                <c:pt idx="58">
                  <c:v>48.7</c:v>
                </c:pt>
                <c:pt idx="59">
                  <c:v>48.8</c:v>
                </c:pt>
                <c:pt idx="60">
                  <c:v>48.4</c:v>
                </c:pt>
                <c:pt idx="61">
                  <c:v>50.2</c:v>
                </c:pt>
                <c:pt idx="62">
                  <c:v>51.5</c:v>
                </c:pt>
                <c:pt idx="63">
                  <c:v>53.3</c:v>
                </c:pt>
                <c:pt idx="64">
                  <c:v>53.2</c:v>
                </c:pt>
                <c:pt idx="65">
                  <c:v>52.8</c:v>
                </c:pt>
                <c:pt idx="66">
                  <c:v>51.9</c:v>
                </c:pt>
                <c:pt idx="67">
                  <c:v>52.9</c:v>
                </c:pt>
              </c:numCache>
            </c:numRef>
          </c:val>
          <c:smooth val="0"/>
          <c:extLst>
            <c:ext xmlns:c16="http://schemas.microsoft.com/office/drawing/2014/chart" uri="{C3380CC4-5D6E-409C-BE32-E72D297353CC}">
              <c16:uniqueId val="{00000002-954E-480C-8106-C4311FD489C3}"/>
            </c:ext>
          </c:extLst>
        </c:ser>
        <c:dLbls>
          <c:showLegendKey val="0"/>
          <c:showVal val="0"/>
          <c:showCatName val="0"/>
          <c:showSerName val="0"/>
          <c:showPercent val="0"/>
          <c:showBubbleSize val="0"/>
        </c:dLbls>
        <c:smooth val="0"/>
        <c:axId val="879849104"/>
        <c:axId val="879847464"/>
        <c:extLst>
          <c:ext xmlns:c15="http://schemas.microsoft.com/office/drawing/2012/chart" uri="{02D57815-91ED-43cb-92C2-25804820EDAC}">
            <c15:filteredLineSeries>
              <c15:ser>
                <c:idx val="3"/>
                <c:order val="3"/>
                <c:tx>
                  <c:strRef>
                    <c:extLst>
                      <c:ext uri="{02D57815-91ED-43cb-92C2-25804820EDAC}">
                        <c15:formulaRef>
                          <c15:sqref>'Graf 5'!$H$1</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'Graf 5'!$A$7:$A$74</c15:sqref>
                        </c15:formulaRef>
                      </c:ext>
                    </c:extLst>
                    <c:numCache>
                      <c:formatCode>m/d/yyyy</c:formatCode>
                      <c:ptCount val="6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pt idx="62">
                        <c:v>45382</c:v>
                      </c:pt>
                      <c:pt idx="63">
                        <c:v>45412</c:v>
                      </c:pt>
                      <c:pt idx="64">
                        <c:v>45443</c:v>
                      </c:pt>
                      <c:pt idx="65">
                        <c:v>45473</c:v>
                      </c:pt>
                      <c:pt idx="66">
                        <c:v>45504</c:v>
                      </c:pt>
                      <c:pt idx="67">
                        <c:v>45535</c:v>
                      </c:pt>
                    </c:numCache>
                  </c:numRef>
                </c:cat>
                <c:val>
                  <c:numRef>
                    <c:extLst>
                      <c:ext uri="{02D57815-91ED-43cb-92C2-25804820EDAC}">
                        <c15:formulaRef>
                          <c15:sqref>'Graf 5'!$H$28:$H$44</c15:sqref>
                        </c15:formulaRef>
                      </c:ext>
                    </c:extLst>
                    <c:numCache>
                      <c:formatCode>General</c:formatCode>
                      <c:ptCount val="17"/>
                    </c:numCache>
                  </c:numRef>
                </c:val>
                <c:smooth val="0"/>
                <c:extLst>
                  <c:ext xmlns:c16="http://schemas.microsoft.com/office/drawing/2014/chart" uri="{C3380CC4-5D6E-409C-BE32-E72D297353CC}">
                    <c16:uniqueId val="{00000003-954E-480C-8106-C4311FD489C3}"/>
                  </c:ext>
                </c:extLst>
              </c15:ser>
            </c15:filteredLineSeries>
          </c:ext>
        </c:extLst>
      </c:lineChart>
      <c:valAx>
        <c:axId val="879847464"/>
        <c:scaling>
          <c:orientation val="minMax"/>
          <c:max val="60"/>
          <c:min val="40"/>
        </c:scaling>
        <c:delete val="0"/>
        <c:axPos val="r"/>
        <c:majorGridlines>
          <c:spPr>
            <a:ln w="3175" cap="flat" cmpd="sng" algn="ctr">
              <a:solidFill>
                <a:srgbClr val="686767">
                  <a:alpha val="25000"/>
                </a:srgbClr>
              </a:solidFill>
              <a:prstDash val="sysDot"/>
              <a:round/>
            </a:ln>
            <a:effectLst/>
          </c:spPr>
        </c:majorGridlines>
        <c:numFmt formatCode="General" sourceLinked="1"/>
        <c:majorTickMark val="none"/>
        <c:minorTickMark val="none"/>
        <c:tickLblPos val="low"/>
        <c:spPr>
          <a:noFill/>
          <a:ln w="15875">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crossAx val="879849104"/>
        <c:crosses val="max"/>
        <c:crossBetween val="between"/>
        <c:majorUnit val="5"/>
      </c:valAx>
      <c:dateAx>
        <c:axId val="879849104"/>
        <c:scaling>
          <c:orientation val="minMax"/>
          <c:min val="44562"/>
        </c:scaling>
        <c:delete val="0"/>
        <c:axPos val="b"/>
        <c:numFmt formatCode="[$-41B]mm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crossAx val="879847464"/>
        <c:crossesAt val="50"/>
        <c:auto val="0"/>
        <c:lblOffset val="100"/>
        <c:baseTimeUnit val="months"/>
        <c:majorUnit val="2"/>
        <c:majorTimeUnit val="months"/>
        <c:minorUnit val="1"/>
        <c:minorTimeUnit val="months"/>
      </c:dateAx>
      <c:spPr>
        <a:noFill/>
        <a:ln>
          <a:noFill/>
        </a:ln>
        <a:effectLst/>
      </c:spPr>
    </c:plotArea>
    <c:legend>
      <c:legendPos val="b"/>
      <c:layout>
        <c:manualLayout>
          <c:xMode val="edge"/>
          <c:yMode val="edge"/>
          <c:x val="0.17218354700854704"/>
          <c:y val="3.1027777777777846E-4"/>
          <c:w val="0.67523910256410258"/>
          <c:h val="0.16293861111111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Calibri Light" panose="020F0302020204030204" pitchFamily="34" charset="0"/>
            </a:defRPr>
          </a:pPr>
          <a:endParaRPr lang="sk-SK"/>
        </a:p>
      </c:txPr>
    </c:legend>
    <c:plotVisOnly val="1"/>
    <c:dispBlanksAs val="span"/>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582636593731369E-2"/>
          <c:y val="0.20089228251110386"/>
          <c:w val="0.86726381344658454"/>
          <c:h val="0.6046581844622666"/>
        </c:manualLayout>
      </c:layout>
      <c:lineChart>
        <c:grouping val="standard"/>
        <c:varyColors val="0"/>
        <c:ser>
          <c:idx val="0"/>
          <c:order val="0"/>
          <c:tx>
            <c:strRef>
              <c:f>'Graf 6'!$B$6</c:f>
              <c:strCache>
                <c:ptCount val="1"/>
                <c:pt idx="0">
                  <c:v>EA Objednávky</c:v>
                </c:pt>
              </c:strCache>
            </c:strRef>
          </c:tx>
          <c:spPr>
            <a:ln w="28575" cap="rnd">
              <a:solidFill>
                <a:srgbClr val="00B0F0"/>
              </a:solidFill>
              <a:prstDash val="solid"/>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6'!$B$7:$B$50</c:f>
              <c:numCache>
                <c:formatCode>General</c:formatCode>
                <c:ptCount val="44"/>
                <c:pt idx="0">
                  <c:v>-13.9</c:v>
                </c:pt>
                <c:pt idx="1">
                  <c:v>-12.8</c:v>
                </c:pt>
                <c:pt idx="2">
                  <c:v>-7.7</c:v>
                </c:pt>
                <c:pt idx="3">
                  <c:v>-0.8</c:v>
                </c:pt>
                <c:pt idx="4">
                  <c:v>4.9000000000000004</c:v>
                </c:pt>
                <c:pt idx="5">
                  <c:v>9.5</c:v>
                </c:pt>
                <c:pt idx="6">
                  <c:v>12.4</c:v>
                </c:pt>
                <c:pt idx="7">
                  <c:v>12.1</c:v>
                </c:pt>
                <c:pt idx="8">
                  <c:v>12.3</c:v>
                </c:pt>
                <c:pt idx="9">
                  <c:v>12.9</c:v>
                </c:pt>
                <c:pt idx="10">
                  <c:v>14.7</c:v>
                </c:pt>
                <c:pt idx="11">
                  <c:v>14.7</c:v>
                </c:pt>
                <c:pt idx="12">
                  <c:v>13.9</c:v>
                </c:pt>
                <c:pt idx="13">
                  <c:v>14.1</c:v>
                </c:pt>
                <c:pt idx="14">
                  <c:v>13</c:v>
                </c:pt>
                <c:pt idx="15">
                  <c:v>12.9</c:v>
                </c:pt>
                <c:pt idx="16">
                  <c:v>7.7</c:v>
                </c:pt>
                <c:pt idx="17">
                  <c:v>9.6999999999999993</c:v>
                </c:pt>
                <c:pt idx="18">
                  <c:v>5.5</c:v>
                </c:pt>
                <c:pt idx="19">
                  <c:v>2.2999999999999998</c:v>
                </c:pt>
                <c:pt idx="20">
                  <c:v>2.2000000000000002</c:v>
                </c:pt>
                <c:pt idx="21">
                  <c:v>0.9</c:v>
                </c:pt>
                <c:pt idx="22">
                  <c:v>-2.2000000000000002</c:v>
                </c:pt>
                <c:pt idx="23">
                  <c:v>-2</c:v>
                </c:pt>
                <c:pt idx="24">
                  <c:v>-1.9</c:v>
                </c:pt>
                <c:pt idx="25">
                  <c:v>-1.7</c:v>
                </c:pt>
                <c:pt idx="26">
                  <c:v>-2.5</c:v>
                </c:pt>
                <c:pt idx="27">
                  <c:v>-5.7</c:v>
                </c:pt>
                <c:pt idx="28">
                  <c:v>-9.3000000000000007</c:v>
                </c:pt>
                <c:pt idx="29">
                  <c:v>-12</c:v>
                </c:pt>
                <c:pt idx="30">
                  <c:v>-14.2</c:v>
                </c:pt>
                <c:pt idx="31">
                  <c:v>-17.899999999999999</c:v>
                </c:pt>
                <c:pt idx="32">
                  <c:v>-16.899999999999999</c:v>
                </c:pt>
                <c:pt idx="33">
                  <c:v>-17.8</c:v>
                </c:pt>
                <c:pt idx="34">
                  <c:v>-18.3</c:v>
                </c:pt>
                <c:pt idx="35">
                  <c:v>-19.8</c:v>
                </c:pt>
                <c:pt idx="36">
                  <c:v>-20.2</c:v>
                </c:pt>
                <c:pt idx="37">
                  <c:v>-20.3</c:v>
                </c:pt>
                <c:pt idx="38">
                  <c:v>-18.899999999999999</c:v>
                </c:pt>
                <c:pt idx="39">
                  <c:v>-23.5</c:v>
                </c:pt>
                <c:pt idx="40">
                  <c:v>-21.5</c:v>
                </c:pt>
                <c:pt idx="41">
                  <c:v>-22.1</c:v>
                </c:pt>
                <c:pt idx="42">
                  <c:v>-23.7</c:v>
                </c:pt>
                <c:pt idx="43">
                  <c:v>-23.5</c:v>
                </c:pt>
              </c:numCache>
            </c:numRef>
          </c:val>
          <c:smooth val="0"/>
          <c:extLst>
            <c:ext xmlns:c16="http://schemas.microsoft.com/office/drawing/2014/chart" uri="{C3380CC4-5D6E-409C-BE32-E72D297353CC}">
              <c16:uniqueId val="{00000000-9261-4D3E-B30C-FBCE12A88F17}"/>
            </c:ext>
          </c:extLst>
        </c:ser>
        <c:ser>
          <c:idx val="1"/>
          <c:order val="1"/>
          <c:tx>
            <c:strRef>
              <c:f>'Graf 6'!$C$6</c:f>
              <c:strCache>
                <c:ptCount val="1"/>
                <c:pt idx="0">
                  <c:v>EA Exportné objednávky</c:v>
                </c:pt>
              </c:strCache>
            </c:strRef>
          </c:tx>
          <c:spPr>
            <a:ln w="28575" cap="rnd">
              <a:solidFill>
                <a:srgbClr val="2EAAE1"/>
              </a:solidFill>
              <a:prstDash val="sysDash"/>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6'!$C$7:$C$50</c:f>
              <c:numCache>
                <c:formatCode>General</c:formatCode>
                <c:ptCount val="44"/>
                <c:pt idx="0">
                  <c:v>-19.600000000000001</c:v>
                </c:pt>
                <c:pt idx="1">
                  <c:v>-16.399999999999999</c:v>
                </c:pt>
                <c:pt idx="2">
                  <c:v>-11.1</c:v>
                </c:pt>
                <c:pt idx="3">
                  <c:v>-3.1</c:v>
                </c:pt>
                <c:pt idx="4">
                  <c:v>0.8</c:v>
                </c:pt>
                <c:pt idx="5">
                  <c:v>1.9</c:v>
                </c:pt>
                <c:pt idx="6">
                  <c:v>6.4</c:v>
                </c:pt>
                <c:pt idx="7">
                  <c:v>5</c:v>
                </c:pt>
                <c:pt idx="8">
                  <c:v>4</c:v>
                </c:pt>
                <c:pt idx="9">
                  <c:v>3.6</c:v>
                </c:pt>
                <c:pt idx="10">
                  <c:v>6.4</c:v>
                </c:pt>
                <c:pt idx="11">
                  <c:v>4.2</c:v>
                </c:pt>
                <c:pt idx="12">
                  <c:v>7.4</c:v>
                </c:pt>
                <c:pt idx="13">
                  <c:v>8.4</c:v>
                </c:pt>
                <c:pt idx="14">
                  <c:v>6.1</c:v>
                </c:pt>
                <c:pt idx="15">
                  <c:v>7.7</c:v>
                </c:pt>
                <c:pt idx="16">
                  <c:v>0.4</c:v>
                </c:pt>
                <c:pt idx="17">
                  <c:v>5.0999999999999996</c:v>
                </c:pt>
                <c:pt idx="18">
                  <c:v>0.3</c:v>
                </c:pt>
                <c:pt idx="19">
                  <c:v>-3.7</c:v>
                </c:pt>
                <c:pt idx="20">
                  <c:v>-4.7</c:v>
                </c:pt>
                <c:pt idx="21">
                  <c:v>-6.3</c:v>
                </c:pt>
                <c:pt idx="22">
                  <c:v>-10.1</c:v>
                </c:pt>
                <c:pt idx="23">
                  <c:v>-11.4</c:v>
                </c:pt>
                <c:pt idx="24">
                  <c:v>-6.5</c:v>
                </c:pt>
                <c:pt idx="25">
                  <c:v>-6.2</c:v>
                </c:pt>
                <c:pt idx="26">
                  <c:v>-6</c:v>
                </c:pt>
                <c:pt idx="27">
                  <c:v>-5.3</c:v>
                </c:pt>
                <c:pt idx="28">
                  <c:v>-11</c:v>
                </c:pt>
                <c:pt idx="29">
                  <c:v>-12.5</c:v>
                </c:pt>
                <c:pt idx="30">
                  <c:v>-13.8</c:v>
                </c:pt>
                <c:pt idx="31">
                  <c:v>-20.7</c:v>
                </c:pt>
                <c:pt idx="32">
                  <c:v>-21.1</c:v>
                </c:pt>
                <c:pt idx="33">
                  <c:v>-20</c:v>
                </c:pt>
                <c:pt idx="34">
                  <c:v>-22.6</c:v>
                </c:pt>
                <c:pt idx="35">
                  <c:v>-24.5</c:v>
                </c:pt>
                <c:pt idx="36">
                  <c:v>-21.1</c:v>
                </c:pt>
                <c:pt idx="37">
                  <c:v>-21.8</c:v>
                </c:pt>
                <c:pt idx="38">
                  <c:v>-19.7</c:v>
                </c:pt>
                <c:pt idx="39">
                  <c:v>-19.899999999999999</c:v>
                </c:pt>
                <c:pt idx="40">
                  <c:v>-20.100000000000001</c:v>
                </c:pt>
                <c:pt idx="41">
                  <c:v>-19.600000000000001</c:v>
                </c:pt>
                <c:pt idx="42">
                  <c:v>-24.2</c:v>
                </c:pt>
                <c:pt idx="43">
                  <c:v>-24.9</c:v>
                </c:pt>
              </c:numCache>
            </c:numRef>
          </c:val>
          <c:smooth val="0"/>
          <c:extLst>
            <c:ext xmlns:c16="http://schemas.microsoft.com/office/drawing/2014/chart" uri="{C3380CC4-5D6E-409C-BE32-E72D297353CC}">
              <c16:uniqueId val="{00000001-9261-4D3E-B30C-FBCE12A88F17}"/>
            </c:ext>
          </c:extLst>
        </c:ser>
        <c:ser>
          <c:idx val="2"/>
          <c:order val="2"/>
          <c:tx>
            <c:strRef>
              <c:f>'Graf 6'!$D$6</c:f>
              <c:strCache>
                <c:ptCount val="1"/>
                <c:pt idx="0">
                  <c:v>DE Objednávky</c:v>
                </c:pt>
              </c:strCache>
            </c:strRef>
          </c:tx>
          <c:spPr>
            <a:ln w="28575" cap="rnd">
              <a:solidFill>
                <a:srgbClr val="0C1D2B"/>
              </a:solidFill>
              <a:prstDash val="solid"/>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6'!$D$7:$D$50</c:f>
              <c:numCache>
                <c:formatCode>General</c:formatCode>
                <c:ptCount val="44"/>
                <c:pt idx="0">
                  <c:v>-6.5</c:v>
                </c:pt>
                <c:pt idx="1">
                  <c:v>-2.5</c:v>
                </c:pt>
                <c:pt idx="2">
                  <c:v>6</c:v>
                </c:pt>
                <c:pt idx="3">
                  <c:v>12.1</c:v>
                </c:pt>
                <c:pt idx="4">
                  <c:v>17.3</c:v>
                </c:pt>
                <c:pt idx="5">
                  <c:v>23.7</c:v>
                </c:pt>
                <c:pt idx="6">
                  <c:v>26.6</c:v>
                </c:pt>
                <c:pt idx="7">
                  <c:v>25.6</c:v>
                </c:pt>
                <c:pt idx="8">
                  <c:v>27.6</c:v>
                </c:pt>
                <c:pt idx="9">
                  <c:v>25.4</c:v>
                </c:pt>
                <c:pt idx="10">
                  <c:v>27</c:v>
                </c:pt>
                <c:pt idx="11">
                  <c:v>28.6</c:v>
                </c:pt>
                <c:pt idx="12">
                  <c:v>28.2</c:v>
                </c:pt>
                <c:pt idx="13">
                  <c:v>27.9</c:v>
                </c:pt>
                <c:pt idx="14">
                  <c:v>29.2</c:v>
                </c:pt>
                <c:pt idx="15">
                  <c:v>29.8</c:v>
                </c:pt>
                <c:pt idx="16">
                  <c:v>20.8</c:v>
                </c:pt>
                <c:pt idx="17">
                  <c:v>22.9</c:v>
                </c:pt>
                <c:pt idx="18">
                  <c:v>22.5</c:v>
                </c:pt>
                <c:pt idx="19">
                  <c:v>17.100000000000001</c:v>
                </c:pt>
                <c:pt idx="20">
                  <c:v>16.100000000000001</c:v>
                </c:pt>
                <c:pt idx="21">
                  <c:v>14.3</c:v>
                </c:pt>
                <c:pt idx="22">
                  <c:v>12.2</c:v>
                </c:pt>
                <c:pt idx="23">
                  <c:v>11</c:v>
                </c:pt>
                <c:pt idx="24">
                  <c:v>7.7</c:v>
                </c:pt>
                <c:pt idx="25">
                  <c:v>6.2</c:v>
                </c:pt>
                <c:pt idx="26">
                  <c:v>3.5</c:v>
                </c:pt>
                <c:pt idx="27">
                  <c:v>0.8</c:v>
                </c:pt>
                <c:pt idx="28">
                  <c:v>-4</c:v>
                </c:pt>
                <c:pt idx="29">
                  <c:v>-10</c:v>
                </c:pt>
                <c:pt idx="30">
                  <c:v>-15.8</c:v>
                </c:pt>
                <c:pt idx="31">
                  <c:v>-22.1</c:v>
                </c:pt>
                <c:pt idx="32">
                  <c:v>-19.100000000000001</c:v>
                </c:pt>
                <c:pt idx="33">
                  <c:v>-22.1</c:v>
                </c:pt>
                <c:pt idx="34">
                  <c:v>-22.6</c:v>
                </c:pt>
                <c:pt idx="35">
                  <c:v>-24.6</c:v>
                </c:pt>
                <c:pt idx="36">
                  <c:v>-26.4</c:v>
                </c:pt>
                <c:pt idx="37">
                  <c:v>-27.9</c:v>
                </c:pt>
                <c:pt idx="38">
                  <c:v>-26.3</c:v>
                </c:pt>
                <c:pt idx="39">
                  <c:v>-32.5</c:v>
                </c:pt>
                <c:pt idx="40">
                  <c:v>-31.1</c:v>
                </c:pt>
                <c:pt idx="41">
                  <c:v>-28.6</c:v>
                </c:pt>
                <c:pt idx="42">
                  <c:v>-32.6</c:v>
                </c:pt>
                <c:pt idx="43">
                  <c:v>-36.799999999999997</c:v>
                </c:pt>
              </c:numCache>
            </c:numRef>
          </c:val>
          <c:smooth val="0"/>
          <c:extLst>
            <c:ext xmlns:c16="http://schemas.microsoft.com/office/drawing/2014/chart" uri="{C3380CC4-5D6E-409C-BE32-E72D297353CC}">
              <c16:uniqueId val="{00000002-9261-4D3E-B30C-FBCE12A88F17}"/>
            </c:ext>
          </c:extLst>
        </c:ser>
        <c:ser>
          <c:idx val="3"/>
          <c:order val="3"/>
          <c:tx>
            <c:strRef>
              <c:f>'Graf 6'!$E$6</c:f>
              <c:strCache>
                <c:ptCount val="1"/>
                <c:pt idx="0">
                  <c:v>DE Exportné objednávky</c:v>
                </c:pt>
              </c:strCache>
            </c:strRef>
          </c:tx>
          <c:spPr>
            <a:ln w="28575" cap="rnd">
              <a:solidFill>
                <a:schemeClr val="tx1"/>
              </a:solidFill>
              <a:prstDash val="sysDash"/>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6'!$E$7:$E$50</c:f>
              <c:numCache>
                <c:formatCode>General</c:formatCode>
                <c:ptCount val="44"/>
                <c:pt idx="0">
                  <c:v>-13.1</c:v>
                </c:pt>
                <c:pt idx="1">
                  <c:v>-8.6999999999999993</c:v>
                </c:pt>
                <c:pt idx="2">
                  <c:v>0.2</c:v>
                </c:pt>
                <c:pt idx="3">
                  <c:v>5</c:v>
                </c:pt>
                <c:pt idx="4">
                  <c:v>11.4</c:v>
                </c:pt>
                <c:pt idx="5">
                  <c:v>15.6</c:v>
                </c:pt>
                <c:pt idx="6">
                  <c:v>16.100000000000001</c:v>
                </c:pt>
                <c:pt idx="7">
                  <c:v>15.8</c:v>
                </c:pt>
                <c:pt idx="8">
                  <c:v>19.399999999999999</c:v>
                </c:pt>
                <c:pt idx="9">
                  <c:v>16.5</c:v>
                </c:pt>
                <c:pt idx="10">
                  <c:v>18.100000000000001</c:v>
                </c:pt>
                <c:pt idx="11">
                  <c:v>20</c:v>
                </c:pt>
                <c:pt idx="12">
                  <c:v>18.899999999999999</c:v>
                </c:pt>
                <c:pt idx="13">
                  <c:v>19.3</c:v>
                </c:pt>
                <c:pt idx="14">
                  <c:v>18.399999999999999</c:v>
                </c:pt>
                <c:pt idx="15">
                  <c:v>17.8</c:v>
                </c:pt>
                <c:pt idx="16">
                  <c:v>11.1</c:v>
                </c:pt>
                <c:pt idx="17">
                  <c:v>12.7</c:v>
                </c:pt>
                <c:pt idx="18">
                  <c:v>14.8</c:v>
                </c:pt>
                <c:pt idx="19">
                  <c:v>9.5</c:v>
                </c:pt>
                <c:pt idx="20">
                  <c:v>7</c:v>
                </c:pt>
                <c:pt idx="21">
                  <c:v>8.1</c:v>
                </c:pt>
                <c:pt idx="22">
                  <c:v>6.2</c:v>
                </c:pt>
                <c:pt idx="23">
                  <c:v>2.9</c:v>
                </c:pt>
                <c:pt idx="24">
                  <c:v>0</c:v>
                </c:pt>
                <c:pt idx="25">
                  <c:v>0.7</c:v>
                </c:pt>
                <c:pt idx="26">
                  <c:v>-1.1000000000000001</c:v>
                </c:pt>
                <c:pt idx="27">
                  <c:v>-3.7</c:v>
                </c:pt>
                <c:pt idx="28">
                  <c:v>-8.8000000000000007</c:v>
                </c:pt>
                <c:pt idx="29">
                  <c:v>-10.9</c:v>
                </c:pt>
                <c:pt idx="30">
                  <c:v>-18.5</c:v>
                </c:pt>
                <c:pt idx="31">
                  <c:v>-23.4</c:v>
                </c:pt>
                <c:pt idx="32">
                  <c:v>-20.5</c:v>
                </c:pt>
                <c:pt idx="33">
                  <c:v>-23.5</c:v>
                </c:pt>
                <c:pt idx="34">
                  <c:v>-24.5</c:v>
                </c:pt>
                <c:pt idx="35">
                  <c:v>-26.6</c:v>
                </c:pt>
                <c:pt idx="36">
                  <c:v>-29</c:v>
                </c:pt>
                <c:pt idx="37">
                  <c:v>-29.5</c:v>
                </c:pt>
                <c:pt idx="38">
                  <c:v>-27.6</c:v>
                </c:pt>
                <c:pt idx="39">
                  <c:v>-30.9</c:v>
                </c:pt>
                <c:pt idx="40">
                  <c:v>-28.6</c:v>
                </c:pt>
                <c:pt idx="41">
                  <c:v>-26.9</c:v>
                </c:pt>
                <c:pt idx="42">
                  <c:v>-33.1</c:v>
                </c:pt>
                <c:pt idx="43">
                  <c:v>-34.700000000000003</c:v>
                </c:pt>
              </c:numCache>
            </c:numRef>
          </c:val>
          <c:smooth val="0"/>
          <c:extLst>
            <c:ext xmlns:c16="http://schemas.microsoft.com/office/drawing/2014/chart" uri="{C3380CC4-5D6E-409C-BE32-E72D297353CC}">
              <c16:uniqueId val="{00000003-9261-4D3E-B30C-FBCE12A88F17}"/>
            </c:ext>
          </c:extLst>
        </c:ser>
        <c:dLbls>
          <c:showLegendKey val="0"/>
          <c:showVal val="0"/>
          <c:showCatName val="0"/>
          <c:showSerName val="0"/>
          <c:showPercent val="0"/>
          <c:showBubbleSize val="0"/>
        </c:dLbls>
        <c:smooth val="0"/>
        <c:axId val="878648744"/>
        <c:axId val="878644152"/>
      </c:lineChart>
      <c:dateAx>
        <c:axId val="878648744"/>
        <c:scaling>
          <c:orientation val="minMax"/>
          <c:min val="44562"/>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878644152"/>
        <c:crosses val="autoZero"/>
        <c:auto val="1"/>
        <c:lblOffset val="100"/>
        <c:baseTimeUnit val="months"/>
        <c:majorUnit val="2"/>
        <c:majorTimeUnit val="months"/>
      </c:dateAx>
      <c:valAx>
        <c:axId val="878644152"/>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878648744"/>
        <c:crosses val="autoZero"/>
        <c:crossBetween val="between"/>
      </c:valAx>
      <c:spPr>
        <a:noFill/>
        <a:ln>
          <a:noFill/>
        </a:ln>
        <a:effectLst/>
      </c:spPr>
    </c:plotArea>
    <c:legend>
      <c:legendPos val="t"/>
      <c:layout>
        <c:manualLayout>
          <c:xMode val="edge"/>
          <c:yMode val="edge"/>
          <c:x val="2.4794361525704803E-2"/>
          <c:y val="3.3792055004224365E-2"/>
          <c:w val="0.9167284411276948"/>
          <c:h val="0.2418844378814688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582636593731369E-2"/>
          <c:y val="0.20089228251110386"/>
          <c:w val="0.86726381344658454"/>
          <c:h val="0.6046581844622666"/>
        </c:manualLayout>
      </c:layout>
      <c:lineChart>
        <c:grouping val="standard"/>
        <c:varyColors val="0"/>
        <c:ser>
          <c:idx val="0"/>
          <c:order val="0"/>
          <c:tx>
            <c:strRef>
              <c:f>'Graf 6'!$B$5</c:f>
              <c:strCache>
                <c:ptCount val="1"/>
                <c:pt idx="0">
                  <c:v>EA orders</c:v>
                </c:pt>
              </c:strCache>
            </c:strRef>
          </c:tx>
          <c:spPr>
            <a:ln w="28575" cap="rnd">
              <a:solidFill>
                <a:srgbClr val="00B0F0"/>
              </a:solidFill>
              <a:prstDash val="solid"/>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6'!$B$7:$B$50</c:f>
              <c:numCache>
                <c:formatCode>General</c:formatCode>
                <c:ptCount val="44"/>
                <c:pt idx="0">
                  <c:v>-13.9</c:v>
                </c:pt>
                <c:pt idx="1">
                  <c:v>-12.8</c:v>
                </c:pt>
                <c:pt idx="2">
                  <c:v>-7.7</c:v>
                </c:pt>
                <c:pt idx="3">
                  <c:v>-0.8</c:v>
                </c:pt>
                <c:pt idx="4">
                  <c:v>4.9000000000000004</c:v>
                </c:pt>
                <c:pt idx="5">
                  <c:v>9.5</c:v>
                </c:pt>
                <c:pt idx="6">
                  <c:v>12.4</c:v>
                </c:pt>
                <c:pt idx="7">
                  <c:v>12.1</c:v>
                </c:pt>
                <c:pt idx="8">
                  <c:v>12.3</c:v>
                </c:pt>
                <c:pt idx="9">
                  <c:v>12.9</c:v>
                </c:pt>
                <c:pt idx="10">
                  <c:v>14.7</c:v>
                </c:pt>
                <c:pt idx="11">
                  <c:v>14.7</c:v>
                </c:pt>
                <c:pt idx="12">
                  <c:v>13.9</c:v>
                </c:pt>
                <c:pt idx="13">
                  <c:v>14.1</c:v>
                </c:pt>
                <c:pt idx="14">
                  <c:v>13</c:v>
                </c:pt>
                <c:pt idx="15">
                  <c:v>12.9</c:v>
                </c:pt>
                <c:pt idx="16">
                  <c:v>7.7</c:v>
                </c:pt>
                <c:pt idx="17">
                  <c:v>9.6999999999999993</c:v>
                </c:pt>
                <c:pt idx="18">
                  <c:v>5.5</c:v>
                </c:pt>
                <c:pt idx="19">
                  <c:v>2.2999999999999998</c:v>
                </c:pt>
                <c:pt idx="20">
                  <c:v>2.2000000000000002</c:v>
                </c:pt>
                <c:pt idx="21">
                  <c:v>0.9</c:v>
                </c:pt>
                <c:pt idx="22">
                  <c:v>-2.2000000000000002</c:v>
                </c:pt>
                <c:pt idx="23">
                  <c:v>-2</c:v>
                </c:pt>
                <c:pt idx="24">
                  <c:v>-1.9</c:v>
                </c:pt>
                <c:pt idx="25">
                  <c:v>-1.7</c:v>
                </c:pt>
                <c:pt idx="26">
                  <c:v>-2.5</c:v>
                </c:pt>
                <c:pt idx="27">
                  <c:v>-5.7</c:v>
                </c:pt>
                <c:pt idx="28">
                  <c:v>-9.3000000000000007</c:v>
                </c:pt>
                <c:pt idx="29">
                  <c:v>-12</c:v>
                </c:pt>
                <c:pt idx="30">
                  <c:v>-14.2</c:v>
                </c:pt>
                <c:pt idx="31">
                  <c:v>-17.899999999999999</c:v>
                </c:pt>
                <c:pt idx="32">
                  <c:v>-16.899999999999999</c:v>
                </c:pt>
                <c:pt idx="33">
                  <c:v>-17.8</c:v>
                </c:pt>
                <c:pt idx="34">
                  <c:v>-18.3</c:v>
                </c:pt>
                <c:pt idx="35">
                  <c:v>-19.8</c:v>
                </c:pt>
                <c:pt idx="36">
                  <c:v>-20.2</c:v>
                </c:pt>
                <c:pt idx="37">
                  <c:v>-20.3</c:v>
                </c:pt>
                <c:pt idx="38">
                  <c:v>-18.899999999999999</c:v>
                </c:pt>
                <c:pt idx="39">
                  <c:v>-23.5</c:v>
                </c:pt>
                <c:pt idx="40">
                  <c:v>-21.5</c:v>
                </c:pt>
                <c:pt idx="41">
                  <c:v>-22.1</c:v>
                </c:pt>
                <c:pt idx="42">
                  <c:v>-23.7</c:v>
                </c:pt>
                <c:pt idx="43">
                  <c:v>-23.5</c:v>
                </c:pt>
              </c:numCache>
            </c:numRef>
          </c:val>
          <c:smooth val="0"/>
          <c:extLst>
            <c:ext xmlns:c16="http://schemas.microsoft.com/office/drawing/2014/chart" uri="{C3380CC4-5D6E-409C-BE32-E72D297353CC}">
              <c16:uniqueId val="{00000000-9CD8-49B9-8310-C451FF1CA2C8}"/>
            </c:ext>
          </c:extLst>
        </c:ser>
        <c:ser>
          <c:idx val="1"/>
          <c:order val="1"/>
          <c:tx>
            <c:strRef>
              <c:f>'Graf 6'!$C$5</c:f>
              <c:strCache>
                <c:ptCount val="1"/>
                <c:pt idx="0">
                  <c:v>EA exp. ord.</c:v>
                </c:pt>
              </c:strCache>
            </c:strRef>
          </c:tx>
          <c:spPr>
            <a:ln w="28575" cap="rnd">
              <a:solidFill>
                <a:srgbClr val="2EAAE1"/>
              </a:solidFill>
              <a:prstDash val="sysDash"/>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6'!$C$7:$C$50</c:f>
              <c:numCache>
                <c:formatCode>General</c:formatCode>
                <c:ptCount val="44"/>
                <c:pt idx="0">
                  <c:v>-19.600000000000001</c:v>
                </c:pt>
                <c:pt idx="1">
                  <c:v>-16.399999999999999</c:v>
                </c:pt>
                <c:pt idx="2">
                  <c:v>-11.1</c:v>
                </c:pt>
                <c:pt idx="3">
                  <c:v>-3.1</c:v>
                </c:pt>
                <c:pt idx="4">
                  <c:v>0.8</c:v>
                </c:pt>
                <c:pt idx="5">
                  <c:v>1.9</c:v>
                </c:pt>
                <c:pt idx="6">
                  <c:v>6.4</c:v>
                </c:pt>
                <c:pt idx="7">
                  <c:v>5</c:v>
                </c:pt>
                <c:pt idx="8">
                  <c:v>4</c:v>
                </c:pt>
                <c:pt idx="9">
                  <c:v>3.6</c:v>
                </c:pt>
                <c:pt idx="10">
                  <c:v>6.4</c:v>
                </c:pt>
                <c:pt idx="11">
                  <c:v>4.2</c:v>
                </c:pt>
                <c:pt idx="12">
                  <c:v>7.4</c:v>
                </c:pt>
                <c:pt idx="13">
                  <c:v>8.4</c:v>
                </c:pt>
                <c:pt idx="14">
                  <c:v>6.1</c:v>
                </c:pt>
                <c:pt idx="15">
                  <c:v>7.7</c:v>
                </c:pt>
                <c:pt idx="16">
                  <c:v>0.4</c:v>
                </c:pt>
                <c:pt idx="17">
                  <c:v>5.0999999999999996</c:v>
                </c:pt>
                <c:pt idx="18">
                  <c:v>0.3</c:v>
                </c:pt>
                <c:pt idx="19">
                  <c:v>-3.7</c:v>
                </c:pt>
                <c:pt idx="20">
                  <c:v>-4.7</c:v>
                </c:pt>
                <c:pt idx="21">
                  <c:v>-6.3</c:v>
                </c:pt>
                <c:pt idx="22">
                  <c:v>-10.1</c:v>
                </c:pt>
                <c:pt idx="23">
                  <c:v>-11.4</c:v>
                </c:pt>
                <c:pt idx="24">
                  <c:v>-6.5</c:v>
                </c:pt>
                <c:pt idx="25">
                  <c:v>-6.2</c:v>
                </c:pt>
                <c:pt idx="26">
                  <c:v>-6</c:v>
                </c:pt>
                <c:pt idx="27">
                  <c:v>-5.3</c:v>
                </c:pt>
                <c:pt idx="28">
                  <c:v>-11</c:v>
                </c:pt>
                <c:pt idx="29">
                  <c:v>-12.5</c:v>
                </c:pt>
                <c:pt idx="30">
                  <c:v>-13.8</c:v>
                </c:pt>
                <c:pt idx="31">
                  <c:v>-20.7</c:v>
                </c:pt>
                <c:pt idx="32">
                  <c:v>-21.1</c:v>
                </c:pt>
                <c:pt idx="33">
                  <c:v>-20</c:v>
                </c:pt>
                <c:pt idx="34">
                  <c:v>-22.6</c:v>
                </c:pt>
                <c:pt idx="35">
                  <c:v>-24.5</c:v>
                </c:pt>
                <c:pt idx="36">
                  <c:v>-21.1</c:v>
                </c:pt>
                <c:pt idx="37">
                  <c:v>-21.8</c:v>
                </c:pt>
                <c:pt idx="38">
                  <c:v>-19.7</c:v>
                </c:pt>
                <c:pt idx="39">
                  <c:v>-19.899999999999999</c:v>
                </c:pt>
                <c:pt idx="40">
                  <c:v>-20.100000000000001</c:v>
                </c:pt>
                <c:pt idx="41">
                  <c:v>-19.600000000000001</c:v>
                </c:pt>
                <c:pt idx="42">
                  <c:v>-24.2</c:v>
                </c:pt>
                <c:pt idx="43">
                  <c:v>-24.9</c:v>
                </c:pt>
              </c:numCache>
            </c:numRef>
          </c:val>
          <c:smooth val="0"/>
          <c:extLst>
            <c:ext xmlns:c16="http://schemas.microsoft.com/office/drawing/2014/chart" uri="{C3380CC4-5D6E-409C-BE32-E72D297353CC}">
              <c16:uniqueId val="{00000001-9CD8-49B9-8310-C451FF1CA2C8}"/>
            </c:ext>
          </c:extLst>
        </c:ser>
        <c:ser>
          <c:idx val="2"/>
          <c:order val="2"/>
          <c:tx>
            <c:strRef>
              <c:f>'Graf 6'!$D$5</c:f>
              <c:strCache>
                <c:ptCount val="1"/>
                <c:pt idx="0">
                  <c:v>DE ord.</c:v>
                </c:pt>
              </c:strCache>
            </c:strRef>
          </c:tx>
          <c:spPr>
            <a:ln w="28575" cap="rnd">
              <a:solidFill>
                <a:srgbClr val="0C1D2B"/>
              </a:solidFill>
              <a:prstDash val="solid"/>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6'!$D$7:$D$50</c:f>
              <c:numCache>
                <c:formatCode>General</c:formatCode>
                <c:ptCount val="44"/>
                <c:pt idx="0">
                  <c:v>-6.5</c:v>
                </c:pt>
                <c:pt idx="1">
                  <c:v>-2.5</c:v>
                </c:pt>
                <c:pt idx="2">
                  <c:v>6</c:v>
                </c:pt>
                <c:pt idx="3">
                  <c:v>12.1</c:v>
                </c:pt>
                <c:pt idx="4">
                  <c:v>17.3</c:v>
                </c:pt>
                <c:pt idx="5">
                  <c:v>23.7</c:v>
                </c:pt>
                <c:pt idx="6">
                  <c:v>26.6</c:v>
                </c:pt>
                <c:pt idx="7">
                  <c:v>25.6</c:v>
                </c:pt>
                <c:pt idx="8">
                  <c:v>27.6</c:v>
                </c:pt>
                <c:pt idx="9">
                  <c:v>25.4</c:v>
                </c:pt>
                <c:pt idx="10">
                  <c:v>27</c:v>
                </c:pt>
                <c:pt idx="11">
                  <c:v>28.6</c:v>
                </c:pt>
                <c:pt idx="12">
                  <c:v>28.2</c:v>
                </c:pt>
                <c:pt idx="13">
                  <c:v>27.9</c:v>
                </c:pt>
                <c:pt idx="14">
                  <c:v>29.2</c:v>
                </c:pt>
                <c:pt idx="15">
                  <c:v>29.8</c:v>
                </c:pt>
                <c:pt idx="16">
                  <c:v>20.8</c:v>
                </c:pt>
                <c:pt idx="17">
                  <c:v>22.9</c:v>
                </c:pt>
                <c:pt idx="18">
                  <c:v>22.5</c:v>
                </c:pt>
                <c:pt idx="19">
                  <c:v>17.100000000000001</c:v>
                </c:pt>
                <c:pt idx="20">
                  <c:v>16.100000000000001</c:v>
                </c:pt>
                <c:pt idx="21">
                  <c:v>14.3</c:v>
                </c:pt>
                <c:pt idx="22">
                  <c:v>12.2</c:v>
                </c:pt>
                <c:pt idx="23">
                  <c:v>11</c:v>
                </c:pt>
                <c:pt idx="24">
                  <c:v>7.7</c:v>
                </c:pt>
                <c:pt idx="25">
                  <c:v>6.2</c:v>
                </c:pt>
                <c:pt idx="26">
                  <c:v>3.5</c:v>
                </c:pt>
                <c:pt idx="27">
                  <c:v>0.8</c:v>
                </c:pt>
                <c:pt idx="28">
                  <c:v>-4</c:v>
                </c:pt>
                <c:pt idx="29">
                  <c:v>-10</c:v>
                </c:pt>
                <c:pt idx="30">
                  <c:v>-15.8</c:v>
                </c:pt>
                <c:pt idx="31">
                  <c:v>-22.1</c:v>
                </c:pt>
                <c:pt idx="32">
                  <c:v>-19.100000000000001</c:v>
                </c:pt>
                <c:pt idx="33">
                  <c:v>-22.1</c:v>
                </c:pt>
                <c:pt idx="34">
                  <c:v>-22.6</c:v>
                </c:pt>
                <c:pt idx="35">
                  <c:v>-24.6</c:v>
                </c:pt>
                <c:pt idx="36">
                  <c:v>-26.4</c:v>
                </c:pt>
                <c:pt idx="37">
                  <c:v>-27.9</c:v>
                </c:pt>
                <c:pt idx="38">
                  <c:v>-26.3</c:v>
                </c:pt>
                <c:pt idx="39">
                  <c:v>-32.5</c:v>
                </c:pt>
                <c:pt idx="40">
                  <c:v>-31.1</c:v>
                </c:pt>
                <c:pt idx="41">
                  <c:v>-28.6</c:v>
                </c:pt>
                <c:pt idx="42">
                  <c:v>-32.6</c:v>
                </c:pt>
                <c:pt idx="43">
                  <c:v>-36.799999999999997</c:v>
                </c:pt>
              </c:numCache>
            </c:numRef>
          </c:val>
          <c:smooth val="0"/>
          <c:extLst>
            <c:ext xmlns:c16="http://schemas.microsoft.com/office/drawing/2014/chart" uri="{C3380CC4-5D6E-409C-BE32-E72D297353CC}">
              <c16:uniqueId val="{00000002-9CD8-49B9-8310-C451FF1CA2C8}"/>
            </c:ext>
          </c:extLst>
        </c:ser>
        <c:ser>
          <c:idx val="3"/>
          <c:order val="3"/>
          <c:tx>
            <c:strRef>
              <c:f>'Graf 6'!$E$5</c:f>
              <c:strCache>
                <c:ptCount val="1"/>
                <c:pt idx="0">
                  <c:v>DE exp. ord.</c:v>
                </c:pt>
              </c:strCache>
            </c:strRef>
          </c:tx>
          <c:spPr>
            <a:ln w="28575" cap="rnd">
              <a:solidFill>
                <a:schemeClr val="tx1"/>
              </a:solidFill>
              <a:prstDash val="sysDash"/>
              <a:round/>
            </a:ln>
            <a:effectLst/>
          </c:spPr>
          <c:marker>
            <c:symbol val="none"/>
          </c:marker>
          <c:cat>
            <c:numRef>
              <c:f>'Graf 6'!$A$7:$A$50</c:f>
              <c:numCache>
                <c:formatCode>[$-41B]mmmm\ yy;@</c:formatCode>
                <c:ptCount val="44"/>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numCache>
            </c:numRef>
          </c:cat>
          <c:val>
            <c:numRef>
              <c:f>'Graf 6'!$E$7:$E$50</c:f>
              <c:numCache>
                <c:formatCode>General</c:formatCode>
                <c:ptCount val="44"/>
                <c:pt idx="0">
                  <c:v>-13.1</c:v>
                </c:pt>
                <c:pt idx="1">
                  <c:v>-8.6999999999999993</c:v>
                </c:pt>
                <c:pt idx="2">
                  <c:v>0.2</c:v>
                </c:pt>
                <c:pt idx="3">
                  <c:v>5</c:v>
                </c:pt>
                <c:pt idx="4">
                  <c:v>11.4</c:v>
                </c:pt>
                <c:pt idx="5">
                  <c:v>15.6</c:v>
                </c:pt>
                <c:pt idx="6">
                  <c:v>16.100000000000001</c:v>
                </c:pt>
                <c:pt idx="7">
                  <c:v>15.8</c:v>
                </c:pt>
                <c:pt idx="8">
                  <c:v>19.399999999999999</c:v>
                </c:pt>
                <c:pt idx="9">
                  <c:v>16.5</c:v>
                </c:pt>
                <c:pt idx="10">
                  <c:v>18.100000000000001</c:v>
                </c:pt>
                <c:pt idx="11">
                  <c:v>20</c:v>
                </c:pt>
                <c:pt idx="12">
                  <c:v>18.899999999999999</c:v>
                </c:pt>
                <c:pt idx="13">
                  <c:v>19.3</c:v>
                </c:pt>
                <c:pt idx="14">
                  <c:v>18.399999999999999</c:v>
                </c:pt>
                <c:pt idx="15">
                  <c:v>17.8</c:v>
                </c:pt>
                <c:pt idx="16">
                  <c:v>11.1</c:v>
                </c:pt>
                <c:pt idx="17">
                  <c:v>12.7</c:v>
                </c:pt>
                <c:pt idx="18">
                  <c:v>14.8</c:v>
                </c:pt>
                <c:pt idx="19">
                  <c:v>9.5</c:v>
                </c:pt>
                <c:pt idx="20">
                  <c:v>7</c:v>
                </c:pt>
                <c:pt idx="21">
                  <c:v>8.1</c:v>
                </c:pt>
                <c:pt idx="22">
                  <c:v>6.2</c:v>
                </c:pt>
                <c:pt idx="23">
                  <c:v>2.9</c:v>
                </c:pt>
                <c:pt idx="24">
                  <c:v>0</c:v>
                </c:pt>
                <c:pt idx="25">
                  <c:v>0.7</c:v>
                </c:pt>
                <c:pt idx="26">
                  <c:v>-1.1000000000000001</c:v>
                </c:pt>
                <c:pt idx="27">
                  <c:v>-3.7</c:v>
                </c:pt>
                <c:pt idx="28">
                  <c:v>-8.8000000000000007</c:v>
                </c:pt>
                <c:pt idx="29">
                  <c:v>-10.9</c:v>
                </c:pt>
                <c:pt idx="30">
                  <c:v>-18.5</c:v>
                </c:pt>
                <c:pt idx="31">
                  <c:v>-23.4</c:v>
                </c:pt>
                <c:pt idx="32">
                  <c:v>-20.5</c:v>
                </c:pt>
                <c:pt idx="33">
                  <c:v>-23.5</c:v>
                </c:pt>
                <c:pt idx="34">
                  <c:v>-24.5</c:v>
                </c:pt>
                <c:pt idx="35">
                  <c:v>-26.6</c:v>
                </c:pt>
                <c:pt idx="36">
                  <c:v>-29</c:v>
                </c:pt>
                <c:pt idx="37">
                  <c:v>-29.5</c:v>
                </c:pt>
                <c:pt idx="38">
                  <c:v>-27.6</c:v>
                </c:pt>
                <c:pt idx="39">
                  <c:v>-30.9</c:v>
                </c:pt>
                <c:pt idx="40">
                  <c:v>-28.6</c:v>
                </c:pt>
                <c:pt idx="41">
                  <c:v>-26.9</c:v>
                </c:pt>
                <c:pt idx="42">
                  <c:v>-33.1</c:v>
                </c:pt>
                <c:pt idx="43">
                  <c:v>-34.700000000000003</c:v>
                </c:pt>
              </c:numCache>
            </c:numRef>
          </c:val>
          <c:smooth val="0"/>
          <c:extLst>
            <c:ext xmlns:c16="http://schemas.microsoft.com/office/drawing/2014/chart" uri="{C3380CC4-5D6E-409C-BE32-E72D297353CC}">
              <c16:uniqueId val="{00000003-9CD8-49B9-8310-C451FF1CA2C8}"/>
            </c:ext>
          </c:extLst>
        </c:ser>
        <c:dLbls>
          <c:showLegendKey val="0"/>
          <c:showVal val="0"/>
          <c:showCatName val="0"/>
          <c:showSerName val="0"/>
          <c:showPercent val="0"/>
          <c:showBubbleSize val="0"/>
        </c:dLbls>
        <c:smooth val="0"/>
        <c:axId val="878648744"/>
        <c:axId val="878644152"/>
      </c:lineChart>
      <c:dateAx>
        <c:axId val="878648744"/>
        <c:scaling>
          <c:orientation val="minMax"/>
          <c:min val="44562"/>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878644152"/>
        <c:crosses val="autoZero"/>
        <c:auto val="1"/>
        <c:lblOffset val="100"/>
        <c:baseTimeUnit val="months"/>
        <c:majorUnit val="2"/>
        <c:majorTimeUnit val="months"/>
      </c:dateAx>
      <c:valAx>
        <c:axId val="878644152"/>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878648744"/>
        <c:crosses val="autoZero"/>
        <c:crossBetween val="between"/>
      </c:valAx>
      <c:spPr>
        <a:noFill/>
        <a:ln>
          <a:noFill/>
        </a:ln>
        <a:effectLst/>
      </c:spPr>
    </c:plotArea>
    <c:legend>
      <c:legendPos val="t"/>
      <c:layout>
        <c:manualLayout>
          <c:xMode val="edge"/>
          <c:yMode val="edge"/>
          <c:x val="2.4794361525704803E-2"/>
          <c:y val="3.3792055004224365E-2"/>
          <c:w val="0.9167284411276948"/>
          <c:h val="0.1610495124934269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21178922517935E-2"/>
          <c:y val="0.10034005050981379"/>
          <c:w val="0.90267101938434868"/>
          <c:h val="0.73704664298364198"/>
        </c:manualLayout>
      </c:layout>
      <c:lineChart>
        <c:grouping val="standard"/>
        <c:varyColors val="0"/>
        <c:ser>
          <c:idx val="0"/>
          <c:order val="0"/>
          <c:tx>
            <c:strRef>
              <c:f>'Graf 7'!$B$6</c:f>
              <c:strCache>
                <c:ptCount val="1"/>
                <c:pt idx="0">
                  <c:v>Celkové očakávania</c:v>
                </c:pt>
              </c:strCache>
            </c:strRef>
          </c:tx>
          <c:spPr>
            <a:ln w="28575" cap="rnd">
              <a:solidFill>
                <a:schemeClr val="tx1"/>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7'!$B$7:$B$50</c:f>
              <c:numCache>
                <c:formatCode>General</c:formatCode>
                <c:ptCount val="44"/>
                <c:pt idx="0">
                  <c:v>61.8</c:v>
                </c:pt>
                <c:pt idx="1">
                  <c:v>71.2</c:v>
                </c:pt>
                <c:pt idx="2">
                  <c:v>76.599999999999994</c:v>
                </c:pt>
                <c:pt idx="3">
                  <c:v>70.7</c:v>
                </c:pt>
                <c:pt idx="4">
                  <c:v>84.4</c:v>
                </c:pt>
                <c:pt idx="5">
                  <c:v>79.8</c:v>
                </c:pt>
                <c:pt idx="6">
                  <c:v>63.3</c:v>
                </c:pt>
                <c:pt idx="7">
                  <c:v>40.4</c:v>
                </c:pt>
                <c:pt idx="8">
                  <c:v>26.5</c:v>
                </c:pt>
                <c:pt idx="9">
                  <c:v>22.3</c:v>
                </c:pt>
                <c:pt idx="10">
                  <c:v>31.7</c:v>
                </c:pt>
                <c:pt idx="11">
                  <c:v>29.9</c:v>
                </c:pt>
                <c:pt idx="12">
                  <c:v>51.7</c:v>
                </c:pt>
                <c:pt idx="13">
                  <c:v>54.3</c:v>
                </c:pt>
                <c:pt idx="14">
                  <c:v>-39.299999999999997</c:v>
                </c:pt>
                <c:pt idx="15">
                  <c:v>-41</c:v>
                </c:pt>
                <c:pt idx="16">
                  <c:v>-34.299999999999997</c:v>
                </c:pt>
                <c:pt idx="17">
                  <c:v>-28</c:v>
                </c:pt>
                <c:pt idx="18">
                  <c:v>-53.8</c:v>
                </c:pt>
                <c:pt idx="19">
                  <c:v>-55.3</c:v>
                </c:pt>
                <c:pt idx="20">
                  <c:v>-61.9</c:v>
                </c:pt>
                <c:pt idx="21">
                  <c:v>-59.2</c:v>
                </c:pt>
                <c:pt idx="22">
                  <c:v>-36.700000000000003</c:v>
                </c:pt>
                <c:pt idx="23">
                  <c:v>-23.3</c:v>
                </c:pt>
                <c:pt idx="24">
                  <c:v>16.899999999999999</c:v>
                </c:pt>
                <c:pt idx="25">
                  <c:v>28.1</c:v>
                </c:pt>
                <c:pt idx="26">
                  <c:v>13</c:v>
                </c:pt>
                <c:pt idx="27">
                  <c:v>4.0999999999999996</c:v>
                </c:pt>
                <c:pt idx="28">
                  <c:v>-10.7</c:v>
                </c:pt>
                <c:pt idx="29">
                  <c:v>-8.5</c:v>
                </c:pt>
                <c:pt idx="30">
                  <c:v>-14.7</c:v>
                </c:pt>
                <c:pt idx="31">
                  <c:v>-12.3</c:v>
                </c:pt>
                <c:pt idx="32">
                  <c:v>-11.4</c:v>
                </c:pt>
                <c:pt idx="33">
                  <c:v>-1.1000000000000001</c:v>
                </c:pt>
                <c:pt idx="34">
                  <c:v>9.8000000000000007</c:v>
                </c:pt>
                <c:pt idx="35">
                  <c:v>12.8</c:v>
                </c:pt>
                <c:pt idx="36">
                  <c:v>15.2</c:v>
                </c:pt>
                <c:pt idx="37">
                  <c:v>19.899999999999999</c:v>
                </c:pt>
                <c:pt idx="38">
                  <c:v>31.7</c:v>
                </c:pt>
                <c:pt idx="39">
                  <c:v>42.9</c:v>
                </c:pt>
                <c:pt idx="40">
                  <c:v>47.1</c:v>
                </c:pt>
                <c:pt idx="41">
                  <c:v>47.5</c:v>
                </c:pt>
                <c:pt idx="42">
                  <c:v>41.8</c:v>
                </c:pt>
                <c:pt idx="43">
                  <c:v>19.2</c:v>
                </c:pt>
              </c:numCache>
            </c:numRef>
          </c:val>
          <c:smooth val="0"/>
          <c:extLst>
            <c:ext xmlns:c16="http://schemas.microsoft.com/office/drawing/2014/chart" uri="{C3380CC4-5D6E-409C-BE32-E72D297353CC}">
              <c16:uniqueId val="{00000000-525B-4C25-9B93-73FDCBAB8990}"/>
            </c:ext>
          </c:extLst>
        </c:ser>
        <c:ser>
          <c:idx val="1"/>
          <c:order val="1"/>
          <c:tx>
            <c:strRef>
              <c:f>'Graf 7'!$C$6</c:f>
              <c:strCache>
                <c:ptCount val="1"/>
                <c:pt idx="0">
                  <c:v>Automobilky</c:v>
                </c:pt>
              </c:strCache>
            </c:strRef>
          </c:tx>
          <c:spPr>
            <a:ln w="25400" cap="rnd">
              <a:solidFill>
                <a:srgbClr val="2EAAE1"/>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7'!$C$7:$C$50</c:f>
              <c:numCache>
                <c:formatCode>General</c:formatCode>
                <c:ptCount val="44"/>
                <c:pt idx="0">
                  <c:v>13.4</c:v>
                </c:pt>
                <c:pt idx="1">
                  <c:v>24.6</c:v>
                </c:pt>
                <c:pt idx="2">
                  <c:v>39.299999999999997</c:v>
                </c:pt>
                <c:pt idx="3">
                  <c:v>47.9</c:v>
                </c:pt>
                <c:pt idx="4">
                  <c:v>54.8</c:v>
                </c:pt>
                <c:pt idx="5">
                  <c:v>61.9</c:v>
                </c:pt>
                <c:pt idx="6">
                  <c:v>48.7</c:v>
                </c:pt>
                <c:pt idx="7">
                  <c:v>33.5</c:v>
                </c:pt>
                <c:pt idx="8">
                  <c:v>17.3</c:v>
                </c:pt>
                <c:pt idx="9">
                  <c:v>-8.1999999999999993</c:v>
                </c:pt>
                <c:pt idx="10">
                  <c:v>-7.6</c:v>
                </c:pt>
                <c:pt idx="11">
                  <c:v>0.1</c:v>
                </c:pt>
                <c:pt idx="12">
                  <c:v>21</c:v>
                </c:pt>
                <c:pt idx="13">
                  <c:v>30.7</c:v>
                </c:pt>
                <c:pt idx="14">
                  <c:v>-58.5</c:v>
                </c:pt>
                <c:pt idx="15">
                  <c:v>-61.7</c:v>
                </c:pt>
                <c:pt idx="16">
                  <c:v>-43.9</c:v>
                </c:pt>
                <c:pt idx="17">
                  <c:v>-36.4</c:v>
                </c:pt>
                <c:pt idx="18">
                  <c:v>-51.2</c:v>
                </c:pt>
                <c:pt idx="19">
                  <c:v>-44.1</c:v>
                </c:pt>
                <c:pt idx="20">
                  <c:v>-59.2</c:v>
                </c:pt>
                <c:pt idx="21">
                  <c:v>-63.2</c:v>
                </c:pt>
                <c:pt idx="22">
                  <c:v>-52.1</c:v>
                </c:pt>
                <c:pt idx="23">
                  <c:v>-41.5</c:v>
                </c:pt>
                <c:pt idx="24">
                  <c:v>-34.700000000000003</c:v>
                </c:pt>
                <c:pt idx="25">
                  <c:v>-20.100000000000001</c:v>
                </c:pt>
                <c:pt idx="26">
                  <c:v>-24.1</c:v>
                </c:pt>
                <c:pt idx="27">
                  <c:v>-16.600000000000001</c:v>
                </c:pt>
                <c:pt idx="28">
                  <c:v>-31.7</c:v>
                </c:pt>
                <c:pt idx="29">
                  <c:v>-38</c:v>
                </c:pt>
                <c:pt idx="30">
                  <c:v>-46.4</c:v>
                </c:pt>
                <c:pt idx="31">
                  <c:v>-52.7</c:v>
                </c:pt>
                <c:pt idx="32">
                  <c:v>-59.5</c:v>
                </c:pt>
                <c:pt idx="33">
                  <c:v>-51</c:v>
                </c:pt>
                <c:pt idx="34">
                  <c:v>-42.8</c:v>
                </c:pt>
                <c:pt idx="35">
                  <c:v>-48.6</c:v>
                </c:pt>
                <c:pt idx="36">
                  <c:v>-39.6</c:v>
                </c:pt>
                <c:pt idx="37">
                  <c:v>-50.3</c:v>
                </c:pt>
                <c:pt idx="38">
                  <c:v>-42.1</c:v>
                </c:pt>
                <c:pt idx="39">
                  <c:v>-22.5</c:v>
                </c:pt>
                <c:pt idx="40">
                  <c:v>-31</c:v>
                </c:pt>
                <c:pt idx="41">
                  <c:v>-37</c:v>
                </c:pt>
                <c:pt idx="42">
                  <c:v>-42.4</c:v>
                </c:pt>
                <c:pt idx="43">
                  <c:v>-53.7</c:v>
                </c:pt>
              </c:numCache>
            </c:numRef>
          </c:val>
          <c:smooth val="0"/>
          <c:extLst>
            <c:ext xmlns:c16="http://schemas.microsoft.com/office/drawing/2014/chart" uri="{C3380CC4-5D6E-409C-BE32-E72D297353CC}">
              <c16:uniqueId val="{00000001-525B-4C25-9B93-73FDCBAB8990}"/>
            </c:ext>
          </c:extLst>
        </c:ser>
        <c:ser>
          <c:idx val="2"/>
          <c:order val="2"/>
          <c:tx>
            <c:strRef>
              <c:f>'Graf 7'!$D$6</c:f>
              <c:strCache>
                <c:ptCount val="1"/>
                <c:pt idx="0">
                  <c:v>Chemický priemysel</c:v>
                </c:pt>
              </c:strCache>
            </c:strRef>
          </c:tx>
          <c:spPr>
            <a:ln w="25400" cap="rnd">
              <a:solidFill>
                <a:schemeClr val="accent4"/>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7'!$D$7:$D$50</c:f>
              <c:numCache>
                <c:formatCode>General</c:formatCode>
                <c:ptCount val="44"/>
                <c:pt idx="0">
                  <c:v>70.599999999999994</c:v>
                </c:pt>
                <c:pt idx="1">
                  <c:v>70.400000000000006</c:v>
                </c:pt>
                <c:pt idx="2">
                  <c:v>70.3</c:v>
                </c:pt>
                <c:pt idx="3">
                  <c:v>79.599999999999994</c:v>
                </c:pt>
                <c:pt idx="4">
                  <c:v>75.3</c:v>
                </c:pt>
                <c:pt idx="5">
                  <c:v>72.900000000000006</c:v>
                </c:pt>
                <c:pt idx="6">
                  <c:v>66.5</c:v>
                </c:pt>
                <c:pt idx="7">
                  <c:v>59.9</c:v>
                </c:pt>
                <c:pt idx="8">
                  <c:v>52.7</c:v>
                </c:pt>
                <c:pt idx="9">
                  <c:v>33.4</c:v>
                </c:pt>
                <c:pt idx="10">
                  <c:v>32.799999999999997</c:v>
                </c:pt>
                <c:pt idx="11">
                  <c:v>37.200000000000003</c:v>
                </c:pt>
                <c:pt idx="12">
                  <c:v>46.1</c:v>
                </c:pt>
                <c:pt idx="13">
                  <c:v>42</c:v>
                </c:pt>
                <c:pt idx="14">
                  <c:v>-21.4</c:v>
                </c:pt>
                <c:pt idx="15">
                  <c:v>-48.8</c:v>
                </c:pt>
                <c:pt idx="16">
                  <c:v>-35.9</c:v>
                </c:pt>
                <c:pt idx="17">
                  <c:v>-18.8</c:v>
                </c:pt>
                <c:pt idx="18">
                  <c:v>-39</c:v>
                </c:pt>
                <c:pt idx="19">
                  <c:v>-42.2</c:v>
                </c:pt>
                <c:pt idx="20">
                  <c:v>-53.9</c:v>
                </c:pt>
                <c:pt idx="21">
                  <c:v>-56.7</c:v>
                </c:pt>
                <c:pt idx="22">
                  <c:v>-32.4</c:v>
                </c:pt>
                <c:pt idx="23">
                  <c:v>-24.2</c:v>
                </c:pt>
                <c:pt idx="24">
                  <c:v>-15.8</c:v>
                </c:pt>
                <c:pt idx="25">
                  <c:v>-0.7</c:v>
                </c:pt>
                <c:pt idx="26">
                  <c:v>-7.3</c:v>
                </c:pt>
                <c:pt idx="27">
                  <c:v>-3.9</c:v>
                </c:pt>
                <c:pt idx="28">
                  <c:v>-10</c:v>
                </c:pt>
                <c:pt idx="29">
                  <c:v>-12.8</c:v>
                </c:pt>
                <c:pt idx="30">
                  <c:v>-22.2</c:v>
                </c:pt>
                <c:pt idx="31">
                  <c:v>-27.1</c:v>
                </c:pt>
                <c:pt idx="32">
                  <c:v>-25</c:v>
                </c:pt>
                <c:pt idx="33">
                  <c:v>-20.6</c:v>
                </c:pt>
                <c:pt idx="34">
                  <c:v>-7.5</c:v>
                </c:pt>
                <c:pt idx="35">
                  <c:v>-12.9</c:v>
                </c:pt>
                <c:pt idx="36">
                  <c:v>-7.7</c:v>
                </c:pt>
                <c:pt idx="37">
                  <c:v>-9.5</c:v>
                </c:pt>
                <c:pt idx="38">
                  <c:v>2.8</c:v>
                </c:pt>
                <c:pt idx="39">
                  <c:v>11</c:v>
                </c:pt>
                <c:pt idx="40">
                  <c:v>16.399999999999999</c:v>
                </c:pt>
                <c:pt idx="41">
                  <c:v>14.6</c:v>
                </c:pt>
                <c:pt idx="42">
                  <c:v>13</c:v>
                </c:pt>
                <c:pt idx="43">
                  <c:v>-4.2</c:v>
                </c:pt>
              </c:numCache>
            </c:numRef>
          </c:val>
          <c:smooth val="0"/>
          <c:extLst>
            <c:ext xmlns:c16="http://schemas.microsoft.com/office/drawing/2014/chart" uri="{C3380CC4-5D6E-409C-BE32-E72D297353CC}">
              <c16:uniqueId val="{00000002-525B-4C25-9B93-73FDCBAB8990}"/>
            </c:ext>
          </c:extLst>
        </c:ser>
        <c:ser>
          <c:idx val="3"/>
          <c:order val="3"/>
          <c:tx>
            <c:strRef>
              <c:f>'Graf 7'!$E$6</c:f>
              <c:strCache>
                <c:ptCount val="1"/>
                <c:pt idx="0">
                  <c:v>Strojárstvo</c:v>
                </c:pt>
              </c:strCache>
            </c:strRef>
          </c:tx>
          <c:spPr>
            <a:ln w="25400" cap="rnd">
              <a:solidFill>
                <a:schemeClr val="accent5"/>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7'!$E$7:$E$50</c:f>
              <c:numCache>
                <c:formatCode>General</c:formatCode>
                <c:ptCount val="44"/>
                <c:pt idx="0">
                  <c:v>35</c:v>
                </c:pt>
                <c:pt idx="1">
                  <c:v>32.200000000000003</c:v>
                </c:pt>
                <c:pt idx="2">
                  <c:v>43.7</c:v>
                </c:pt>
                <c:pt idx="3">
                  <c:v>57.7</c:v>
                </c:pt>
                <c:pt idx="4">
                  <c:v>67.5</c:v>
                </c:pt>
                <c:pt idx="5">
                  <c:v>68.8</c:v>
                </c:pt>
                <c:pt idx="6">
                  <c:v>56.1</c:v>
                </c:pt>
                <c:pt idx="7">
                  <c:v>56.7</c:v>
                </c:pt>
                <c:pt idx="8">
                  <c:v>44.5</c:v>
                </c:pt>
                <c:pt idx="9">
                  <c:v>27</c:v>
                </c:pt>
                <c:pt idx="10">
                  <c:v>30.4</c:v>
                </c:pt>
                <c:pt idx="11">
                  <c:v>18.2</c:v>
                </c:pt>
                <c:pt idx="12">
                  <c:v>33.4</c:v>
                </c:pt>
                <c:pt idx="13">
                  <c:v>34.6</c:v>
                </c:pt>
                <c:pt idx="14">
                  <c:v>-29</c:v>
                </c:pt>
                <c:pt idx="15">
                  <c:v>-33.799999999999997</c:v>
                </c:pt>
                <c:pt idx="16">
                  <c:v>-36.5</c:v>
                </c:pt>
                <c:pt idx="17">
                  <c:v>-26.1</c:v>
                </c:pt>
                <c:pt idx="18">
                  <c:v>-41.2</c:v>
                </c:pt>
                <c:pt idx="19">
                  <c:v>-42.2</c:v>
                </c:pt>
                <c:pt idx="20">
                  <c:v>-61.2</c:v>
                </c:pt>
                <c:pt idx="21">
                  <c:v>-60.7</c:v>
                </c:pt>
                <c:pt idx="22">
                  <c:v>-50</c:v>
                </c:pt>
                <c:pt idx="23">
                  <c:v>-39.799999999999997</c:v>
                </c:pt>
                <c:pt idx="24">
                  <c:v>-29.5</c:v>
                </c:pt>
                <c:pt idx="25">
                  <c:v>-2.9</c:v>
                </c:pt>
                <c:pt idx="26">
                  <c:v>-8</c:v>
                </c:pt>
                <c:pt idx="27">
                  <c:v>-8.1</c:v>
                </c:pt>
                <c:pt idx="28">
                  <c:v>-9.9</c:v>
                </c:pt>
                <c:pt idx="29">
                  <c:v>-30.7</c:v>
                </c:pt>
                <c:pt idx="30">
                  <c:v>-37.1</c:v>
                </c:pt>
                <c:pt idx="31">
                  <c:v>-34.1</c:v>
                </c:pt>
                <c:pt idx="32">
                  <c:v>-47.4</c:v>
                </c:pt>
                <c:pt idx="33">
                  <c:v>-34.700000000000003</c:v>
                </c:pt>
                <c:pt idx="34">
                  <c:v>-23.2</c:v>
                </c:pt>
                <c:pt idx="35">
                  <c:v>-19</c:v>
                </c:pt>
                <c:pt idx="36">
                  <c:v>-23.2</c:v>
                </c:pt>
                <c:pt idx="37">
                  <c:v>-21.8</c:v>
                </c:pt>
                <c:pt idx="38">
                  <c:v>-6.6</c:v>
                </c:pt>
                <c:pt idx="39">
                  <c:v>-2.1</c:v>
                </c:pt>
                <c:pt idx="40">
                  <c:v>6.3</c:v>
                </c:pt>
                <c:pt idx="41">
                  <c:v>10.6</c:v>
                </c:pt>
                <c:pt idx="42">
                  <c:v>2.2999999999999998</c:v>
                </c:pt>
                <c:pt idx="43">
                  <c:v>-11.8</c:v>
                </c:pt>
              </c:numCache>
            </c:numRef>
          </c:val>
          <c:smooth val="0"/>
          <c:extLst>
            <c:ext xmlns:c16="http://schemas.microsoft.com/office/drawing/2014/chart" uri="{C3380CC4-5D6E-409C-BE32-E72D297353CC}">
              <c16:uniqueId val="{00000003-525B-4C25-9B93-73FDCBAB8990}"/>
            </c:ext>
          </c:extLst>
        </c:ser>
        <c:dLbls>
          <c:showLegendKey val="0"/>
          <c:showVal val="0"/>
          <c:showCatName val="0"/>
          <c:showSerName val="0"/>
          <c:showPercent val="0"/>
          <c:showBubbleSize val="0"/>
        </c:dLbls>
        <c:smooth val="0"/>
        <c:axId val="1549124336"/>
        <c:axId val="653184416"/>
      </c:lineChart>
      <c:dateAx>
        <c:axId val="1549124336"/>
        <c:scaling>
          <c:orientation val="minMax"/>
          <c:min val="44562"/>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653184416"/>
        <c:crosses val="autoZero"/>
        <c:auto val="1"/>
        <c:lblOffset val="100"/>
        <c:baseTimeUnit val="months"/>
        <c:majorUnit val="2"/>
        <c:majorTimeUnit val="months"/>
      </c:dateAx>
      <c:valAx>
        <c:axId val="653184416"/>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1549124336"/>
        <c:crosses val="autoZero"/>
        <c:crossBetween val="between"/>
      </c:valAx>
      <c:spPr>
        <a:noFill/>
        <a:ln>
          <a:noFill/>
        </a:ln>
        <a:effectLst/>
      </c:spPr>
    </c:plotArea>
    <c:legend>
      <c:legendPos val="t"/>
      <c:layout>
        <c:manualLayout>
          <c:xMode val="edge"/>
          <c:yMode val="edge"/>
          <c:x val="5.5841043135730267E-2"/>
          <c:y val="2.3438055555555556E-2"/>
          <c:w val="0.82260241344763274"/>
          <c:h val="0.194811111111111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rot="-2700000"/>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960581247094441E-2"/>
          <c:y val="0.10001269762295316"/>
          <c:w val="0.90508273611437151"/>
          <c:h val="0.73914003405036033"/>
        </c:manualLayout>
      </c:layout>
      <c:lineChart>
        <c:grouping val="standard"/>
        <c:varyColors val="0"/>
        <c:ser>
          <c:idx val="0"/>
          <c:order val="0"/>
          <c:tx>
            <c:strRef>
              <c:f>'Graf 7'!$B$5</c:f>
              <c:strCache>
                <c:ptCount val="1"/>
                <c:pt idx="0">
                  <c:v>Expectations</c:v>
                </c:pt>
              </c:strCache>
            </c:strRef>
          </c:tx>
          <c:spPr>
            <a:ln w="28575" cap="rnd">
              <a:solidFill>
                <a:schemeClr val="tx1"/>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7'!$B$7:$B$50</c:f>
              <c:numCache>
                <c:formatCode>General</c:formatCode>
                <c:ptCount val="44"/>
                <c:pt idx="0">
                  <c:v>61.8</c:v>
                </c:pt>
                <c:pt idx="1">
                  <c:v>71.2</c:v>
                </c:pt>
                <c:pt idx="2">
                  <c:v>76.599999999999994</c:v>
                </c:pt>
                <c:pt idx="3">
                  <c:v>70.7</c:v>
                </c:pt>
                <c:pt idx="4">
                  <c:v>84.4</c:v>
                </c:pt>
                <c:pt idx="5">
                  <c:v>79.8</c:v>
                </c:pt>
                <c:pt idx="6">
                  <c:v>63.3</c:v>
                </c:pt>
                <c:pt idx="7">
                  <c:v>40.4</c:v>
                </c:pt>
                <c:pt idx="8">
                  <c:v>26.5</c:v>
                </c:pt>
                <c:pt idx="9">
                  <c:v>22.3</c:v>
                </c:pt>
                <c:pt idx="10">
                  <c:v>31.7</c:v>
                </c:pt>
                <c:pt idx="11">
                  <c:v>29.9</c:v>
                </c:pt>
                <c:pt idx="12">
                  <c:v>51.7</c:v>
                </c:pt>
                <c:pt idx="13">
                  <c:v>54.3</c:v>
                </c:pt>
                <c:pt idx="14">
                  <c:v>-39.299999999999997</c:v>
                </c:pt>
                <c:pt idx="15">
                  <c:v>-41</c:v>
                </c:pt>
                <c:pt idx="16">
                  <c:v>-34.299999999999997</c:v>
                </c:pt>
                <c:pt idx="17">
                  <c:v>-28</c:v>
                </c:pt>
                <c:pt idx="18">
                  <c:v>-53.8</c:v>
                </c:pt>
                <c:pt idx="19">
                  <c:v>-55.3</c:v>
                </c:pt>
                <c:pt idx="20">
                  <c:v>-61.9</c:v>
                </c:pt>
                <c:pt idx="21">
                  <c:v>-59.2</c:v>
                </c:pt>
                <c:pt idx="22">
                  <c:v>-36.700000000000003</c:v>
                </c:pt>
                <c:pt idx="23">
                  <c:v>-23.3</c:v>
                </c:pt>
                <c:pt idx="24">
                  <c:v>16.899999999999999</c:v>
                </c:pt>
                <c:pt idx="25">
                  <c:v>28.1</c:v>
                </c:pt>
                <c:pt idx="26">
                  <c:v>13</c:v>
                </c:pt>
                <c:pt idx="27">
                  <c:v>4.0999999999999996</c:v>
                </c:pt>
                <c:pt idx="28">
                  <c:v>-10.7</c:v>
                </c:pt>
                <c:pt idx="29">
                  <c:v>-8.5</c:v>
                </c:pt>
                <c:pt idx="30">
                  <c:v>-14.7</c:v>
                </c:pt>
                <c:pt idx="31">
                  <c:v>-12.3</c:v>
                </c:pt>
                <c:pt idx="32">
                  <c:v>-11.4</c:v>
                </c:pt>
                <c:pt idx="33">
                  <c:v>-1.1000000000000001</c:v>
                </c:pt>
                <c:pt idx="34">
                  <c:v>9.8000000000000007</c:v>
                </c:pt>
                <c:pt idx="35">
                  <c:v>12.8</c:v>
                </c:pt>
                <c:pt idx="36">
                  <c:v>15.2</c:v>
                </c:pt>
                <c:pt idx="37">
                  <c:v>19.899999999999999</c:v>
                </c:pt>
                <c:pt idx="38">
                  <c:v>31.7</c:v>
                </c:pt>
                <c:pt idx="39">
                  <c:v>42.9</c:v>
                </c:pt>
                <c:pt idx="40">
                  <c:v>47.1</c:v>
                </c:pt>
                <c:pt idx="41">
                  <c:v>47.5</c:v>
                </c:pt>
                <c:pt idx="42">
                  <c:v>41.8</c:v>
                </c:pt>
                <c:pt idx="43">
                  <c:v>19.2</c:v>
                </c:pt>
              </c:numCache>
            </c:numRef>
          </c:val>
          <c:smooth val="0"/>
          <c:extLst>
            <c:ext xmlns:c16="http://schemas.microsoft.com/office/drawing/2014/chart" uri="{C3380CC4-5D6E-409C-BE32-E72D297353CC}">
              <c16:uniqueId val="{00000000-B5A2-43AB-8666-731A3CC972BB}"/>
            </c:ext>
          </c:extLst>
        </c:ser>
        <c:ser>
          <c:idx val="1"/>
          <c:order val="1"/>
          <c:tx>
            <c:strRef>
              <c:f>'Graf 7'!$C$5</c:f>
              <c:strCache>
                <c:ptCount val="1"/>
                <c:pt idx="0">
                  <c:v>Automobile</c:v>
                </c:pt>
              </c:strCache>
            </c:strRef>
          </c:tx>
          <c:spPr>
            <a:ln w="25400" cap="rnd">
              <a:solidFill>
                <a:srgbClr val="2EAAE1"/>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7'!$C$7:$C$50</c:f>
              <c:numCache>
                <c:formatCode>General</c:formatCode>
                <c:ptCount val="44"/>
                <c:pt idx="0">
                  <c:v>13.4</c:v>
                </c:pt>
                <c:pt idx="1">
                  <c:v>24.6</c:v>
                </c:pt>
                <c:pt idx="2">
                  <c:v>39.299999999999997</c:v>
                </c:pt>
                <c:pt idx="3">
                  <c:v>47.9</c:v>
                </c:pt>
                <c:pt idx="4">
                  <c:v>54.8</c:v>
                </c:pt>
                <c:pt idx="5">
                  <c:v>61.9</c:v>
                </c:pt>
                <c:pt idx="6">
                  <c:v>48.7</c:v>
                </c:pt>
                <c:pt idx="7">
                  <c:v>33.5</c:v>
                </c:pt>
                <c:pt idx="8">
                  <c:v>17.3</c:v>
                </c:pt>
                <c:pt idx="9">
                  <c:v>-8.1999999999999993</c:v>
                </c:pt>
                <c:pt idx="10">
                  <c:v>-7.6</c:v>
                </c:pt>
                <c:pt idx="11">
                  <c:v>0.1</c:v>
                </c:pt>
                <c:pt idx="12">
                  <c:v>21</c:v>
                </c:pt>
                <c:pt idx="13">
                  <c:v>30.7</c:v>
                </c:pt>
                <c:pt idx="14">
                  <c:v>-58.5</c:v>
                </c:pt>
                <c:pt idx="15">
                  <c:v>-61.7</c:v>
                </c:pt>
                <c:pt idx="16">
                  <c:v>-43.9</c:v>
                </c:pt>
                <c:pt idx="17">
                  <c:v>-36.4</c:v>
                </c:pt>
                <c:pt idx="18">
                  <c:v>-51.2</c:v>
                </c:pt>
                <c:pt idx="19">
                  <c:v>-44.1</c:v>
                </c:pt>
                <c:pt idx="20">
                  <c:v>-59.2</c:v>
                </c:pt>
                <c:pt idx="21">
                  <c:v>-63.2</c:v>
                </c:pt>
                <c:pt idx="22">
                  <c:v>-52.1</c:v>
                </c:pt>
                <c:pt idx="23">
                  <c:v>-41.5</c:v>
                </c:pt>
                <c:pt idx="24">
                  <c:v>-34.700000000000003</c:v>
                </c:pt>
                <c:pt idx="25">
                  <c:v>-20.100000000000001</c:v>
                </c:pt>
                <c:pt idx="26">
                  <c:v>-24.1</c:v>
                </c:pt>
                <c:pt idx="27">
                  <c:v>-16.600000000000001</c:v>
                </c:pt>
                <c:pt idx="28">
                  <c:v>-31.7</c:v>
                </c:pt>
                <c:pt idx="29">
                  <c:v>-38</c:v>
                </c:pt>
                <c:pt idx="30">
                  <c:v>-46.4</c:v>
                </c:pt>
                <c:pt idx="31">
                  <c:v>-52.7</c:v>
                </c:pt>
                <c:pt idx="32">
                  <c:v>-59.5</c:v>
                </c:pt>
                <c:pt idx="33">
                  <c:v>-51</c:v>
                </c:pt>
                <c:pt idx="34">
                  <c:v>-42.8</c:v>
                </c:pt>
                <c:pt idx="35">
                  <c:v>-48.6</c:v>
                </c:pt>
                <c:pt idx="36">
                  <c:v>-39.6</c:v>
                </c:pt>
                <c:pt idx="37">
                  <c:v>-50.3</c:v>
                </c:pt>
                <c:pt idx="38">
                  <c:v>-42.1</c:v>
                </c:pt>
                <c:pt idx="39">
                  <c:v>-22.5</c:v>
                </c:pt>
                <c:pt idx="40">
                  <c:v>-31</c:v>
                </c:pt>
                <c:pt idx="41">
                  <c:v>-37</c:v>
                </c:pt>
                <c:pt idx="42">
                  <c:v>-42.4</c:v>
                </c:pt>
                <c:pt idx="43">
                  <c:v>-53.7</c:v>
                </c:pt>
              </c:numCache>
            </c:numRef>
          </c:val>
          <c:smooth val="0"/>
          <c:extLst>
            <c:ext xmlns:c16="http://schemas.microsoft.com/office/drawing/2014/chart" uri="{C3380CC4-5D6E-409C-BE32-E72D297353CC}">
              <c16:uniqueId val="{00000001-B5A2-43AB-8666-731A3CC972BB}"/>
            </c:ext>
          </c:extLst>
        </c:ser>
        <c:ser>
          <c:idx val="2"/>
          <c:order val="2"/>
          <c:tx>
            <c:strRef>
              <c:f>'Graf 7'!$D$5</c:f>
              <c:strCache>
                <c:ptCount val="1"/>
                <c:pt idx="0">
                  <c:v>Chemicals</c:v>
                </c:pt>
              </c:strCache>
            </c:strRef>
          </c:tx>
          <c:spPr>
            <a:ln w="25400" cap="rnd">
              <a:solidFill>
                <a:schemeClr val="accent4"/>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7'!$D$7:$D$50</c:f>
              <c:numCache>
                <c:formatCode>General</c:formatCode>
                <c:ptCount val="44"/>
                <c:pt idx="0">
                  <c:v>70.599999999999994</c:v>
                </c:pt>
                <c:pt idx="1">
                  <c:v>70.400000000000006</c:v>
                </c:pt>
                <c:pt idx="2">
                  <c:v>70.3</c:v>
                </c:pt>
                <c:pt idx="3">
                  <c:v>79.599999999999994</c:v>
                </c:pt>
                <c:pt idx="4">
                  <c:v>75.3</c:v>
                </c:pt>
                <c:pt idx="5">
                  <c:v>72.900000000000006</c:v>
                </c:pt>
                <c:pt idx="6">
                  <c:v>66.5</c:v>
                </c:pt>
                <c:pt idx="7">
                  <c:v>59.9</c:v>
                </c:pt>
                <c:pt idx="8">
                  <c:v>52.7</c:v>
                </c:pt>
                <c:pt idx="9">
                  <c:v>33.4</c:v>
                </c:pt>
                <c:pt idx="10">
                  <c:v>32.799999999999997</c:v>
                </c:pt>
                <c:pt idx="11">
                  <c:v>37.200000000000003</c:v>
                </c:pt>
                <c:pt idx="12">
                  <c:v>46.1</c:v>
                </c:pt>
                <c:pt idx="13">
                  <c:v>42</c:v>
                </c:pt>
                <c:pt idx="14">
                  <c:v>-21.4</c:v>
                </c:pt>
                <c:pt idx="15">
                  <c:v>-48.8</c:v>
                </c:pt>
                <c:pt idx="16">
                  <c:v>-35.9</c:v>
                </c:pt>
                <c:pt idx="17">
                  <c:v>-18.8</c:v>
                </c:pt>
                <c:pt idx="18">
                  <c:v>-39</c:v>
                </c:pt>
                <c:pt idx="19">
                  <c:v>-42.2</c:v>
                </c:pt>
                <c:pt idx="20">
                  <c:v>-53.9</c:v>
                </c:pt>
                <c:pt idx="21">
                  <c:v>-56.7</c:v>
                </c:pt>
                <c:pt idx="22">
                  <c:v>-32.4</c:v>
                </c:pt>
                <c:pt idx="23">
                  <c:v>-24.2</c:v>
                </c:pt>
                <c:pt idx="24">
                  <c:v>-15.8</c:v>
                </c:pt>
                <c:pt idx="25">
                  <c:v>-0.7</c:v>
                </c:pt>
                <c:pt idx="26">
                  <c:v>-7.3</c:v>
                </c:pt>
                <c:pt idx="27">
                  <c:v>-3.9</c:v>
                </c:pt>
                <c:pt idx="28">
                  <c:v>-10</c:v>
                </c:pt>
                <c:pt idx="29">
                  <c:v>-12.8</c:v>
                </c:pt>
                <c:pt idx="30">
                  <c:v>-22.2</c:v>
                </c:pt>
                <c:pt idx="31">
                  <c:v>-27.1</c:v>
                </c:pt>
                <c:pt idx="32">
                  <c:v>-25</c:v>
                </c:pt>
                <c:pt idx="33">
                  <c:v>-20.6</c:v>
                </c:pt>
                <c:pt idx="34">
                  <c:v>-7.5</c:v>
                </c:pt>
                <c:pt idx="35">
                  <c:v>-12.9</c:v>
                </c:pt>
                <c:pt idx="36">
                  <c:v>-7.7</c:v>
                </c:pt>
                <c:pt idx="37">
                  <c:v>-9.5</c:v>
                </c:pt>
                <c:pt idx="38">
                  <c:v>2.8</c:v>
                </c:pt>
                <c:pt idx="39">
                  <c:v>11</c:v>
                </c:pt>
                <c:pt idx="40">
                  <c:v>16.399999999999999</c:v>
                </c:pt>
                <c:pt idx="41">
                  <c:v>14.6</c:v>
                </c:pt>
                <c:pt idx="42">
                  <c:v>13</c:v>
                </c:pt>
                <c:pt idx="43">
                  <c:v>-4.2</c:v>
                </c:pt>
              </c:numCache>
            </c:numRef>
          </c:val>
          <c:smooth val="0"/>
          <c:extLst>
            <c:ext xmlns:c16="http://schemas.microsoft.com/office/drawing/2014/chart" uri="{C3380CC4-5D6E-409C-BE32-E72D297353CC}">
              <c16:uniqueId val="{00000002-B5A2-43AB-8666-731A3CC972BB}"/>
            </c:ext>
          </c:extLst>
        </c:ser>
        <c:ser>
          <c:idx val="3"/>
          <c:order val="3"/>
          <c:tx>
            <c:strRef>
              <c:f>'Graf 7'!$E$5</c:f>
              <c:strCache>
                <c:ptCount val="1"/>
                <c:pt idx="0">
                  <c:v>Mechanical Engineering</c:v>
                </c:pt>
              </c:strCache>
            </c:strRef>
          </c:tx>
          <c:spPr>
            <a:ln w="25400" cap="rnd">
              <a:solidFill>
                <a:schemeClr val="accent5"/>
              </a:solidFill>
              <a:prstDash val="solid"/>
              <a:round/>
            </a:ln>
            <a:effectLst/>
          </c:spPr>
          <c:marker>
            <c:symbol val="none"/>
          </c:marker>
          <c:cat>
            <c:numRef>
              <c:f>'Graf 7'!$A$7:$A$50</c:f>
              <c:numCache>
                <c:formatCode>m/d/yyyy</c:formatCode>
                <c:ptCount val="4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numCache>
            </c:numRef>
          </c:cat>
          <c:val>
            <c:numRef>
              <c:f>'Graf 7'!$E$7:$E$50</c:f>
              <c:numCache>
                <c:formatCode>General</c:formatCode>
                <c:ptCount val="44"/>
                <c:pt idx="0">
                  <c:v>35</c:v>
                </c:pt>
                <c:pt idx="1">
                  <c:v>32.200000000000003</c:v>
                </c:pt>
                <c:pt idx="2">
                  <c:v>43.7</c:v>
                </c:pt>
                <c:pt idx="3">
                  <c:v>57.7</c:v>
                </c:pt>
                <c:pt idx="4">
                  <c:v>67.5</c:v>
                </c:pt>
                <c:pt idx="5">
                  <c:v>68.8</c:v>
                </c:pt>
                <c:pt idx="6">
                  <c:v>56.1</c:v>
                </c:pt>
                <c:pt idx="7">
                  <c:v>56.7</c:v>
                </c:pt>
                <c:pt idx="8">
                  <c:v>44.5</c:v>
                </c:pt>
                <c:pt idx="9">
                  <c:v>27</c:v>
                </c:pt>
                <c:pt idx="10">
                  <c:v>30.4</c:v>
                </c:pt>
                <c:pt idx="11">
                  <c:v>18.2</c:v>
                </c:pt>
                <c:pt idx="12">
                  <c:v>33.4</c:v>
                </c:pt>
                <c:pt idx="13">
                  <c:v>34.6</c:v>
                </c:pt>
                <c:pt idx="14">
                  <c:v>-29</c:v>
                </c:pt>
                <c:pt idx="15">
                  <c:v>-33.799999999999997</c:v>
                </c:pt>
                <c:pt idx="16">
                  <c:v>-36.5</c:v>
                </c:pt>
                <c:pt idx="17">
                  <c:v>-26.1</c:v>
                </c:pt>
                <c:pt idx="18">
                  <c:v>-41.2</c:v>
                </c:pt>
                <c:pt idx="19">
                  <c:v>-42.2</c:v>
                </c:pt>
                <c:pt idx="20">
                  <c:v>-61.2</c:v>
                </c:pt>
                <c:pt idx="21">
                  <c:v>-60.7</c:v>
                </c:pt>
                <c:pt idx="22">
                  <c:v>-50</c:v>
                </c:pt>
                <c:pt idx="23">
                  <c:v>-39.799999999999997</c:v>
                </c:pt>
                <c:pt idx="24">
                  <c:v>-29.5</c:v>
                </c:pt>
                <c:pt idx="25">
                  <c:v>-2.9</c:v>
                </c:pt>
                <c:pt idx="26">
                  <c:v>-8</c:v>
                </c:pt>
                <c:pt idx="27">
                  <c:v>-8.1</c:v>
                </c:pt>
                <c:pt idx="28">
                  <c:v>-9.9</c:v>
                </c:pt>
                <c:pt idx="29">
                  <c:v>-30.7</c:v>
                </c:pt>
                <c:pt idx="30">
                  <c:v>-37.1</c:v>
                </c:pt>
                <c:pt idx="31">
                  <c:v>-34.1</c:v>
                </c:pt>
                <c:pt idx="32">
                  <c:v>-47.4</c:v>
                </c:pt>
                <c:pt idx="33">
                  <c:v>-34.700000000000003</c:v>
                </c:pt>
                <c:pt idx="34">
                  <c:v>-23.2</c:v>
                </c:pt>
                <c:pt idx="35">
                  <c:v>-19</c:v>
                </c:pt>
                <c:pt idx="36">
                  <c:v>-23.2</c:v>
                </c:pt>
                <c:pt idx="37">
                  <c:v>-21.8</c:v>
                </c:pt>
                <c:pt idx="38">
                  <c:v>-6.6</c:v>
                </c:pt>
                <c:pt idx="39">
                  <c:v>-2.1</c:v>
                </c:pt>
                <c:pt idx="40">
                  <c:v>6.3</c:v>
                </c:pt>
                <c:pt idx="41">
                  <c:v>10.6</c:v>
                </c:pt>
                <c:pt idx="42">
                  <c:v>2.2999999999999998</c:v>
                </c:pt>
                <c:pt idx="43">
                  <c:v>-11.8</c:v>
                </c:pt>
              </c:numCache>
            </c:numRef>
          </c:val>
          <c:smooth val="0"/>
          <c:extLst>
            <c:ext xmlns:c16="http://schemas.microsoft.com/office/drawing/2014/chart" uri="{C3380CC4-5D6E-409C-BE32-E72D297353CC}">
              <c16:uniqueId val="{00000003-B5A2-43AB-8666-731A3CC972BB}"/>
            </c:ext>
          </c:extLst>
        </c:ser>
        <c:dLbls>
          <c:showLegendKey val="0"/>
          <c:showVal val="0"/>
          <c:showCatName val="0"/>
          <c:showSerName val="0"/>
          <c:showPercent val="0"/>
          <c:showBubbleSize val="0"/>
        </c:dLbls>
        <c:smooth val="0"/>
        <c:axId val="1549124336"/>
        <c:axId val="653184416"/>
      </c:lineChart>
      <c:dateAx>
        <c:axId val="1549124336"/>
        <c:scaling>
          <c:orientation val="minMax"/>
          <c:min val="44562"/>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653184416"/>
        <c:crosses val="autoZero"/>
        <c:auto val="1"/>
        <c:lblOffset val="100"/>
        <c:baseTimeUnit val="months"/>
        <c:majorUnit val="2"/>
        <c:majorTimeUnit val="months"/>
      </c:dateAx>
      <c:valAx>
        <c:axId val="653184416"/>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1549124336"/>
        <c:crosses val="autoZero"/>
        <c:crossBetween val="between"/>
      </c:valAx>
      <c:spPr>
        <a:noFill/>
        <a:ln>
          <a:noFill/>
        </a:ln>
        <a:effectLst/>
      </c:spPr>
    </c:plotArea>
    <c:legend>
      <c:legendPos val="t"/>
      <c:layout>
        <c:manualLayout>
          <c:xMode val="edge"/>
          <c:yMode val="edge"/>
          <c:x val="5.5841043135730267E-2"/>
          <c:y val="2.3438055555555556E-2"/>
          <c:w val="0.82260241344763274"/>
          <c:h val="0.194811111111111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rot="-2700000"/>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42358450404429E-2"/>
          <c:y val="0.16964301165650997"/>
          <c:w val="0.89182460621541082"/>
          <c:h val="0.67395121095030497"/>
        </c:manualLayout>
      </c:layout>
      <c:lineChart>
        <c:grouping val="standard"/>
        <c:varyColors val="0"/>
        <c:ser>
          <c:idx val="0"/>
          <c:order val="0"/>
          <c:tx>
            <c:strRef>
              <c:f>'Graf 8'!$B$6</c:f>
              <c:strCache>
                <c:ptCount val="1"/>
                <c:pt idx="0">
                  <c:v>eurozóna</c:v>
                </c:pt>
              </c:strCache>
            </c:strRef>
          </c:tx>
          <c:spPr>
            <a:ln w="28575" cap="rnd">
              <a:solidFill>
                <a:schemeClr val="accent1"/>
              </a:solidFill>
              <a:prstDash val="solid"/>
              <a:round/>
            </a:ln>
            <a:effectLst/>
          </c:spPr>
          <c:marker>
            <c:symbol val="none"/>
          </c:marker>
          <c:cat>
            <c:numRef>
              <c:f>'Graf 8'!$A$7:$A$300</c:f>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f>'Graf 8'!$B$7:$B$300</c:f>
              <c:numCache>
                <c:formatCode>0</c:formatCode>
                <c:ptCount val="294"/>
                <c:pt idx="0">
                  <c:v>75.135722426679294</c:v>
                </c:pt>
                <c:pt idx="1">
                  <c:v>75.574385561680103</c:v>
                </c:pt>
                <c:pt idx="2">
                  <c:v>76.326776278344099</c:v>
                </c:pt>
                <c:pt idx="3">
                  <c:v>76.003749576992007</c:v>
                </c:pt>
                <c:pt idx="4">
                  <c:v>80.643615535553806</c:v>
                </c:pt>
                <c:pt idx="5">
                  <c:v>76.253428731494793</c:v>
                </c:pt>
                <c:pt idx="6">
                  <c:v>78.254109302642902</c:v>
                </c:pt>
                <c:pt idx="7">
                  <c:v>79.678100001609096</c:v>
                </c:pt>
                <c:pt idx="8">
                  <c:v>79.699766918115401</c:v>
                </c:pt>
                <c:pt idx="9">
                  <c:v>81.238597581076704</c:v>
                </c:pt>
                <c:pt idx="10">
                  <c:v>81.762625420341394</c:v>
                </c:pt>
                <c:pt idx="11">
                  <c:v>83.729254527452795</c:v>
                </c:pt>
                <c:pt idx="12">
                  <c:v>81.159147355301101</c:v>
                </c:pt>
                <c:pt idx="13">
                  <c:v>79.839211009144407</c:v>
                </c:pt>
                <c:pt idx="14">
                  <c:v>80.094517521460702</c:v>
                </c:pt>
                <c:pt idx="15">
                  <c:v>80.015738118551496</c:v>
                </c:pt>
                <c:pt idx="16">
                  <c:v>79.161089450360905</c:v>
                </c:pt>
                <c:pt idx="17">
                  <c:v>79.029611609923606</c:v>
                </c:pt>
                <c:pt idx="18">
                  <c:v>78.640419053143404</c:v>
                </c:pt>
                <c:pt idx="19">
                  <c:v>77.337373068269699</c:v>
                </c:pt>
                <c:pt idx="20">
                  <c:v>77.174906115332504</c:v>
                </c:pt>
                <c:pt idx="21">
                  <c:v>77.762354500385996</c:v>
                </c:pt>
                <c:pt idx="22">
                  <c:v>77.991293834983495</c:v>
                </c:pt>
                <c:pt idx="23">
                  <c:v>76.059192597556503</c:v>
                </c:pt>
                <c:pt idx="24">
                  <c:v>76.549080051925898</c:v>
                </c:pt>
                <c:pt idx="25">
                  <c:v>77.953733735429907</c:v>
                </c:pt>
                <c:pt idx="26">
                  <c:v>77.322241056807201</c:v>
                </c:pt>
                <c:pt idx="27">
                  <c:v>77.770830859663505</c:v>
                </c:pt>
                <c:pt idx="28">
                  <c:v>75.219059439081605</c:v>
                </c:pt>
                <c:pt idx="29">
                  <c:v>79.363668640643596</c:v>
                </c:pt>
                <c:pt idx="30">
                  <c:v>77.745927587453593</c:v>
                </c:pt>
                <c:pt idx="31">
                  <c:v>78.238405648514401</c:v>
                </c:pt>
                <c:pt idx="32">
                  <c:v>79.086836511630693</c:v>
                </c:pt>
                <c:pt idx="33">
                  <c:v>79.633936605232805</c:v>
                </c:pt>
                <c:pt idx="34">
                  <c:v>79.772546435476599</c:v>
                </c:pt>
                <c:pt idx="35">
                  <c:v>79.196831215929606</c:v>
                </c:pt>
                <c:pt idx="36">
                  <c:v>80.057714713037697</c:v>
                </c:pt>
                <c:pt idx="37">
                  <c:v>80.200411829522693</c:v>
                </c:pt>
                <c:pt idx="38">
                  <c:v>81.121127321649098</c:v>
                </c:pt>
                <c:pt idx="39">
                  <c:v>79.958328375353702</c:v>
                </c:pt>
                <c:pt idx="40">
                  <c:v>80.4920013004336</c:v>
                </c:pt>
                <c:pt idx="41">
                  <c:v>79.993878777260804</c:v>
                </c:pt>
                <c:pt idx="42">
                  <c:v>80.867910221239597</c:v>
                </c:pt>
                <c:pt idx="43">
                  <c:v>78.521058674695595</c:v>
                </c:pt>
                <c:pt idx="44">
                  <c:v>80.630441313300196</c:v>
                </c:pt>
                <c:pt idx="45">
                  <c:v>82.707787385318994</c:v>
                </c:pt>
                <c:pt idx="46">
                  <c:v>84.052713834572799</c:v>
                </c:pt>
                <c:pt idx="47">
                  <c:v>83.688459651085196</c:v>
                </c:pt>
                <c:pt idx="48">
                  <c:v>82.454563107132699</c:v>
                </c:pt>
                <c:pt idx="49">
                  <c:v>84.648810845469995</c:v>
                </c:pt>
                <c:pt idx="50">
                  <c:v>84.498945365940102</c:v>
                </c:pt>
                <c:pt idx="51">
                  <c:v>86.686604368855399</c:v>
                </c:pt>
                <c:pt idx="52">
                  <c:v>85.582078141511303</c:v>
                </c:pt>
                <c:pt idx="53">
                  <c:v>86.355273839056096</c:v>
                </c:pt>
                <c:pt idx="54">
                  <c:v>86.159313818888194</c:v>
                </c:pt>
                <c:pt idx="55">
                  <c:v>85.643287151152293</c:v>
                </c:pt>
                <c:pt idx="56">
                  <c:v>87.6488479071227</c:v>
                </c:pt>
                <c:pt idx="57">
                  <c:v>87.353188103896102</c:v>
                </c:pt>
                <c:pt idx="58">
                  <c:v>88.420723373187698</c:v>
                </c:pt>
                <c:pt idx="59">
                  <c:v>89.245185300840106</c:v>
                </c:pt>
                <c:pt idx="60">
                  <c:v>88.525877352905297</c:v>
                </c:pt>
                <c:pt idx="61">
                  <c:v>86.934030080179099</c:v>
                </c:pt>
                <c:pt idx="62">
                  <c:v>87.029674127452594</c:v>
                </c:pt>
                <c:pt idx="63">
                  <c:v>90.272665379399299</c:v>
                </c:pt>
                <c:pt idx="64">
                  <c:v>89.792260128533201</c:v>
                </c:pt>
                <c:pt idx="65">
                  <c:v>89.134266709740501</c:v>
                </c:pt>
                <c:pt idx="66">
                  <c:v>87.973744857625704</c:v>
                </c:pt>
                <c:pt idx="67">
                  <c:v>89.199787976270898</c:v>
                </c:pt>
                <c:pt idx="68">
                  <c:v>90.879848554830502</c:v>
                </c:pt>
                <c:pt idx="69">
                  <c:v>90.364166384162303</c:v>
                </c:pt>
                <c:pt idx="70">
                  <c:v>92.291194912247803</c:v>
                </c:pt>
                <c:pt idx="71">
                  <c:v>95.413819950341207</c:v>
                </c:pt>
                <c:pt idx="72">
                  <c:v>92.644993695676703</c:v>
                </c:pt>
                <c:pt idx="73">
                  <c:v>93.728777332935394</c:v>
                </c:pt>
                <c:pt idx="74">
                  <c:v>93.760480571410497</c:v>
                </c:pt>
                <c:pt idx="75">
                  <c:v>94.788000987810804</c:v>
                </c:pt>
                <c:pt idx="76">
                  <c:v>95.540620896848594</c:v>
                </c:pt>
                <c:pt idx="77">
                  <c:v>95.941762269944604</c:v>
                </c:pt>
                <c:pt idx="78">
                  <c:v>94.968525297246202</c:v>
                </c:pt>
                <c:pt idx="79">
                  <c:v>95.794352515951303</c:v>
                </c:pt>
                <c:pt idx="80">
                  <c:v>97.067234094094701</c:v>
                </c:pt>
                <c:pt idx="81">
                  <c:v>98.674024500483</c:v>
                </c:pt>
                <c:pt idx="82">
                  <c:v>99.335434840033599</c:v>
                </c:pt>
                <c:pt idx="83">
                  <c:v>101.02550532077601</c:v>
                </c:pt>
                <c:pt idx="84">
                  <c:v>99.139268145378296</c:v>
                </c:pt>
                <c:pt idx="85">
                  <c:v>101.376827990712</c:v>
                </c:pt>
                <c:pt idx="86">
                  <c:v>99.358726417814395</c:v>
                </c:pt>
                <c:pt idx="87">
                  <c:v>100.046560331096</c:v>
                </c:pt>
                <c:pt idx="88">
                  <c:v>100.78574923943501</c:v>
                </c:pt>
                <c:pt idx="89">
                  <c:v>100.373570331097</c:v>
                </c:pt>
                <c:pt idx="90">
                  <c:v>100.3139706817</c:v>
                </c:pt>
                <c:pt idx="91">
                  <c:v>101.442240371225</c:v>
                </c:pt>
                <c:pt idx="92">
                  <c:v>100.40702650568601</c:v>
                </c:pt>
                <c:pt idx="93">
                  <c:v>101.341983970218</c:v>
                </c:pt>
                <c:pt idx="94">
                  <c:v>100.929044627465</c:v>
                </c:pt>
                <c:pt idx="95">
                  <c:v>101.468520419108</c:v>
                </c:pt>
                <c:pt idx="96">
                  <c:v>103.923740854565</c:v>
                </c:pt>
                <c:pt idx="97">
                  <c:v>102.670288623391</c:v>
                </c:pt>
                <c:pt idx="98">
                  <c:v>101.475829813179</c:v>
                </c:pt>
                <c:pt idx="99">
                  <c:v>101.600923485086</c:v>
                </c:pt>
                <c:pt idx="100">
                  <c:v>100.295618088827</c:v>
                </c:pt>
                <c:pt idx="101">
                  <c:v>99.516775095162302</c:v>
                </c:pt>
                <c:pt idx="102">
                  <c:v>100.354321615294</c:v>
                </c:pt>
                <c:pt idx="103">
                  <c:v>98.353915163304507</c:v>
                </c:pt>
                <c:pt idx="104">
                  <c:v>99.239894807470094</c:v>
                </c:pt>
                <c:pt idx="105">
                  <c:v>97.395393759923905</c:v>
                </c:pt>
                <c:pt idx="106">
                  <c:v>93.179024045650195</c:v>
                </c:pt>
                <c:pt idx="107">
                  <c:v>89.3462409710923</c:v>
                </c:pt>
                <c:pt idx="108">
                  <c:v>85.491272282544102</c:v>
                </c:pt>
                <c:pt idx="109">
                  <c:v>84.958826463371196</c:v>
                </c:pt>
                <c:pt idx="110">
                  <c:v>83.442585408238003</c:v>
                </c:pt>
                <c:pt idx="111">
                  <c:v>83.416988043084103</c:v>
                </c:pt>
                <c:pt idx="112">
                  <c:v>82.101926454541399</c:v>
                </c:pt>
                <c:pt idx="113">
                  <c:v>82.870228401963502</c:v>
                </c:pt>
                <c:pt idx="114">
                  <c:v>83.953070798286305</c:v>
                </c:pt>
                <c:pt idx="115">
                  <c:v>84.238100230433204</c:v>
                </c:pt>
                <c:pt idx="116">
                  <c:v>86.674642735701198</c:v>
                </c:pt>
                <c:pt idx="117">
                  <c:v>87.734253517139393</c:v>
                </c:pt>
                <c:pt idx="118">
                  <c:v>87.212312148525498</c:v>
                </c:pt>
                <c:pt idx="119">
                  <c:v>87.996375215086005</c:v>
                </c:pt>
                <c:pt idx="120">
                  <c:v>88.024589283265996</c:v>
                </c:pt>
                <c:pt idx="121">
                  <c:v>87.929398442555197</c:v>
                </c:pt>
                <c:pt idx="122">
                  <c:v>91.664706657965297</c:v>
                </c:pt>
                <c:pt idx="123">
                  <c:v>90.352801654917897</c:v>
                </c:pt>
                <c:pt idx="124">
                  <c:v>93.264506804565698</c:v>
                </c:pt>
                <c:pt idx="125">
                  <c:v>94.014565514356306</c:v>
                </c:pt>
                <c:pt idx="126">
                  <c:v>92.644727529048097</c:v>
                </c:pt>
                <c:pt idx="127">
                  <c:v>93.264089300105994</c:v>
                </c:pt>
                <c:pt idx="128">
                  <c:v>92.969736720636206</c:v>
                </c:pt>
                <c:pt idx="129">
                  <c:v>94.162420840904801</c:v>
                </c:pt>
                <c:pt idx="130">
                  <c:v>96.451663753567303</c:v>
                </c:pt>
                <c:pt idx="131">
                  <c:v>94.616423815281905</c:v>
                </c:pt>
                <c:pt idx="132">
                  <c:v>95.411166725934194</c:v>
                </c:pt>
                <c:pt idx="133">
                  <c:v>95.641651467110904</c:v>
                </c:pt>
                <c:pt idx="134">
                  <c:v>95.426428067845904</c:v>
                </c:pt>
                <c:pt idx="135">
                  <c:v>95.333537443657605</c:v>
                </c:pt>
                <c:pt idx="136">
                  <c:v>95.822229661808393</c:v>
                </c:pt>
                <c:pt idx="137">
                  <c:v>94.507043159500498</c:v>
                </c:pt>
                <c:pt idx="138">
                  <c:v>95.055233599722598</c:v>
                </c:pt>
                <c:pt idx="139">
                  <c:v>96.4628857437216</c:v>
                </c:pt>
                <c:pt idx="140">
                  <c:v>95.043789622130404</c:v>
                </c:pt>
                <c:pt idx="141">
                  <c:v>93.601804462668596</c:v>
                </c:pt>
                <c:pt idx="142">
                  <c:v>93.704081672205405</c:v>
                </c:pt>
                <c:pt idx="143">
                  <c:v>92.634648379796204</c:v>
                </c:pt>
                <c:pt idx="144">
                  <c:v>91.387393840656998</c:v>
                </c:pt>
                <c:pt idx="145">
                  <c:v>93.590963554638293</c:v>
                </c:pt>
                <c:pt idx="146">
                  <c:v>92.244009870915093</c:v>
                </c:pt>
                <c:pt idx="147">
                  <c:v>91.906951177370999</c:v>
                </c:pt>
                <c:pt idx="148">
                  <c:v>93.430763810483498</c:v>
                </c:pt>
                <c:pt idx="149">
                  <c:v>91.775834908959993</c:v>
                </c:pt>
                <c:pt idx="150">
                  <c:v>92.077715650049996</c:v>
                </c:pt>
                <c:pt idx="151">
                  <c:v>93.051167156570997</c:v>
                </c:pt>
                <c:pt idx="152">
                  <c:v>89.726416316758701</c:v>
                </c:pt>
                <c:pt idx="153">
                  <c:v>91.444278620628694</c:v>
                </c:pt>
                <c:pt idx="154">
                  <c:v>89.889782503402003</c:v>
                </c:pt>
                <c:pt idx="155">
                  <c:v>89.914939507375607</c:v>
                </c:pt>
                <c:pt idx="156">
                  <c:v>91.814706257102102</c:v>
                </c:pt>
                <c:pt idx="157">
                  <c:v>90.200470140679997</c:v>
                </c:pt>
                <c:pt idx="158">
                  <c:v>89.713618290403602</c:v>
                </c:pt>
                <c:pt idx="159">
                  <c:v>90.211728539951693</c:v>
                </c:pt>
                <c:pt idx="160">
                  <c:v>90.867894281128002</c:v>
                </c:pt>
                <c:pt idx="161">
                  <c:v>90.557285334426894</c:v>
                </c:pt>
                <c:pt idx="162">
                  <c:v>92.062083901785101</c:v>
                </c:pt>
                <c:pt idx="163">
                  <c:v>91.688140679095298</c:v>
                </c:pt>
                <c:pt idx="164">
                  <c:v>91.449626459566105</c:v>
                </c:pt>
                <c:pt idx="165">
                  <c:v>91.638156338285199</c:v>
                </c:pt>
                <c:pt idx="166">
                  <c:v>91.824806475110705</c:v>
                </c:pt>
                <c:pt idx="167">
                  <c:v>92.190331527949297</c:v>
                </c:pt>
                <c:pt idx="168">
                  <c:v>93.669542007306603</c:v>
                </c:pt>
                <c:pt idx="169">
                  <c:v>92.700554426831999</c:v>
                </c:pt>
                <c:pt idx="170">
                  <c:v>91.788541489591694</c:v>
                </c:pt>
                <c:pt idx="171">
                  <c:v>92.901523298056702</c:v>
                </c:pt>
                <c:pt idx="172">
                  <c:v>92.768311583011695</c:v>
                </c:pt>
                <c:pt idx="173">
                  <c:v>93.641855696379196</c:v>
                </c:pt>
                <c:pt idx="174">
                  <c:v>94.215639775150905</c:v>
                </c:pt>
                <c:pt idx="175">
                  <c:v>93.493081610739296</c:v>
                </c:pt>
                <c:pt idx="176">
                  <c:v>94.946029592525605</c:v>
                </c:pt>
                <c:pt idx="177">
                  <c:v>93.606690430932403</c:v>
                </c:pt>
                <c:pt idx="178">
                  <c:v>93.093253120845603</c:v>
                </c:pt>
                <c:pt idx="179">
                  <c:v>94.332866725330305</c:v>
                </c:pt>
                <c:pt idx="180">
                  <c:v>95.113896058884507</c:v>
                </c:pt>
                <c:pt idx="181">
                  <c:v>95.838674391371498</c:v>
                </c:pt>
                <c:pt idx="182">
                  <c:v>96.447886221295406</c:v>
                </c:pt>
                <c:pt idx="183">
                  <c:v>95.635181198592505</c:v>
                </c:pt>
                <c:pt idx="184">
                  <c:v>95.700798733975603</c:v>
                </c:pt>
                <c:pt idx="185">
                  <c:v>96.207222224211705</c:v>
                </c:pt>
                <c:pt idx="186">
                  <c:v>97.063106256859399</c:v>
                </c:pt>
                <c:pt idx="187">
                  <c:v>95.894179154272294</c:v>
                </c:pt>
                <c:pt idx="188">
                  <c:v>97.666802870582998</c:v>
                </c:pt>
                <c:pt idx="189">
                  <c:v>98.043811169875994</c:v>
                </c:pt>
                <c:pt idx="190">
                  <c:v>97.401389019634394</c:v>
                </c:pt>
                <c:pt idx="191">
                  <c:v>97.678776894169104</c:v>
                </c:pt>
                <c:pt idx="192">
                  <c:v>98.235742654930505</c:v>
                </c:pt>
                <c:pt idx="193">
                  <c:v>100.67655336140299</c:v>
                </c:pt>
                <c:pt idx="194">
                  <c:v>98.240195451854007</c:v>
                </c:pt>
                <c:pt idx="195">
                  <c:v>98.278281622961899</c:v>
                </c:pt>
                <c:pt idx="196">
                  <c:v>97.381368135434499</c:v>
                </c:pt>
                <c:pt idx="197">
                  <c:v>98.7701978163565</c:v>
                </c:pt>
                <c:pt idx="198">
                  <c:v>97.84801931877</c:v>
                </c:pt>
                <c:pt idx="199">
                  <c:v>100.00058456905499</c:v>
                </c:pt>
                <c:pt idx="200">
                  <c:v>99.070845013394404</c:v>
                </c:pt>
                <c:pt idx="201">
                  <c:v>98.519467689875796</c:v>
                </c:pt>
                <c:pt idx="202">
                  <c:v>100.148932516955</c:v>
                </c:pt>
                <c:pt idx="203">
                  <c:v>99.474836043856996</c:v>
                </c:pt>
                <c:pt idx="204">
                  <c:v>100.28209325305301</c:v>
                </c:pt>
                <c:pt idx="205">
                  <c:v>99.912689700645203</c:v>
                </c:pt>
                <c:pt idx="206">
                  <c:v>100.819322290402</c:v>
                </c:pt>
                <c:pt idx="207">
                  <c:v>99.844965159056997</c:v>
                </c:pt>
                <c:pt idx="208">
                  <c:v>103.690447142013</c:v>
                </c:pt>
                <c:pt idx="209">
                  <c:v>101.097195699731</c:v>
                </c:pt>
                <c:pt idx="210">
                  <c:v>102.49821327182001</c:v>
                </c:pt>
                <c:pt idx="211">
                  <c:v>104.15351876997001</c:v>
                </c:pt>
                <c:pt idx="212">
                  <c:v>102.613865508473</c:v>
                </c:pt>
                <c:pt idx="213">
                  <c:v>103.217468047545</c:v>
                </c:pt>
                <c:pt idx="214">
                  <c:v>104.651286454238</c:v>
                </c:pt>
                <c:pt idx="215">
                  <c:v>104.39602541678499</c:v>
                </c:pt>
                <c:pt idx="216">
                  <c:v>104.17852385138499</c:v>
                </c:pt>
                <c:pt idx="217">
                  <c:v>102.285205844584</c:v>
                </c:pt>
                <c:pt idx="218">
                  <c:v>102.88282055443101</c:v>
                </c:pt>
                <c:pt idx="219">
                  <c:v>103.3788452344</c:v>
                </c:pt>
                <c:pt idx="220">
                  <c:v>103.385266150191</c:v>
                </c:pt>
                <c:pt idx="221">
                  <c:v>103.88699316583801</c:v>
                </c:pt>
                <c:pt idx="222">
                  <c:v>104.663742675105</c:v>
                </c:pt>
                <c:pt idx="223">
                  <c:v>103.91603246531</c:v>
                </c:pt>
                <c:pt idx="224">
                  <c:v>102.398975833245</c:v>
                </c:pt>
                <c:pt idx="225">
                  <c:v>104.02100494747999</c:v>
                </c:pt>
                <c:pt idx="226">
                  <c:v>102.501610369658</c:v>
                </c:pt>
                <c:pt idx="227">
                  <c:v>104.000853953929</c:v>
                </c:pt>
                <c:pt idx="228">
                  <c:v>104.356457568895</c:v>
                </c:pt>
                <c:pt idx="229">
                  <c:v>103.451854951383</c:v>
                </c:pt>
                <c:pt idx="230">
                  <c:v>102.35823194907699</c:v>
                </c:pt>
                <c:pt idx="231">
                  <c:v>102.846135745262</c:v>
                </c:pt>
                <c:pt idx="232">
                  <c:v>103.583830288671</c:v>
                </c:pt>
                <c:pt idx="233">
                  <c:v>101.129122545097</c:v>
                </c:pt>
                <c:pt idx="234">
                  <c:v>103.033213576208</c:v>
                </c:pt>
                <c:pt idx="235">
                  <c:v>100.884028586151</c:v>
                </c:pt>
                <c:pt idx="236">
                  <c:v>102.055858573319</c:v>
                </c:pt>
                <c:pt idx="237">
                  <c:v>101.680278474849</c:v>
                </c:pt>
                <c:pt idx="238">
                  <c:v>101.15896505105199</c:v>
                </c:pt>
                <c:pt idx="239">
                  <c:v>99.116279469549596</c:v>
                </c:pt>
                <c:pt idx="240">
                  <c:v>100.62263135147199</c:v>
                </c:pt>
                <c:pt idx="241">
                  <c:v>100.453403580874</c:v>
                </c:pt>
                <c:pt idx="242">
                  <c:v>89.143204316810895</c:v>
                </c:pt>
                <c:pt idx="243">
                  <c:v>75.590498134314402</c:v>
                </c:pt>
                <c:pt idx="244">
                  <c:v>81.140589300857101</c:v>
                </c:pt>
                <c:pt idx="245">
                  <c:v>88.9362430513807</c:v>
                </c:pt>
                <c:pt idx="246">
                  <c:v>92.333256438312702</c:v>
                </c:pt>
                <c:pt idx="247">
                  <c:v>93.8719923576122</c:v>
                </c:pt>
                <c:pt idx="248">
                  <c:v>96.864148123398806</c:v>
                </c:pt>
                <c:pt idx="249">
                  <c:v>96.706662030379405</c:v>
                </c:pt>
                <c:pt idx="250">
                  <c:v>98.227156387584699</c:v>
                </c:pt>
                <c:pt idx="251">
                  <c:v>97.435880120993602</c:v>
                </c:pt>
                <c:pt idx="252">
                  <c:v>96.094463897947904</c:v>
                </c:pt>
                <c:pt idx="253">
                  <c:v>96.443911015899801</c:v>
                </c:pt>
                <c:pt idx="254">
                  <c:v>100.410548356398</c:v>
                </c:pt>
                <c:pt idx="255">
                  <c:v>99.568483912667205</c:v>
                </c:pt>
                <c:pt idx="256">
                  <c:v>99.738952916992602</c:v>
                </c:pt>
                <c:pt idx="257">
                  <c:v>99.902904185543505</c:v>
                </c:pt>
                <c:pt idx="258">
                  <c:v>98.570636748942107</c:v>
                </c:pt>
                <c:pt idx="259">
                  <c:v>98.727092805272406</c:v>
                </c:pt>
                <c:pt idx="260">
                  <c:v>98.842507999696295</c:v>
                </c:pt>
                <c:pt idx="261">
                  <c:v>100.344739717978</c:v>
                </c:pt>
                <c:pt idx="262">
                  <c:v>104.258237133088</c:v>
                </c:pt>
                <c:pt idx="263">
                  <c:v>107.09752130957401</c:v>
                </c:pt>
                <c:pt idx="264">
                  <c:v>103.502100208389</c:v>
                </c:pt>
                <c:pt idx="265">
                  <c:v>103.987181743994</c:v>
                </c:pt>
                <c:pt idx="266">
                  <c:v>104.019218963432</c:v>
                </c:pt>
                <c:pt idx="267">
                  <c:v>106.35659942185799</c:v>
                </c:pt>
                <c:pt idx="268">
                  <c:v>107.28471714876299</c:v>
                </c:pt>
                <c:pt idx="269">
                  <c:v>105.20962230472099</c:v>
                </c:pt>
                <c:pt idx="270">
                  <c:v>104.51376894096801</c:v>
                </c:pt>
                <c:pt idx="271">
                  <c:v>109.457161392873</c:v>
                </c:pt>
                <c:pt idx="272">
                  <c:v>107.494962922753</c:v>
                </c:pt>
                <c:pt idx="273">
                  <c:v>105.12797590665301</c:v>
                </c:pt>
                <c:pt idx="274">
                  <c:v>104.38210933862</c:v>
                </c:pt>
                <c:pt idx="275">
                  <c:v>103.231334171268</c:v>
                </c:pt>
                <c:pt idx="276">
                  <c:v>102.597611812933</c:v>
                </c:pt>
                <c:pt idx="277">
                  <c:v>102.218226220247</c:v>
                </c:pt>
                <c:pt idx="278">
                  <c:v>99.318393433276398</c:v>
                </c:pt>
                <c:pt idx="279">
                  <c:v>101.563014303071</c:v>
                </c:pt>
                <c:pt idx="280">
                  <c:v>102.853604223083</c:v>
                </c:pt>
                <c:pt idx="281">
                  <c:v>100.32761700663799</c:v>
                </c:pt>
                <c:pt idx="282">
                  <c:v>100.473132030241</c:v>
                </c:pt>
                <c:pt idx="283">
                  <c:v>100.317034097118</c:v>
                </c:pt>
                <c:pt idx="284">
                  <c:v>96.892996785503996</c:v>
                </c:pt>
                <c:pt idx="285">
                  <c:v>97.1271210176686</c:v>
                </c:pt>
                <c:pt idx="286">
                  <c:v>96.557805127729694</c:v>
                </c:pt>
                <c:pt idx="287">
                  <c:v>96.238633759922095</c:v>
                </c:pt>
                <c:pt idx="288">
                  <c:v>94.131867818654001</c:v>
                </c:pt>
                <c:pt idx="289">
                  <c:v>97.100718975112301</c:v>
                </c:pt>
                <c:pt idx="290">
                  <c:v>95.930256378381401</c:v>
                </c:pt>
                <c:pt idx="291">
                  <c:v>97.605316450009596</c:v>
                </c:pt>
                <c:pt idx="292">
                  <c:v>95.490761829148397</c:v>
                </c:pt>
                <c:pt idx="293">
                  <c:v>94.5407132245643</c:v>
                </c:pt>
              </c:numCache>
            </c:numRef>
          </c:val>
          <c:smooth val="0"/>
          <c:extLst>
            <c:ext xmlns:c16="http://schemas.microsoft.com/office/drawing/2014/chart" uri="{C3380CC4-5D6E-409C-BE32-E72D297353CC}">
              <c16:uniqueId val="{00000000-0C47-42B7-AFDC-E782E5226E79}"/>
            </c:ext>
          </c:extLst>
        </c:ser>
        <c:ser>
          <c:idx val="2"/>
          <c:order val="2"/>
          <c:tx>
            <c:strRef>
              <c:f>'Graf 8'!$C$6</c:f>
              <c:strCache>
                <c:ptCount val="1"/>
                <c:pt idx="0">
                  <c:v>rozv. krajiny</c:v>
                </c:pt>
              </c:strCache>
            </c:strRef>
          </c:tx>
          <c:spPr>
            <a:ln w="28575" cap="rnd">
              <a:solidFill>
                <a:srgbClr val="0C1D2B"/>
              </a:solidFill>
              <a:prstDash val="solid"/>
              <a:round/>
            </a:ln>
            <a:effectLst/>
          </c:spPr>
          <c:marker>
            <c:symbol val="none"/>
          </c:marker>
          <c:cat>
            <c:numRef>
              <c:f>'Graf 8'!$A$7:$A$300</c:f>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f>'Graf 8'!$C$7:$C$300</c:f>
              <c:numCache>
                <c:formatCode>0</c:formatCode>
                <c:ptCount val="294"/>
                <c:pt idx="0">
                  <c:v>61.083955139361301</c:v>
                </c:pt>
                <c:pt idx="1">
                  <c:v>61.685915647643697</c:v>
                </c:pt>
                <c:pt idx="2">
                  <c:v>62.285190205148901</c:v>
                </c:pt>
                <c:pt idx="3">
                  <c:v>62.846902251950802</c:v>
                </c:pt>
                <c:pt idx="4">
                  <c:v>65.11483459147</c:v>
                </c:pt>
                <c:pt idx="5">
                  <c:v>63.4058952955343</c:v>
                </c:pt>
                <c:pt idx="6">
                  <c:v>64.473114473104502</c:v>
                </c:pt>
                <c:pt idx="7">
                  <c:v>65.311556344212207</c:v>
                </c:pt>
                <c:pt idx="8">
                  <c:v>65.593898470550997</c:v>
                </c:pt>
                <c:pt idx="9">
                  <c:v>66.368138883842605</c:v>
                </c:pt>
                <c:pt idx="10">
                  <c:v>66.474300488071407</c:v>
                </c:pt>
                <c:pt idx="11">
                  <c:v>67.157288427699001</c:v>
                </c:pt>
                <c:pt idx="12">
                  <c:v>66.043329214657007</c:v>
                </c:pt>
                <c:pt idx="13">
                  <c:v>64.996745410563904</c:v>
                </c:pt>
                <c:pt idx="14">
                  <c:v>64.941053468662204</c:v>
                </c:pt>
                <c:pt idx="15">
                  <c:v>64.259849966575501</c:v>
                </c:pt>
                <c:pt idx="16">
                  <c:v>63.483419361740999</c:v>
                </c:pt>
                <c:pt idx="17">
                  <c:v>63.491550072948897</c:v>
                </c:pt>
                <c:pt idx="18">
                  <c:v>63.022508732759</c:v>
                </c:pt>
                <c:pt idx="19">
                  <c:v>62.505107706927198</c:v>
                </c:pt>
                <c:pt idx="20">
                  <c:v>61.935206461767002</c:v>
                </c:pt>
                <c:pt idx="21">
                  <c:v>62.858349885389899</c:v>
                </c:pt>
                <c:pt idx="22">
                  <c:v>62.7072280314067</c:v>
                </c:pt>
                <c:pt idx="23">
                  <c:v>61.4111339659365</c:v>
                </c:pt>
                <c:pt idx="24">
                  <c:v>62.3500517338503</c:v>
                </c:pt>
                <c:pt idx="25">
                  <c:v>63.795092313961703</c:v>
                </c:pt>
                <c:pt idx="26">
                  <c:v>63.772097935392402</c:v>
                </c:pt>
                <c:pt idx="27">
                  <c:v>64.457716493519598</c:v>
                </c:pt>
                <c:pt idx="28">
                  <c:v>63.585922340954099</c:v>
                </c:pt>
                <c:pt idx="29">
                  <c:v>65.823035467227797</c:v>
                </c:pt>
                <c:pt idx="30">
                  <c:v>65.245105605506197</c:v>
                </c:pt>
                <c:pt idx="31">
                  <c:v>65.716681717141597</c:v>
                </c:pt>
                <c:pt idx="32">
                  <c:v>65.9072238261666</c:v>
                </c:pt>
                <c:pt idx="33">
                  <c:v>65.918467648031296</c:v>
                </c:pt>
                <c:pt idx="34">
                  <c:v>67.1032798862839</c:v>
                </c:pt>
                <c:pt idx="35">
                  <c:v>66.708789457529505</c:v>
                </c:pt>
                <c:pt idx="36">
                  <c:v>67.077296703899194</c:v>
                </c:pt>
                <c:pt idx="37">
                  <c:v>66.667425882230702</c:v>
                </c:pt>
                <c:pt idx="38">
                  <c:v>67.586679219960004</c:v>
                </c:pt>
                <c:pt idx="39">
                  <c:v>67.0506754879749</c:v>
                </c:pt>
                <c:pt idx="40">
                  <c:v>66.971843146339907</c:v>
                </c:pt>
                <c:pt idx="41">
                  <c:v>66.874557533360601</c:v>
                </c:pt>
                <c:pt idx="42">
                  <c:v>67.641624667880805</c:v>
                </c:pt>
                <c:pt idx="43">
                  <c:v>66.233278504807998</c:v>
                </c:pt>
                <c:pt idx="44">
                  <c:v>68.241000682647396</c:v>
                </c:pt>
                <c:pt idx="45">
                  <c:v>69.457956212917196</c:v>
                </c:pt>
                <c:pt idx="46">
                  <c:v>70.305239873361799</c:v>
                </c:pt>
                <c:pt idx="47">
                  <c:v>70.9821414154747</c:v>
                </c:pt>
                <c:pt idx="48">
                  <c:v>70.335780999750796</c:v>
                </c:pt>
                <c:pt idx="49">
                  <c:v>71.340133777226299</c:v>
                </c:pt>
                <c:pt idx="50">
                  <c:v>72.363379345200698</c:v>
                </c:pt>
                <c:pt idx="51">
                  <c:v>73.796028329099201</c:v>
                </c:pt>
                <c:pt idx="52">
                  <c:v>73.344892895677006</c:v>
                </c:pt>
                <c:pt idx="53">
                  <c:v>74.302996487329494</c:v>
                </c:pt>
                <c:pt idx="54">
                  <c:v>74.091987586016202</c:v>
                </c:pt>
                <c:pt idx="55">
                  <c:v>73.511934167425594</c:v>
                </c:pt>
                <c:pt idx="56">
                  <c:v>74.2630697867463</c:v>
                </c:pt>
                <c:pt idx="57">
                  <c:v>75.013981404435697</c:v>
                </c:pt>
                <c:pt idx="58">
                  <c:v>75.608154708606705</c:v>
                </c:pt>
                <c:pt idx="59">
                  <c:v>76.302294399775107</c:v>
                </c:pt>
                <c:pt idx="60">
                  <c:v>75.847678340607303</c:v>
                </c:pt>
                <c:pt idx="61">
                  <c:v>75.607074613657304</c:v>
                </c:pt>
                <c:pt idx="62">
                  <c:v>75.011376611856093</c:v>
                </c:pt>
                <c:pt idx="63">
                  <c:v>77.318530854128696</c:v>
                </c:pt>
                <c:pt idx="64">
                  <c:v>77.562707287510804</c:v>
                </c:pt>
                <c:pt idx="65">
                  <c:v>77.059268542520698</c:v>
                </c:pt>
                <c:pt idx="66">
                  <c:v>76.433828635583694</c:v>
                </c:pt>
                <c:pt idx="67">
                  <c:v>77.220685432652203</c:v>
                </c:pt>
                <c:pt idx="68">
                  <c:v>78.425062156671203</c:v>
                </c:pt>
                <c:pt idx="69">
                  <c:v>78.990670125249807</c:v>
                </c:pt>
                <c:pt idx="70">
                  <c:v>79.964493766003997</c:v>
                </c:pt>
                <c:pt idx="71">
                  <c:v>81.9451511229163</c:v>
                </c:pt>
                <c:pt idx="72">
                  <c:v>81.475531473087003</c:v>
                </c:pt>
                <c:pt idx="73">
                  <c:v>81.371470585287199</c:v>
                </c:pt>
                <c:pt idx="74">
                  <c:v>81.853161308002299</c:v>
                </c:pt>
                <c:pt idx="75">
                  <c:v>82.589671634783201</c:v>
                </c:pt>
                <c:pt idx="76">
                  <c:v>83.295297529597704</c:v>
                </c:pt>
                <c:pt idx="77">
                  <c:v>83.215167293731</c:v>
                </c:pt>
                <c:pt idx="78">
                  <c:v>82.193903097602401</c:v>
                </c:pt>
                <c:pt idx="79">
                  <c:v>83.197262917907494</c:v>
                </c:pt>
                <c:pt idx="80">
                  <c:v>84.156308203974604</c:v>
                </c:pt>
                <c:pt idx="81">
                  <c:v>84.436749003125399</c:v>
                </c:pt>
                <c:pt idx="82">
                  <c:v>85.286301691061595</c:v>
                </c:pt>
                <c:pt idx="83">
                  <c:v>86.664729097943095</c:v>
                </c:pt>
                <c:pt idx="84">
                  <c:v>85.359593028030702</c:v>
                </c:pt>
                <c:pt idx="85">
                  <c:v>87.031262175243995</c:v>
                </c:pt>
                <c:pt idx="86">
                  <c:v>86.680292457494403</c:v>
                </c:pt>
                <c:pt idx="87">
                  <c:v>86.208821795206504</c:v>
                </c:pt>
                <c:pt idx="88">
                  <c:v>86.417628087862596</c:v>
                </c:pt>
                <c:pt idx="89">
                  <c:v>86.747576337836307</c:v>
                </c:pt>
                <c:pt idx="90">
                  <c:v>86.564414671242602</c:v>
                </c:pt>
                <c:pt idx="91">
                  <c:v>86.779202424342202</c:v>
                </c:pt>
                <c:pt idx="92">
                  <c:v>86.504889915489102</c:v>
                </c:pt>
                <c:pt idx="93">
                  <c:v>86.986878458653706</c:v>
                </c:pt>
                <c:pt idx="94">
                  <c:v>87.059411183872498</c:v>
                </c:pt>
                <c:pt idx="95">
                  <c:v>87.122245326943499</c:v>
                </c:pt>
                <c:pt idx="96">
                  <c:v>89.182337695360602</c:v>
                </c:pt>
                <c:pt idx="97">
                  <c:v>88.952454527948404</c:v>
                </c:pt>
                <c:pt idx="98">
                  <c:v>87.764703734514995</c:v>
                </c:pt>
                <c:pt idx="99">
                  <c:v>87.644697344174304</c:v>
                </c:pt>
                <c:pt idx="100">
                  <c:v>87.086054659690404</c:v>
                </c:pt>
                <c:pt idx="101">
                  <c:v>86.438019353778003</c:v>
                </c:pt>
                <c:pt idx="102">
                  <c:v>87.368954188923098</c:v>
                </c:pt>
                <c:pt idx="103">
                  <c:v>86.211015258292605</c:v>
                </c:pt>
                <c:pt idx="104">
                  <c:v>86.246597227228705</c:v>
                </c:pt>
                <c:pt idx="105">
                  <c:v>86.122160373887496</c:v>
                </c:pt>
                <c:pt idx="106">
                  <c:v>81.722738763521605</c:v>
                </c:pt>
                <c:pt idx="107">
                  <c:v>77.435806105332603</c:v>
                </c:pt>
                <c:pt idx="108">
                  <c:v>74.343420330145804</c:v>
                </c:pt>
                <c:pt idx="109">
                  <c:v>72.532808226366797</c:v>
                </c:pt>
                <c:pt idx="110">
                  <c:v>71.759775689948597</c:v>
                </c:pt>
                <c:pt idx="111">
                  <c:v>71.861138907666202</c:v>
                </c:pt>
                <c:pt idx="112">
                  <c:v>70.484389211093003</c:v>
                </c:pt>
                <c:pt idx="113">
                  <c:v>71.340182378881195</c:v>
                </c:pt>
                <c:pt idx="114">
                  <c:v>73.083504734169495</c:v>
                </c:pt>
                <c:pt idx="115">
                  <c:v>73.476691515025394</c:v>
                </c:pt>
                <c:pt idx="116">
                  <c:v>76.137961867666405</c:v>
                </c:pt>
                <c:pt idx="117">
                  <c:v>76.714746707678898</c:v>
                </c:pt>
                <c:pt idx="118">
                  <c:v>76.943518061091794</c:v>
                </c:pt>
                <c:pt idx="119">
                  <c:v>77.749187096127002</c:v>
                </c:pt>
                <c:pt idx="120">
                  <c:v>77.629946010128194</c:v>
                </c:pt>
                <c:pt idx="121">
                  <c:v>78.679865085854601</c:v>
                </c:pt>
                <c:pt idx="122">
                  <c:v>80.570915672194204</c:v>
                </c:pt>
                <c:pt idx="123">
                  <c:v>80.024464671912497</c:v>
                </c:pt>
                <c:pt idx="124">
                  <c:v>82.853998284169904</c:v>
                </c:pt>
                <c:pt idx="125">
                  <c:v>83.957689743465806</c:v>
                </c:pt>
                <c:pt idx="126">
                  <c:v>83.139072517337894</c:v>
                </c:pt>
                <c:pt idx="127">
                  <c:v>83.724596765245707</c:v>
                </c:pt>
                <c:pt idx="128">
                  <c:v>83.231646890434007</c:v>
                </c:pt>
                <c:pt idx="129">
                  <c:v>84.022662003067694</c:v>
                </c:pt>
                <c:pt idx="130">
                  <c:v>84.832699579450093</c:v>
                </c:pt>
                <c:pt idx="131">
                  <c:v>84.166244018602598</c:v>
                </c:pt>
                <c:pt idx="132">
                  <c:v>86.056602631585307</c:v>
                </c:pt>
                <c:pt idx="133">
                  <c:v>84.733800752775295</c:v>
                </c:pt>
                <c:pt idx="134">
                  <c:v>85.368300969573994</c:v>
                </c:pt>
                <c:pt idx="135">
                  <c:v>84.531345911672304</c:v>
                </c:pt>
                <c:pt idx="136">
                  <c:v>85.9822733662795</c:v>
                </c:pt>
                <c:pt idx="137">
                  <c:v>84.653438482691001</c:v>
                </c:pt>
                <c:pt idx="138">
                  <c:v>85.588348308396704</c:v>
                </c:pt>
                <c:pt idx="139">
                  <c:v>86.412925117252897</c:v>
                </c:pt>
                <c:pt idx="140">
                  <c:v>85.488485138476804</c:v>
                </c:pt>
                <c:pt idx="141">
                  <c:v>85.542672985675296</c:v>
                </c:pt>
                <c:pt idx="142">
                  <c:v>85.0065481362453</c:v>
                </c:pt>
                <c:pt idx="143">
                  <c:v>84.974811942924504</c:v>
                </c:pt>
                <c:pt idx="144">
                  <c:v>85.771068008987697</c:v>
                </c:pt>
                <c:pt idx="145">
                  <c:v>84.489067322252296</c:v>
                </c:pt>
                <c:pt idx="146">
                  <c:v>85.0417625871616</c:v>
                </c:pt>
                <c:pt idx="147">
                  <c:v>84.794278967059697</c:v>
                </c:pt>
                <c:pt idx="148">
                  <c:v>86.107015320964507</c:v>
                </c:pt>
                <c:pt idx="149">
                  <c:v>85.559079776074498</c:v>
                </c:pt>
                <c:pt idx="150">
                  <c:v>85.487386908720794</c:v>
                </c:pt>
                <c:pt idx="151">
                  <c:v>85.722927889488005</c:v>
                </c:pt>
                <c:pt idx="152">
                  <c:v>85.3033922854016</c:v>
                </c:pt>
                <c:pt idx="153">
                  <c:v>84.355088849015203</c:v>
                </c:pt>
                <c:pt idx="154">
                  <c:v>84.640042426147104</c:v>
                </c:pt>
                <c:pt idx="155">
                  <c:v>84.167037994536003</c:v>
                </c:pt>
                <c:pt idx="156">
                  <c:v>85.043103774249602</c:v>
                </c:pt>
                <c:pt idx="157">
                  <c:v>84.510240100184603</c:v>
                </c:pt>
                <c:pt idx="158">
                  <c:v>83.878024230989098</c:v>
                </c:pt>
                <c:pt idx="159">
                  <c:v>84.512661046282801</c:v>
                </c:pt>
                <c:pt idx="160">
                  <c:v>85.126241359032605</c:v>
                </c:pt>
                <c:pt idx="161">
                  <c:v>84.979057287413696</c:v>
                </c:pt>
                <c:pt idx="162">
                  <c:v>85.755270669998595</c:v>
                </c:pt>
                <c:pt idx="163">
                  <c:v>85.785519162703693</c:v>
                </c:pt>
                <c:pt idx="164">
                  <c:v>86.066309261855906</c:v>
                </c:pt>
                <c:pt idx="165">
                  <c:v>86.204312891839905</c:v>
                </c:pt>
                <c:pt idx="166">
                  <c:v>86.747427270595693</c:v>
                </c:pt>
                <c:pt idx="167">
                  <c:v>86.451006454614699</c:v>
                </c:pt>
                <c:pt idx="168">
                  <c:v>87.589770730723501</c:v>
                </c:pt>
                <c:pt idx="169">
                  <c:v>86.390338032736295</c:v>
                </c:pt>
                <c:pt idx="170">
                  <c:v>87.318128186474794</c:v>
                </c:pt>
                <c:pt idx="171">
                  <c:v>87.874102821589005</c:v>
                </c:pt>
                <c:pt idx="172">
                  <c:v>87.629170753439197</c:v>
                </c:pt>
                <c:pt idx="173">
                  <c:v>87.688007005349505</c:v>
                </c:pt>
                <c:pt idx="174">
                  <c:v>88.351553993836902</c:v>
                </c:pt>
                <c:pt idx="175">
                  <c:v>88.155027790229994</c:v>
                </c:pt>
                <c:pt idx="176">
                  <c:v>89.252051021198099</c:v>
                </c:pt>
                <c:pt idx="177">
                  <c:v>88.930562569875406</c:v>
                </c:pt>
                <c:pt idx="178">
                  <c:v>88.783082869845103</c:v>
                </c:pt>
                <c:pt idx="179">
                  <c:v>90.300923225322805</c:v>
                </c:pt>
                <c:pt idx="180">
                  <c:v>90.037255747279801</c:v>
                </c:pt>
                <c:pt idx="181">
                  <c:v>90.762214062810301</c:v>
                </c:pt>
                <c:pt idx="182">
                  <c:v>91.8310104065974</c:v>
                </c:pt>
                <c:pt idx="183">
                  <c:v>91.005044675835506</c:v>
                </c:pt>
                <c:pt idx="184">
                  <c:v>90.042065003812098</c:v>
                </c:pt>
                <c:pt idx="185">
                  <c:v>90.915559221194698</c:v>
                </c:pt>
                <c:pt idx="186">
                  <c:v>91.539087404817195</c:v>
                </c:pt>
                <c:pt idx="187">
                  <c:v>91.402053643545699</c:v>
                </c:pt>
                <c:pt idx="188">
                  <c:v>91.833031582713701</c:v>
                </c:pt>
                <c:pt idx="189">
                  <c:v>92.651214591889698</c:v>
                </c:pt>
                <c:pt idx="190">
                  <c:v>91.765261899284397</c:v>
                </c:pt>
                <c:pt idx="191">
                  <c:v>91.503505575370596</c:v>
                </c:pt>
                <c:pt idx="192">
                  <c:v>91.911594587888999</c:v>
                </c:pt>
                <c:pt idx="193">
                  <c:v>93.290708046241903</c:v>
                </c:pt>
                <c:pt idx="194">
                  <c:v>91.697509689160299</c:v>
                </c:pt>
                <c:pt idx="195">
                  <c:v>92.181873306199094</c:v>
                </c:pt>
                <c:pt idx="196">
                  <c:v>91.655881054119106</c:v>
                </c:pt>
                <c:pt idx="197">
                  <c:v>93.263022817174104</c:v>
                </c:pt>
                <c:pt idx="198">
                  <c:v>92.605996067113793</c:v>
                </c:pt>
                <c:pt idx="199">
                  <c:v>94.171759014199793</c:v>
                </c:pt>
                <c:pt idx="200">
                  <c:v>93.664988816104</c:v>
                </c:pt>
                <c:pt idx="201">
                  <c:v>92.772354594627302</c:v>
                </c:pt>
                <c:pt idx="202">
                  <c:v>94.121933411469499</c:v>
                </c:pt>
                <c:pt idx="203">
                  <c:v>94.047009954479194</c:v>
                </c:pt>
                <c:pt idx="204">
                  <c:v>95.064244859938498</c:v>
                </c:pt>
                <c:pt idx="205">
                  <c:v>93.467441846994404</c:v>
                </c:pt>
                <c:pt idx="206">
                  <c:v>95.254261132948102</c:v>
                </c:pt>
                <c:pt idx="207">
                  <c:v>95.084788850213201</c:v>
                </c:pt>
                <c:pt idx="208">
                  <c:v>97.183785816696101</c:v>
                </c:pt>
                <c:pt idx="209">
                  <c:v>96.793147681919805</c:v>
                </c:pt>
                <c:pt idx="210">
                  <c:v>96.856168624714797</c:v>
                </c:pt>
                <c:pt idx="211">
                  <c:v>97.562644769025297</c:v>
                </c:pt>
                <c:pt idx="212">
                  <c:v>97.609744724674698</c:v>
                </c:pt>
                <c:pt idx="213">
                  <c:v>96.858709013091399</c:v>
                </c:pt>
                <c:pt idx="214">
                  <c:v>98.714503810742698</c:v>
                </c:pt>
                <c:pt idx="215">
                  <c:v>99.690424459191505</c:v>
                </c:pt>
                <c:pt idx="216">
                  <c:v>98.845408547505897</c:v>
                </c:pt>
                <c:pt idx="217">
                  <c:v>98.500709602643795</c:v>
                </c:pt>
                <c:pt idx="218">
                  <c:v>98.590299456106806</c:v>
                </c:pt>
                <c:pt idx="219">
                  <c:v>98.295920548579502</c:v>
                </c:pt>
                <c:pt idx="220">
                  <c:v>98.849850967857904</c:v>
                </c:pt>
                <c:pt idx="221">
                  <c:v>99.036871750425107</c:v>
                </c:pt>
                <c:pt idx="222">
                  <c:v>99.517395648192107</c:v>
                </c:pt>
                <c:pt idx="223">
                  <c:v>98.831980452566299</c:v>
                </c:pt>
                <c:pt idx="224">
                  <c:v>98.125806462754298</c:v>
                </c:pt>
                <c:pt idx="225">
                  <c:v>99.752760922274703</c:v>
                </c:pt>
                <c:pt idx="226">
                  <c:v>98.367738336220796</c:v>
                </c:pt>
                <c:pt idx="227">
                  <c:v>99.125302164573398</c:v>
                </c:pt>
                <c:pt idx="228">
                  <c:v>99.477951831236297</c:v>
                </c:pt>
                <c:pt idx="229">
                  <c:v>98.368091724800607</c:v>
                </c:pt>
                <c:pt idx="230">
                  <c:v>98.496468653891796</c:v>
                </c:pt>
                <c:pt idx="231">
                  <c:v>98.015281096109106</c:v>
                </c:pt>
                <c:pt idx="232">
                  <c:v>99.324938008165802</c:v>
                </c:pt>
                <c:pt idx="233">
                  <c:v>97.329727048435203</c:v>
                </c:pt>
                <c:pt idx="234">
                  <c:v>98.819149027683295</c:v>
                </c:pt>
                <c:pt idx="235">
                  <c:v>98.551394181488504</c:v>
                </c:pt>
                <c:pt idx="236">
                  <c:v>97.991949115746294</c:v>
                </c:pt>
                <c:pt idx="237">
                  <c:v>97.991830867229098</c:v>
                </c:pt>
                <c:pt idx="238">
                  <c:v>96.860005193057901</c:v>
                </c:pt>
                <c:pt idx="239">
                  <c:v>96.499773659962997</c:v>
                </c:pt>
                <c:pt idx="240">
                  <c:v>96.493902006505394</c:v>
                </c:pt>
                <c:pt idx="241">
                  <c:v>95.323448234491394</c:v>
                </c:pt>
                <c:pt idx="242">
                  <c:v>91.151269921660102</c:v>
                </c:pt>
                <c:pt idx="243">
                  <c:v>80.418124710757994</c:v>
                </c:pt>
                <c:pt idx="244">
                  <c:v>81.770344902925501</c:v>
                </c:pt>
                <c:pt idx="245">
                  <c:v>87.0833637607697</c:v>
                </c:pt>
                <c:pt idx="246">
                  <c:v>91.600186010448198</c:v>
                </c:pt>
                <c:pt idx="247">
                  <c:v>93.042894900038306</c:v>
                </c:pt>
                <c:pt idx="248">
                  <c:v>95.239354772729101</c:v>
                </c:pt>
                <c:pt idx="249">
                  <c:v>96.299603901267304</c:v>
                </c:pt>
                <c:pt idx="250">
                  <c:v>98.520728654307106</c:v>
                </c:pt>
                <c:pt idx="251">
                  <c:v>98.057612473204003</c:v>
                </c:pt>
                <c:pt idx="252">
                  <c:v>97.038481175144398</c:v>
                </c:pt>
                <c:pt idx="253">
                  <c:v>97.362324730788202</c:v>
                </c:pt>
                <c:pt idx="254">
                  <c:v>100.16995012034501</c:v>
                </c:pt>
                <c:pt idx="255">
                  <c:v>99.7087432355126</c:v>
                </c:pt>
                <c:pt idx="256">
                  <c:v>99.208881070940095</c:v>
                </c:pt>
                <c:pt idx="257">
                  <c:v>99.956662876551306</c:v>
                </c:pt>
                <c:pt idx="258">
                  <c:v>99.003435134555204</c:v>
                </c:pt>
                <c:pt idx="259">
                  <c:v>99.676222201331697</c:v>
                </c:pt>
                <c:pt idx="260">
                  <c:v>99.122680293248294</c:v>
                </c:pt>
                <c:pt idx="261">
                  <c:v>99.051551000785906</c:v>
                </c:pt>
                <c:pt idx="262">
                  <c:v>103.559733727365</c:v>
                </c:pt>
                <c:pt idx="263">
                  <c:v>106.141334433433</c:v>
                </c:pt>
                <c:pt idx="264">
                  <c:v>104.594332264274</c:v>
                </c:pt>
                <c:pt idx="265">
                  <c:v>104.09082414106101</c:v>
                </c:pt>
                <c:pt idx="266">
                  <c:v>105.06161098888499</c:v>
                </c:pt>
                <c:pt idx="267">
                  <c:v>105.09684627045699</c:v>
                </c:pt>
                <c:pt idx="268">
                  <c:v>106.64019331857401</c:v>
                </c:pt>
                <c:pt idx="269">
                  <c:v>105.458797976814</c:v>
                </c:pt>
                <c:pt idx="270">
                  <c:v>105.05480128213399</c:v>
                </c:pt>
                <c:pt idx="271">
                  <c:v>106.803968712857</c:v>
                </c:pt>
                <c:pt idx="272">
                  <c:v>105.820686753963</c:v>
                </c:pt>
                <c:pt idx="273">
                  <c:v>105.195217622519</c:v>
                </c:pt>
                <c:pt idx="274">
                  <c:v>103.204174308178</c:v>
                </c:pt>
                <c:pt idx="275">
                  <c:v>103.009146188976</c:v>
                </c:pt>
                <c:pt idx="276">
                  <c:v>103.158130529712</c:v>
                </c:pt>
                <c:pt idx="277">
                  <c:v>101.478436153193</c:v>
                </c:pt>
                <c:pt idx="278">
                  <c:v>100.345978471373</c:v>
                </c:pt>
                <c:pt idx="279">
                  <c:v>101.151084136066</c:v>
                </c:pt>
                <c:pt idx="280">
                  <c:v>101.95912695205701</c:v>
                </c:pt>
                <c:pt idx="281">
                  <c:v>100.427821962935</c:v>
                </c:pt>
                <c:pt idx="282">
                  <c:v>100.86406872086999</c:v>
                </c:pt>
                <c:pt idx="283">
                  <c:v>100.346848647204</c:v>
                </c:pt>
                <c:pt idx="284">
                  <c:v>99.575177528329903</c:v>
                </c:pt>
                <c:pt idx="285">
                  <c:v>100.213464966546</c:v>
                </c:pt>
                <c:pt idx="286">
                  <c:v>98.690756481226103</c:v>
                </c:pt>
                <c:pt idx="287">
                  <c:v>99.708414216312093</c:v>
                </c:pt>
                <c:pt idx="288">
                  <c:v>97.764627267679401</c:v>
                </c:pt>
                <c:pt idx="289">
                  <c:v>100.118853451174</c:v>
                </c:pt>
                <c:pt idx="290">
                  <c:v>99.766824076661393</c:v>
                </c:pt>
                <c:pt idx="291">
                  <c:v>101.307613383166</c:v>
                </c:pt>
                <c:pt idx="292">
                  <c:v>99.808495195284095</c:v>
                </c:pt>
                <c:pt idx="293">
                  <c:v>100.733978384878</c:v>
                </c:pt>
              </c:numCache>
            </c:numRef>
          </c:val>
          <c:smooth val="0"/>
          <c:extLst>
            <c:ext xmlns:c16="http://schemas.microsoft.com/office/drawing/2014/chart" uri="{C3380CC4-5D6E-409C-BE32-E72D297353CC}">
              <c16:uniqueId val="{00000001-0C47-42B7-AFDC-E782E5226E79}"/>
            </c:ext>
          </c:extLst>
        </c:ser>
        <c:dLbls>
          <c:showLegendKey val="0"/>
          <c:showVal val="0"/>
          <c:showCatName val="0"/>
          <c:showSerName val="0"/>
          <c:showPercent val="0"/>
          <c:showBubbleSize val="0"/>
        </c:dLbls>
        <c:smooth val="0"/>
        <c:axId val="783314560"/>
        <c:axId val="291608336"/>
        <c:extLst>
          <c:ext xmlns:c15="http://schemas.microsoft.com/office/drawing/2012/chart" uri="{02D57815-91ED-43cb-92C2-25804820EDAC}">
            <c15:filteredLineSeries>
              <c15:ser>
                <c:idx val="1"/>
                <c:order val="1"/>
                <c:tx>
                  <c:strRef>
                    <c:extLst>
                      <c:ext uri="{02D57815-91ED-43cb-92C2-25804820EDAC}">
                        <c15:formulaRef>
                          <c15:sqref>'Graf 8'!#REF!</c15:sqref>
                        </c15:formulaRef>
                      </c:ext>
                    </c:extLst>
                    <c:strCache>
                      <c:ptCount val="1"/>
                      <c:pt idx="0">
                        <c:v>#REF!</c:v>
                      </c:pt>
                    </c:strCache>
                  </c:strRef>
                </c:tx>
                <c:spPr>
                  <a:ln w="22225" cap="rnd">
                    <a:solidFill>
                      <a:srgbClr val="2EAAE1"/>
                    </a:solidFill>
                    <a:prstDash val="solid"/>
                    <a:round/>
                  </a:ln>
                  <a:effectLst/>
                </c:spPr>
                <c:marker>
                  <c:symbol val="none"/>
                </c:marker>
                <c:cat>
                  <c:numRef>
                    <c:extLst>
                      <c:ext uri="{02D57815-91ED-43cb-92C2-25804820EDAC}">
                        <c15:formulaRef>
                          <c15:sqref>'Graf 8'!$A$7:$A$300</c15:sqref>
                        </c15:formulaRef>
                      </c:ext>
                    </c:extLst>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extLst>
                      <c:ext uri="{02D57815-91ED-43cb-92C2-25804820EDAC}">
                        <c15:formulaRef>
                          <c15:sqref>'Graf 8'!#REF!</c15:sqref>
                        </c15:formulaRef>
                      </c:ext>
                    </c:extLst>
                    <c:numCache>
                      <c:formatCode>General</c:formatCode>
                      <c:ptCount val="1"/>
                      <c:pt idx="0">
                        <c:v>1</c:v>
                      </c:pt>
                    </c:numCache>
                  </c:numRef>
                </c:val>
                <c:smooth val="0"/>
                <c:extLst>
                  <c:ext xmlns:c16="http://schemas.microsoft.com/office/drawing/2014/chart" uri="{C3380CC4-5D6E-409C-BE32-E72D297353CC}">
                    <c16:uniqueId val="{00000002-0C47-42B7-AFDC-E782E5226E7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'Graf 8'!#REF!</c15:sqref>
                        </c15:formulaRef>
                      </c:ext>
                    </c:extLst>
                    <c:strCache>
                      <c:ptCount val="1"/>
                      <c:pt idx="0">
                        <c:v>#REF!</c:v>
                      </c:pt>
                    </c:strCache>
                  </c:strRef>
                </c:tx>
                <c:spPr>
                  <a:ln w="22225" cap="rnd">
                    <a:solidFill>
                      <a:schemeClr val="tx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'Graf 8'!$A$7:$A$300</c15:sqref>
                        </c15:formulaRef>
                      </c:ext>
                    </c:extLst>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extLst xmlns:c15="http://schemas.microsoft.com/office/drawing/2012/chart">
                      <c:ext xmlns:c15="http://schemas.microsoft.com/office/drawing/2012/chart" uri="{02D57815-91ED-43cb-92C2-25804820EDAC}">
                        <c15:formulaRef>
                          <c15:sqref>'Graf 8'!#REF!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3-0C47-42B7-AFDC-E782E5226E79}"/>
                  </c:ext>
                </c:extLst>
              </c15:ser>
            </c15:filteredLineSeries>
          </c:ext>
        </c:extLst>
      </c:lineChart>
      <c:dateAx>
        <c:axId val="783314560"/>
        <c:scaling>
          <c:orientation val="minMax"/>
          <c:min val="42156"/>
        </c:scaling>
        <c:delete val="0"/>
        <c:axPos val="b"/>
        <c:numFmt formatCode="mmm\-yy" sourceLinked="1"/>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291608336"/>
        <c:crosses val="autoZero"/>
        <c:auto val="1"/>
        <c:lblOffset val="100"/>
        <c:baseTimeUnit val="months"/>
        <c:majorUnit val="12"/>
        <c:majorTimeUnit val="months"/>
      </c:dateAx>
      <c:valAx>
        <c:axId val="291608336"/>
        <c:scaling>
          <c:orientation val="minMax"/>
          <c:max val="110"/>
          <c:min val="70"/>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783314560"/>
        <c:crosses val="autoZero"/>
        <c:crossBetween val="between"/>
      </c:valAx>
      <c:spPr>
        <a:noFill/>
        <a:ln>
          <a:noFill/>
        </a:ln>
        <a:effectLst/>
      </c:spPr>
    </c:plotArea>
    <c:legend>
      <c:legendPos val="t"/>
      <c:layout>
        <c:manualLayout>
          <c:xMode val="edge"/>
          <c:yMode val="edge"/>
          <c:x val="0.1277893864013267"/>
          <c:y val="4.550138888888889E-2"/>
          <c:w val="0.75961028192371471"/>
          <c:h val="8.634861111111111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0.28873294983204817"/>
          <c:w val="0.88681971843441276"/>
          <c:h val="0.56976232893168144"/>
        </c:manualLayout>
      </c:layout>
      <c:barChart>
        <c:barDir val="col"/>
        <c:grouping val="clustered"/>
        <c:varyColors val="0"/>
        <c:ser>
          <c:idx val="0"/>
          <c:order val="2"/>
          <c:tx>
            <c:strRef>
              <c:f>Zhrnutie!$A$45</c:f>
              <c:strCache>
                <c:ptCount val="1"/>
                <c:pt idx="0">
                  <c:v>Budget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70C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Zhrnutie!$B$21:$F$21</c:f>
              <c:numCache>
                <c:formatCode>General</c:formatCode>
                <c:ptCount val="5"/>
                <c:pt idx="0">
                  <c:v>2023</c:v>
                </c:pt>
                <c:pt idx="1">
                  <c:v>2024</c:v>
                </c:pt>
                <c:pt idx="2">
                  <c:v>2025</c:v>
                </c:pt>
                <c:pt idx="3">
                  <c:v>2026</c:v>
                </c:pt>
                <c:pt idx="4">
                  <c:v>2027</c:v>
                </c:pt>
              </c:numCache>
            </c:numRef>
          </c:cat>
          <c:val>
            <c:numRef>
              <c:f>Zhrnutie!$B$22:$F$22</c:f>
              <c:numCache>
                <c:formatCode>0.0</c:formatCode>
                <c:ptCount val="5"/>
                <c:pt idx="0">
                  <c:v>-4.8934746579132851</c:v>
                </c:pt>
                <c:pt idx="1">
                  <c:v>-5.7853712374767481</c:v>
                </c:pt>
                <c:pt idx="2">
                  <c:v>-4.72</c:v>
                </c:pt>
                <c:pt idx="3">
                  <c:v>-4.16</c:v>
                </c:pt>
                <c:pt idx="4">
                  <c:v>-4.87</c:v>
                </c:pt>
              </c:numCache>
            </c:numRef>
          </c:val>
          <c:extLst>
            <c:ext xmlns:c16="http://schemas.microsoft.com/office/drawing/2014/chart" uri="{C3380CC4-5D6E-409C-BE32-E72D297353CC}">
              <c16:uniqueId val="{00000000-9382-486A-A363-90C2B1E57DC1}"/>
            </c:ext>
          </c:extLst>
        </c:ser>
        <c:dLbls>
          <c:showLegendKey val="0"/>
          <c:showVal val="0"/>
          <c:showCatName val="0"/>
          <c:showSerName val="0"/>
          <c:showPercent val="0"/>
          <c:showBubbleSize val="0"/>
        </c:dLbls>
        <c:gapWidth val="150"/>
        <c:axId val="557539920"/>
        <c:axId val="561011080"/>
      </c:barChart>
      <c:lineChart>
        <c:grouping val="standard"/>
        <c:varyColors val="0"/>
        <c:ser>
          <c:idx val="1"/>
          <c:order val="0"/>
          <c:tx>
            <c:strRef>
              <c:f>Zhrnutie!$A$46</c:f>
              <c:strCache>
                <c:ptCount val="1"/>
                <c:pt idx="0">
                  <c:v>Budgetary target</c:v>
                </c:pt>
              </c:strCache>
            </c:strRef>
          </c:tx>
          <c:spPr>
            <a:ln w="28575" cap="rnd">
              <a:noFill/>
              <a:round/>
            </a:ln>
            <a:effectLst/>
          </c:spPr>
          <c:marker>
            <c:symbol val="diamond"/>
            <c:size val="5"/>
            <c:spPr>
              <a:solidFill>
                <a:srgbClr val="002060"/>
              </a:solidFill>
              <a:ln w="9525">
                <a:noFill/>
              </a:ln>
              <a:effectLst/>
            </c:spPr>
          </c:marker>
          <c:dLbls>
            <c:spPr>
              <a:solidFill>
                <a:srgbClr val="FFFFFF"/>
              </a:solidFill>
              <a:ln>
                <a:solidFill>
                  <a:srgbClr val="002060"/>
                </a:solidFill>
              </a:ln>
              <a:effectLst/>
            </c:spPr>
            <c:txPr>
              <a:bodyPr rot="0" spcFirstLastPara="1" vertOverflow="ellipsis" vert="horz" wrap="square" anchor="ctr" anchorCtr="1"/>
              <a:lstStyle/>
              <a:p>
                <a:pPr>
                  <a:defRPr sz="900" b="0" i="0" u="none" strike="noStrike" kern="1200" baseline="0">
                    <a:solidFill>
                      <a:srgbClr val="00206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Zhrnutie!$B$21:$F$21</c:f>
              <c:numCache>
                <c:formatCode>General</c:formatCode>
                <c:ptCount val="5"/>
                <c:pt idx="0">
                  <c:v>2023</c:v>
                </c:pt>
                <c:pt idx="1">
                  <c:v>2024</c:v>
                </c:pt>
                <c:pt idx="2">
                  <c:v>2025</c:v>
                </c:pt>
                <c:pt idx="3">
                  <c:v>2026</c:v>
                </c:pt>
                <c:pt idx="4">
                  <c:v>2027</c:v>
                </c:pt>
              </c:numCache>
            </c:numRef>
          </c:cat>
          <c:val>
            <c:numRef>
              <c:f>Zhrnutie!$B$23:$F$23</c:f>
              <c:numCache>
                <c:formatCode>0.0</c:formatCode>
                <c:ptCount val="5"/>
                <c:pt idx="2">
                  <c:v>-4.72</c:v>
                </c:pt>
                <c:pt idx="3">
                  <c:v>-3.72</c:v>
                </c:pt>
                <c:pt idx="4">
                  <c:v>-3</c:v>
                </c:pt>
              </c:numCache>
            </c:numRef>
          </c:val>
          <c:smooth val="0"/>
          <c:extLst>
            <c:ext xmlns:c16="http://schemas.microsoft.com/office/drawing/2014/chart" uri="{C3380CC4-5D6E-409C-BE32-E72D297353CC}">
              <c16:uniqueId val="{00000001-9382-486A-A363-90C2B1E57DC1}"/>
            </c:ext>
          </c:extLst>
        </c:ser>
        <c:ser>
          <c:idx val="2"/>
          <c:order val="1"/>
          <c:tx>
            <c:strRef>
              <c:f>Zhrnutie!#REF!</c:f>
              <c:strCache>
                <c:ptCount val="1"/>
                <c:pt idx="0">
                  <c:v>#REF!</c:v>
                </c:pt>
              </c:strCache>
            </c:strRef>
          </c:tx>
          <c:spPr>
            <a:ln w="28575" cap="rnd">
              <a:solidFill>
                <a:srgbClr val="FF0000"/>
              </a:solidFill>
              <a:round/>
            </a:ln>
            <a:effectLst/>
          </c:spPr>
          <c:marker>
            <c:symbol val="none"/>
          </c:marker>
          <c:cat>
            <c:numRef>
              <c:f>Zhrnutie!$B$21:$F$21</c:f>
              <c:numCache>
                <c:formatCode>General</c:formatCode>
                <c:ptCount val="5"/>
                <c:pt idx="0">
                  <c:v>2023</c:v>
                </c:pt>
                <c:pt idx="1">
                  <c:v>2024</c:v>
                </c:pt>
                <c:pt idx="2">
                  <c:v>2025</c:v>
                </c:pt>
                <c:pt idx="3">
                  <c:v>2026</c:v>
                </c:pt>
                <c:pt idx="4">
                  <c:v>2027</c:v>
                </c:pt>
              </c:numCache>
            </c:numRef>
          </c:cat>
          <c:val>
            <c:numRef>
              <c:f>Zhrnutie!#REF!</c:f>
              <c:numCache>
                <c:formatCode>General</c:formatCode>
                <c:ptCount val="1"/>
                <c:pt idx="0">
                  <c:v>1</c:v>
                </c:pt>
              </c:numCache>
            </c:numRef>
          </c:val>
          <c:smooth val="0"/>
          <c:extLst>
            <c:ext xmlns:c16="http://schemas.microsoft.com/office/drawing/2014/chart" uri="{C3380CC4-5D6E-409C-BE32-E72D297353CC}">
              <c16:uniqueId val="{00000002-9382-486A-A363-90C2B1E57DC1}"/>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t"/>
        <c:numFmt formatCode="General" sourceLinked="1"/>
        <c:majorTickMark val="none"/>
        <c:minorTickMark val="none"/>
        <c:tickLblPos val="high"/>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axMin"/>
          <c:max val="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legend>
      <c:legendPos val="b"/>
      <c:legendEntry>
        <c:idx val="2"/>
        <c:delete val="1"/>
      </c:legendEntry>
      <c:layout>
        <c:manualLayout>
          <c:xMode val="edge"/>
          <c:yMode val="edge"/>
          <c:x val="2.5029213533443319E-2"/>
          <c:y val="5.3651336063690516E-3"/>
          <c:w val="0.9280048438976124"/>
          <c:h val="0.307139651585002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29246487867184E-2"/>
          <c:y val="0.16964301165650997"/>
          <c:w val="0.90263771817794802"/>
          <c:h val="0.6183753025873181"/>
        </c:manualLayout>
      </c:layout>
      <c:lineChart>
        <c:grouping val="standard"/>
        <c:varyColors val="0"/>
        <c:ser>
          <c:idx val="0"/>
          <c:order val="0"/>
          <c:tx>
            <c:strRef>
              <c:f>'Graf 8'!$B$5</c:f>
              <c:strCache>
                <c:ptCount val="1"/>
                <c:pt idx="0">
                  <c:v>euro area</c:v>
                </c:pt>
              </c:strCache>
            </c:strRef>
          </c:tx>
          <c:spPr>
            <a:ln w="28575" cap="rnd">
              <a:solidFill>
                <a:schemeClr val="accent1"/>
              </a:solidFill>
              <a:prstDash val="solid"/>
              <a:round/>
            </a:ln>
            <a:effectLst/>
          </c:spPr>
          <c:marker>
            <c:symbol val="none"/>
          </c:marker>
          <c:cat>
            <c:numRef>
              <c:f>'Graf 8'!$A$7:$A$300</c:f>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f>'Graf 8'!$B$7:$B$300</c:f>
              <c:numCache>
                <c:formatCode>0</c:formatCode>
                <c:ptCount val="294"/>
                <c:pt idx="0">
                  <c:v>75.135722426679294</c:v>
                </c:pt>
                <c:pt idx="1">
                  <c:v>75.574385561680103</c:v>
                </c:pt>
                <c:pt idx="2">
                  <c:v>76.326776278344099</c:v>
                </c:pt>
                <c:pt idx="3">
                  <c:v>76.003749576992007</c:v>
                </c:pt>
                <c:pt idx="4">
                  <c:v>80.643615535553806</c:v>
                </c:pt>
                <c:pt idx="5">
                  <c:v>76.253428731494793</c:v>
                </c:pt>
                <c:pt idx="6">
                  <c:v>78.254109302642902</c:v>
                </c:pt>
                <c:pt idx="7">
                  <c:v>79.678100001609096</c:v>
                </c:pt>
                <c:pt idx="8">
                  <c:v>79.699766918115401</c:v>
                </c:pt>
                <c:pt idx="9">
                  <c:v>81.238597581076704</c:v>
                </c:pt>
                <c:pt idx="10">
                  <c:v>81.762625420341394</c:v>
                </c:pt>
                <c:pt idx="11">
                  <c:v>83.729254527452795</c:v>
                </c:pt>
                <c:pt idx="12">
                  <c:v>81.159147355301101</c:v>
                </c:pt>
                <c:pt idx="13">
                  <c:v>79.839211009144407</c:v>
                </c:pt>
                <c:pt idx="14">
                  <c:v>80.094517521460702</c:v>
                </c:pt>
                <c:pt idx="15">
                  <c:v>80.015738118551496</c:v>
                </c:pt>
                <c:pt idx="16">
                  <c:v>79.161089450360905</c:v>
                </c:pt>
                <c:pt idx="17">
                  <c:v>79.029611609923606</c:v>
                </c:pt>
                <c:pt idx="18">
                  <c:v>78.640419053143404</c:v>
                </c:pt>
                <c:pt idx="19">
                  <c:v>77.337373068269699</c:v>
                </c:pt>
                <c:pt idx="20">
                  <c:v>77.174906115332504</c:v>
                </c:pt>
                <c:pt idx="21">
                  <c:v>77.762354500385996</c:v>
                </c:pt>
                <c:pt idx="22">
                  <c:v>77.991293834983495</c:v>
                </c:pt>
                <c:pt idx="23">
                  <c:v>76.059192597556503</c:v>
                </c:pt>
                <c:pt idx="24">
                  <c:v>76.549080051925898</c:v>
                </c:pt>
                <c:pt idx="25">
                  <c:v>77.953733735429907</c:v>
                </c:pt>
                <c:pt idx="26">
                  <c:v>77.322241056807201</c:v>
                </c:pt>
                <c:pt idx="27">
                  <c:v>77.770830859663505</c:v>
                </c:pt>
                <c:pt idx="28">
                  <c:v>75.219059439081605</c:v>
                </c:pt>
                <c:pt idx="29">
                  <c:v>79.363668640643596</c:v>
                </c:pt>
                <c:pt idx="30">
                  <c:v>77.745927587453593</c:v>
                </c:pt>
                <c:pt idx="31">
                  <c:v>78.238405648514401</c:v>
                </c:pt>
                <c:pt idx="32">
                  <c:v>79.086836511630693</c:v>
                </c:pt>
                <c:pt idx="33">
                  <c:v>79.633936605232805</c:v>
                </c:pt>
                <c:pt idx="34">
                  <c:v>79.772546435476599</c:v>
                </c:pt>
                <c:pt idx="35">
                  <c:v>79.196831215929606</c:v>
                </c:pt>
                <c:pt idx="36">
                  <c:v>80.057714713037697</c:v>
                </c:pt>
                <c:pt idx="37">
                  <c:v>80.200411829522693</c:v>
                </c:pt>
                <c:pt idx="38">
                  <c:v>81.121127321649098</c:v>
                </c:pt>
                <c:pt idx="39">
                  <c:v>79.958328375353702</c:v>
                </c:pt>
                <c:pt idx="40">
                  <c:v>80.4920013004336</c:v>
                </c:pt>
                <c:pt idx="41">
                  <c:v>79.993878777260804</c:v>
                </c:pt>
                <c:pt idx="42">
                  <c:v>80.867910221239597</c:v>
                </c:pt>
                <c:pt idx="43">
                  <c:v>78.521058674695595</c:v>
                </c:pt>
                <c:pt idx="44">
                  <c:v>80.630441313300196</c:v>
                </c:pt>
                <c:pt idx="45">
                  <c:v>82.707787385318994</c:v>
                </c:pt>
                <c:pt idx="46">
                  <c:v>84.052713834572799</c:v>
                </c:pt>
                <c:pt idx="47">
                  <c:v>83.688459651085196</c:v>
                </c:pt>
                <c:pt idx="48">
                  <c:v>82.454563107132699</c:v>
                </c:pt>
                <c:pt idx="49">
                  <c:v>84.648810845469995</c:v>
                </c:pt>
                <c:pt idx="50">
                  <c:v>84.498945365940102</c:v>
                </c:pt>
                <c:pt idx="51">
                  <c:v>86.686604368855399</c:v>
                </c:pt>
                <c:pt idx="52">
                  <c:v>85.582078141511303</c:v>
                </c:pt>
                <c:pt idx="53">
                  <c:v>86.355273839056096</c:v>
                </c:pt>
                <c:pt idx="54">
                  <c:v>86.159313818888194</c:v>
                </c:pt>
                <c:pt idx="55">
                  <c:v>85.643287151152293</c:v>
                </c:pt>
                <c:pt idx="56">
                  <c:v>87.6488479071227</c:v>
                </c:pt>
                <c:pt idx="57">
                  <c:v>87.353188103896102</c:v>
                </c:pt>
                <c:pt idx="58">
                  <c:v>88.420723373187698</c:v>
                </c:pt>
                <c:pt idx="59">
                  <c:v>89.245185300840106</c:v>
                </c:pt>
                <c:pt idx="60">
                  <c:v>88.525877352905297</c:v>
                </c:pt>
                <c:pt idx="61">
                  <c:v>86.934030080179099</c:v>
                </c:pt>
                <c:pt idx="62">
                  <c:v>87.029674127452594</c:v>
                </c:pt>
                <c:pt idx="63">
                  <c:v>90.272665379399299</c:v>
                </c:pt>
                <c:pt idx="64">
                  <c:v>89.792260128533201</c:v>
                </c:pt>
                <c:pt idx="65">
                  <c:v>89.134266709740501</c:v>
                </c:pt>
                <c:pt idx="66">
                  <c:v>87.973744857625704</c:v>
                </c:pt>
                <c:pt idx="67">
                  <c:v>89.199787976270898</c:v>
                </c:pt>
                <c:pt idx="68">
                  <c:v>90.879848554830502</c:v>
                </c:pt>
                <c:pt idx="69">
                  <c:v>90.364166384162303</c:v>
                </c:pt>
                <c:pt idx="70">
                  <c:v>92.291194912247803</c:v>
                </c:pt>
                <c:pt idx="71">
                  <c:v>95.413819950341207</c:v>
                </c:pt>
                <c:pt idx="72">
                  <c:v>92.644993695676703</c:v>
                </c:pt>
                <c:pt idx="73">
                  <c:v>93.728777332935394</c:v>
                </c:pt>
                <c:pt idx="74">
                  <c:v>93.760480571410497</c:v>
                </c:pt>
                <c:pt idx="75">
                  <c:v>94.788000987810804</c:v>
                </c:pt>
                <c:pt idx="76">
                  <c:v>95.540620896848594</c:v>
                </c:pt>
                <c:pt idx="77">
                  <c:v>95.941762269944604</c:v>
                </c:pt>
                <c:pt idx="78">
                  <c:v>94.968525297246202</c:v>
                </c:pt>
                <c:pt idx="79">
                  <c:v>95.794352515951303</c:v>
                </c:pt>
                <c:pt idx="80">
                  <c:v>97.067234094094701</c:v>
                </c:pt>
                <c:pt idx="81">
                  <c:v>98.674024500483</c:v>
                </c:pt>
                <c:pt idx="82">
                  <c:v>99.335434840033599</c:v>
                </c:pt>
                <c:pt idx="83">
                  <c:v>101.02550532077601</c:v>
                </c:pt>
                <c:pt idx="84">
                  <c:v>99.139268145378296</c:v>
                </c:pt>
                <c:pt idx="85">
                  <c:v>101.376827990712</c:v>
                </c:pt>
                <c:pt idx="86">
                  <c:v>99.358726417814395</c:v>
                </c:pt>
                <c:pt idx="87">
                  <c:v>100.046560331096</c:v>
                </c:pt>
                <c:pt idx="88">
                  <c:v>100.78574923943501</c:v>
                </c:pt>
                <c:pt idx="89">
                  <c:v>100.373570331097</c:v>
                </c:pt>
                <c:pt idx="90">
                  <c:v>100.3139706817</c:v>
                </c:pt>
                <c:pt idx="91">
                  <c:v>101.442240371225</c:v>
                </c:pt>
                <c:pt idx="92">
                  <c:v>100.40702650568601</c:v>
                </c:pt>
                <c:pt idx="93">
                  <c:v>101.341983970218</c:v>
                </c:pt>
                <c:pt idx="94">
                  <c:v>100.929044627465</c:v>
                </c:pt>
                <c:pt idx="95">
                  <c:v>101.468520419108</c:v>
                </c:pt>
                <c:pt idx="96">
                  <c:v>103.923740854565</c:v>
                </c:pt>
                <c:pt idx="97">
                  <c:v>102.670288623391</c:v>
                </c:pt>
                <c:pt idx="98">
                  <c:v>101.475829813179</c:v>
                </c:pt>
                <c:pt idx="99">
                  <c:v>101.600923485086</c:v>
                </c:pt>
                <c:pt idx="100">
                  <c:v>100.295618088827</c:v>
                </c:pt>
                <c:pt idx="101">
                  <c:v>99.516775095162302</c:v>
                </c:pt>
                <c:pt idx="102">
                  <c:v>100.354321615294</c:v>
                </c:pt>
                <c:pt idx="103">
                  <c:v>98.353915163304507</c:v>
                </c:pt>
                <c:pt idx="104">
                  <c:v>99.239894807470094</c:v>
                </c:pt>
                <c:pt idx="105">
                  <c:v>97.395393759923905</c:v>
                </c:pt>
                <c:pt idx="106">
                  <c:v>93.179024045650195</c:v>
                </c:pt>
                <c:pt idx="107">
                  <c:v>89.3462409710923</c:v>
                </c:pt>
                <c:pt idx="108">
                  <c:v>85.491272282544102</c:v>
                </c:pt>
                <c:pt idx="109">
                  <c:v>84.958826463371196</c:v>
                </c:pt>
                <c:pt idx="110">
                  <c:v>83.442585408238003</c:v>
                </c:pt>
                <c:pt idx="111">
                  <c:v>83.416988043084103</c:v>
                </c:pt>
                <c:pt idx="112">
                  <c:v>82.101926454541399</c:v>
                </c:pt>
                <c:pt idx="113">
                  <c:v>82.870228401963502</c:v>
                </c:pt>
                <c:pt idx="114">
                  <c:v>83.953070798286305</c:v>
                </c:pt>
                <c:pt idx="115">
                  <c:v>84.238100230433204</c:v>
                </c:pt>
                <c:pt idx="116">
                  <c:v>86.674642735701198</c:v>
                </c:pt>
                <c:pt idx="117">
                  <c:v>87.734253517139393</c:v>
                </c:pt>
                <c:pt idx="118">
                  <c:v>87.212312148525498</c:v>
                </c:pt>
                <c:pt idx="119">
                  <c:v>87.996375215086005</c:v>
                </c:pt>
                <c:pt idx="120">
                  <c:v>88.024589283265996</c:v>
                </c:pt>
                <c:pt idx="121">
                  <c:v>87.929398442555197</c:v>
                </c:pt>
                <c:pt idx="122">
                  <c:v>91.664706657965297</c:v>
                </c:pt>
                <c:pt idx="123">
                  <c:v>90.352801654917897</c:v>
                </c:pt>
                <c:pt idx="124">
                  <c:v>93.264506804565698</c:v>
                </c:pt>
                <c:pt idx="125">
                  <c:v>94.014565514356306</c:v>
                </c:pt>
                <c:pt idx="126">
                  <c:v>92.644727529048097</c:v>
                </c:pt>
                <c:pt idx="127">
                  <c:v>93.264089300105994</c:v>
                </c:pt>
                <c:pt idx="128">
                  <c:v>92.969736720636206</c:v>
                </c:pt>
                <c:pt idx="129">
                  <c:v>94.162420840904801</c:v>
                </c:pt>
                <c:pt idx="130">
                  <c:v>96.451663753567303</c:v>
                </c:pt>
                <c:pt idx="131">
                  <c:v>94.616423815281905</c:v>
                </c:pt>
                <c:pt idx="132">
                  <c:v>95.411166725934194</c:v>
                </c:pt>
                <c:pt idx="133">
                  <c:v>95.641651467110904</c:v>
                </c:pt>
                <c:pt idx="134">
                  <c:v>95.426428067845904</c:v>
                </c:pt>
                <c:pt idx="135">
                  <c:v>95.333537443657605</c:v>
                </c:pt>
                <c:pt idx="136">
                  <c:v>95.822229661808393</c:v>
                </c:pt>
                <c:pt idx="137">
                  <c:v>94.507043159500498</c:v>
                </c:pt>
                <c:pt idx="138">
                  <c:v>95.055233599722598</c:v>
                </c:pt>
                <c:pt idx="139">
                  <c:v>96.4628857437216</c:v>
                </c:pt>
                <c:pt idx="140">
                  <c:v>95.043789622130404</c:v>
                </c:pt>
                <c:pt idx="141">
                  <c:v>93.601804462668596</c:v>
                </c:pt>
                <c:pt idx="142">
                  <c:v>93.704081672205405</c:v>
                </c:pt>
                <c:pt idx="143">
                  <c:v>92.634648379796204</c:v>
                </c:pt>
                <c:pt idx="144">
                  <c:v>91.387393840656998</c:v>
                </c:pt>
                <c:pt idx="145">
                  <c:v>93.590963554638293</c:v>
                </c:pt>
                <c:pt idx="146">
                  <c:v>92.244009870915093</c:v>
                </c:pt>
                <c:pt idx="147">
                  <c:v>91.906951177370999</c:v>
                </c:pt>
                <c:pt idx="148">
                  <c:v>93.430763810483498</c:v>
                </c:pt>
                <c:pt idx="149">
                  <c:v>91.775834908959993</c:v>
                </c:pt>
                <c:pt idx="150">
                  <c:v>92.077715650049996</c:v>
                </c:pt>
                <c:pt idx="151">
                  <c:v>93.051167156570997</c:v>
                </c:pt>
                <c:pt idx="152">
                  <c:v>89.726416316758701</c:v>
                </c:pt>
                <c:pt idx="153">
                  <c:v>91.444278620628694</c:v>
                </c:pt>
                <c:pt idx="154">
                  <c:v>89.889782503402003</c:v>
                </c:pt>
                <c:pt idx="155">
                  <c:v>89.914939507375607</c:v>
                </c:pt>
                <c:pt idx="156">
                  <c:v>91.814706257102102</c:v>
                </c:pt>
                <c:pt idx="157">
                  <c:v>90.200470140679997</c:v>
                </c:pt>
                <c:pt idx="158">
                  <c:v>89.713618290403602</c:v>
                </c:pt>
                <c:pt idx="159">
                  <c:v>90.211728539951693</c:v>
                </c:pt>
                <c:pt idx="160">
                  <c:v>90.867894281128002</c:v>
                </c:pt>
                <c:pt idx="161">
                  <c:v>90.557285334426894</c:v>
                </c:pt>
                <c:pt idx="162">
                  <c:v>92.062083901785101</c:v>
                </c:pt>
                <c:pt idx="163">
                  <c:v>91.688140679095298</c:v>
                </c:pt>
                <c:pt idx="164">
                  <c:v>91.449626459566105</c:v>
                </c:pt>
                <c:pt idx="165">
                  <c:v>91.638156338285199</c:v>
                </c:pt>
                <c:pt idx="166">
                  <c:v>91.824806475110705</c:v>
                </c:pt>
                <c:pt idx="167">
                  <c:v>92.190331527949297</c:v>
                </c:pt>
                <c:pt idx="168">
                  <c:v>93.669542007306603</c:v>
                </c:pt>
                <c:pt idx="169">
                  <c:v>92.700554426831999</c:v>
                </c:pt>
                <c:pt idx="170">
                  <c:v>91.788541489591694</c:v>
                </c:pt>
                <c:pt idx="171">
                  <c:v>92.901523298056702</c:v>
                </c:pt>
                <c:pt idx="172">
                  <c:v>92.768311583011695</c:v>
                </c:pt>
                <c:pt idx="173">
                  <c:v>93.641855696379196</c:v>
                </c:pt>
                <c:pt idx="174">
                  <c:v>94.215639775150905</c:v>
                </c:pt>
                <c:pt idx="175">
                  <c:v>93.493081610739296</c:v>
                </c:pt>
                <c:pt idx="176">
                  <c:v>94.946029592525605</c:v>
                </c:pt>
                <c:pt idx="177">
                  <c:v>93.606690430932403</c:v>
                </c:pt>
                <c:pt idx="178">
                  <c:v>93.093253120845603</c:v>
                </c:pt>
                <c:pt idx="179">
                  <c:v>94.332866725330305</c:v>
                </c:pt>
                <c:pt idx="180">
                  <c:v>95.113896058884507</c:v>
                </c:pt>
                <c:pt idx="181">
                  <c:v>95.838674391371498</c:v>
                </c:pt>
                <c:pt idx="182">
                  <c:v>96.447886221295406</c:v>
                </c:pt>
                <c:pt idx="183">
                  <c:v>95.635181198592505</c:v>
                </c:pt>
                <c:pt idx="184">
                  <c:v>95.700798733975603</c:v>
                </c:pt>
                <c:pt idx="185">
                  <c:v>96.207222224211705</c:v>
                </c:pt>
                <c:pt idx="186">
                  <c:v>97.063106256859399</c:v>
                </c:pt>
                <c:pt idx="187">
                  <c:v>95.894179154272294</c:v>
                </c:pt>
                <c:pt idx="188">
                  <c:v>97.666802870582998</c:v>
                </c:pt>
                <c:pt idx="189">
                  <c:v>98.043811169875994</c:v>
                </c:pt>
                <c:pt idx="190">
                  <c:v>97.401389019634394</c:v>
                </c:pt>
                <c:pt idx="191">
                  <c:v>97.678776894169104</c:v>
                </c:pt>
                <c:pt idx="192">
                  <c:v>98.235742654930505</c:v>
                </c:pt>
                <c:pt idx="193">
                  <c:v>100.67655336140299</c:v>
                </c:pt>
                <c:pt idx="194">
                  <c:v>98.240195451854007</c:v>
                </c:pt>
                <c:pt idx="195">
                  <c:v>98.278281622961899</c:v>
                </c:pt>
                <c:pt idx="196">
                  <c:v>97.381368135434499</c:v>
                </c:pt>
                <c:pt idx="197">
                  <c:v>98.7701978163565</c:v>
                </c:pt>
                <c:pt idx="198">
                  <c:v>97.84801931877</c:v>
                </c:pt>
                <c:pt idx="199">
                  <c:v>100.00058456905499</c:v>
                </c:pt>
                <c:pt idx="200">
                  <c:v>99.070845013394404</c:v>
                </c:pt>
                <c:pt idx="201">
                  <c:v>98.519467689875796</c:v>
                </c:pt>
                <c:pt idx="202">
                  <c:v>100.148932516955</c:v>
                </c:pt>
                <c:pt idx="203">
                  <c:v>99.474836043856996</c:v>
                </c:pt>
                <c:pt idx="204">
                  <c:v>100.28209325305301</c:v>
                </c:pt>
                <c:pt idx="205">
                  <c:v>99.912689700645203</c:v>
                </c:pt>
                <c:pt idx="206">
                  <c:v>100.819322290402</c:v>
                </c:pt>
                <c:pt idx="207">
                  <c:v>99.844965159056997</c:v>
                </c:pt>
                <c:pt idx="208">
                  <c:v>103.690447142013</c:v>
                </c:pt>
                <c:pt idx="209">
                  <c:v>101.097195699731</c:v>
                </c:pt>
                <c:pt idx="210">
                  <c:v>102.49821327182001</c:v>
                </c:pt>
                <c:pt idx="211">
                  <c:v>104.15351876997001</c:v>
                </c:pt>
                <c:pt idx="212">
                  <c:v>102.613865508473</c:v>
                </c:pt>
                <c:pt idx="213">
                  <c:v>103.217468047545</c:v>
                </c:pt>
                <c:pt idx="214">
                  <c:v>104.651286454238</c:v>
                </c:pt>
                <c:pt idx="215">
                  <c:v>104.39602541678499</c:v>
                </c:pt>
                <c:pt idx="216">
                  <c:v>104.17852385138499</c:v>
                </c:pt>
                <c:pt idx="217">
                  <c:v>102.285205844584</c:v>
                </c:pt>
                <c:pt idx="218">
                  <c:v>102.88282055443101</c:v>
                </c:pt>
                <c:pt idx="219">
                  <c:v>103.3788452344</c:v>
                </c:pt>
                <c:pt idx="220">
                  <c:v>103.385266150191</c:v>
                </c:pt>
                <c:pt idx="221">
                  <c:v>103.88699316583801</c:v>
                </c:pt>
                <c:pt idx="222">
                  <c:v>104.663742675105</c:v>
                </c:pt>
                <c:pt idx="223">
                  <c:v>103.91603246531</c:v>
                </c:pt>
                <c:pt idx="224">
                  <c:v>102.398975833245</c:v>
                </c:pt>
                <c:pt idx="225">
                  <c:v>104.02100494747999</c:v>
                </c:pt>
                <c:pt idx="226">
                  <c:v>102.501610369658</c:v>
                </c:pt>
                <c:pt idx="227">
                  <c:v>104.000853953929</c:v>
                </c:pt>
                <c:pt idx="228">
                  <c:v>104.356457568895</c:v>
                </c:pt>
                <c:pt idx="229">
                  <c:v>103.451854951383</c:v>
                </c:pt>
                <c:pt idx="230">
                  <c:v>102.35823194907699</c:v>
                </c:pt>
                <c:pt idx="231">
                  <c:v>102.846135745262</c:v>
                </c:pt>
                <c:pt idx="232">
                  <c:v>103.583830288671</c:v>
                </c:pt>
                <c:pt idx="233">
                  <c:v>101.129122545097</c:v>
                </c:pt>
                <c:pt idx="234">
                  <c:v>103.033213576208</c:v>
                </c:pt>
                <c:pt idx="235">
                  <c:v>100.884028586151</c:v>
                </c:pt>
                <c:pt idx="236">
                  <c:v>102.055858573319</c:v>
                </c:pt>
                <c:pt idx="237">
                  <c:v>101.680278474849</c:v>
                </c:pt>
                <c:pt idx="238">
                  <c:v>101.15896505105199</c:v>
                </c:pt>
                <c:pt idx="239">
                  <c:v>99.116279469549596</c:v>
                </c:pt>
                <c:pt idx="240">
                  <c:v>100.62263135147199</c:v>
                </c:pt>
                <c:pt idx="241">
                  <c:v>100.453403580874</c:v>
                </c:pt>
                <c:pt idx="242">
                  <c:v>89.143204316810895</c:v>
                </c:pt>
                <c:pt idx="243">
                  <c:v>75.590498134314402</c:v>
                </c:pt>
                <c:pt idx="244">
                  <c:v>81.140589300857101</c:v>
                </c:pt>
                <c:pt idx="245">
                  <c:v>88.9362430513807</c:v>
                </c:pt>
                <c:pt idx="246">
                  <c:v>92.333256438312702</c:v>
                </c:pt>
                <c:pt idx="247">
                  <c:v>93.8719923576122</c:v>
                </c:pt>
                <c:pt idx="248">
                  <c:v>96.864148123398806</c:v>
                </c:pt>
                <c:pt idx="249">
                  <c:v>96.706662030379405</c:v>
                </c:pt>
                <c:pt idx="250">
                  <c:v>98.227156387584699</c:v>
                </c:pt>
                <c:pt idx="251">
                  <c:v>97.435880120993602</c:v>
                </c:pt>
                <c:pt idx="252">
                  <c:v>96.094463897947904</c:v>
                </c:pt>
                <c:pt idx="253">
                  <c:v>96.443911015899801</c:v>
                </c:pt>
                <c:pt idx="254">
                  <c:v>100.410548356398</c:v>
                </c:pt>
                <c:pt idx="255">
                  <c:v>99.568483912667205</c:v>
                </c:pt>
                <c:pt idx="256">
                  <c:v>99.738952916992602</c:v>
                </c:pt>
                <c:pt idx="257">
                  <c:v>99.902904185543505</c:v>
                </c:pt>
                <c:pt idx="258">
                  <c:v>98.570636748942107</c:v>
                </c:pt>
                <c:pt idx="259">
                  <c:v>98.727092805272406</c:v>
                </c:pt>
                <c:pt idx="260">
                  <c:v>98.842507999696295</c:v>
                </c:pt>
                <c:pt idx="261">
                  <c:v>100.344739717978</c:v>
                </c:pt>
                <c:pt idx="262">
                  <c:v>104.258237133088</c:v>
                </c:pt>
                <c:pt idx="263">
                  <c:v>107.09752130957401</c:v>
                </c:pt>
                <c:pt idx="264">
                  <c:v>103.502100208389</c:v>
                </c:pt>
                <c:pt idx="265">
                  <c:v>103.987181743994</c:v>
                </c:pt>
                <c:pt idx="266">
                  <c:v>104.019218963432</c:v>
                </c:pt>
                <c:pt idx="267">
                  <c:v>106.35659942185799</c:v>
                </c:pt>
                <c:pt idx="268">
                  <c:v>107.28471714876299</c:v>
                </c:pt>
                <c:pt idx="269">
                  <c:v>105.20962230472099</c:v>
                </c:pt>
                <c:pt idx="270">
                  <c:v>104.51376894096801</c:v>
                </c:pt>
                <c:pt idx="271">
                  <c:v>109.457161392873</c:v>
                </c:pt>
                <c:pt idx="272">
                  <c:v>107.494962922753</c:v>
                </c:pt>
                <c:pt idx="273">
                  <c:v>105.12797590665301</c:v>
                </c:pt>
                <c:pt idx="274">
                  <c:v>104.38210933862</c:v>
                </c:pt>
                <c:pt idx="275">
                  <c:v>103.231334171268</c:v>
                </c:pt>
                <c:pt idx="276">
                  <c:v>102.597611812933</c:v>
                </c:pt>
                <c:pt idx="277">
                  <c:v>102.218226220247</c:v>
                </c:pt>
                <c:pt idx="278">
                  <c:v>99.318393433276398</c:v>
                </c:pt>
                <c:pt idx="279">
                  <c:v>101.563014303071</c:v>
                </c:pt>
                <c:pt idx="280">
                  <c:v>102.853604223083</c:v>
                </c:pt>
                <c:pt idx="281">
                  <c:v>100.32761700663799</c:v>
                </c:pt>
                <c:pt idx="282">
                  <c:v>100.473132030241</c:v>
                </c:pt>
                <c:pt idx="283">
                  <c:v>100.317034097118</c:v>
                </c:pt>
                <c:pt idx="284">
                  <c:v>96.892996785503996</c:v>
                </c:pt>
                <c:pt idx="285">
                  <c:v>97.1271210176686</c:v>
                </c:pt>
                <c:pt idx="286">
                  <c:v>96.557805127729694</c:v>
                </c:pt>
                <c:pt idx="287">
                  <c:v>96.238633759922095</c:v>
                </c:pt>
                <c:pt idx="288">
                  <c:v>94.131867818654001</c:v>
                </c:pt>
                <c:pt idx="289">
                  <c:v>97.100718975112301</c:v>
                </c:pt>
                <c:pt idx="290">
                  <c:v>95.930256378381401</c:v>
                </c:pt>
                <c:pt idx="291">
                  <c:v>97.605316450009596</c:v>
                </c:pt>
                <c:pt idx="292">
                  <c:v>95.490761829148397</c:v>
                </c:pt>
                <c:pt idx="293">
                  <c:v>94.5407132245643</c:v>
                </c:pt>
              </c:numCache>
            </c:numRef>
          </c:val>
          <c:smooth val="0"/>
          <c:extLst>
            <c:ext xmlns:c16="http://schemas.microsoft.com/office/drawing/2014/chart" uri="{C3380CC4-5D6E-409C-BE32-E72D297353CC}">
              <c16:uniqueId val="{00000000-A35D-4F1E-8431-38983DA96030}"/>
            </c:ext>
          </c:extLst>
        </c:ser>
        <c:ser>
          <c:idx val="2"/>
          <c:order val="2"/>
          <c:tx>
            <c:strRef>
              <c:f>'Graf 8'!$C$5</c:f>
              <c:strCache>
                <c:ptCount val="1"/>
                <c:pt idx="0">
                  <c:v>adv. countries</c:v>
                </c:pt>
              </c:strCache>
            </c:strRef>
          </c:tx>
          <c:spPr>
            <a:ln w="28575" cap="rnd">
              <a:solidFill>
                <a:srgbClr val="0C1D2B"/>
              </a:solidFill>
              <a:prstDash val="solid"/>
              <a:round/>
            </a:ln>
            <a:effectLst/>
          </c:spPr>
          <c:marker>
            <c:symbol val="none"/>
          </c:marker>
          <c:cat>
            <c:numRef>
              <c:f>'Graf 8'!$A$7:$A$300</c:f>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f>'Graf 8'!$C$7:$C$300</c:f>
              <c:numCache>
                <c:formatCode>0</c:formatCode>
                <c:ptCount val="294"/>
                <c:pt idx="0">
                  <c:v>61.083955139361301</c:v>
                </c:pt>
                <c:pt idx="1">
                  <c:v>61.685915647643697</c:v>
                </c:pt>
                <c:pt idx="2">
                  <c:v>62.285190205148901</c:v>
                </c:pt>
                <c:pt idx="3">
                  <c:v>62.846902251950802</c:v>
                </c:pt>
                <c:pt idx="4">
                  <c:v>65.11483459147</c:v>
                </c:pt>
                <c:pt idx="5">
                  <c:v>63.4058952955343</c:v>
                </c:pt>
                <c:pt idx="6">
                  <c:v>64.473114473104502</c:v>
                </c:pt>
                <c:pt idx="7">
                  <c:v>65.311556344212207</c:v>
                </c:pt>
                <c:pt idx="8">
                  <c:v>65.593898470550997</c:v>
                </c:pt>
                <c:pt idx="9">
                  <c:v>66.368138883842605</c:v>
                </c:pt>
                <c:pt idx="10">
                  <c:v>66.474300488071407</c:v>
                </c:pt>
                <c:pt idx="11">
                  <c:v>67.157288427699001</c:v>
                </c:pt>
                <c:pt idx="12">
                  <c:v>66.043329214657007</c:v>
                </c:pt>
                <c:pt idx="13">
                  <c:v>64.996745410563904</c:v>
                </c:pt>
                <c:pt idx="14">
                  <c:v>64.941053468662204</c:v>
                </c:pt>
                <c:pt idx="15">
                  <c:v>64.259849966575501</c:v>
                </c:pt>
                <c:pt idx="16">
                  <c:v>63.483419361740999</c:v>
                </c:pt>
                <c:pt idx="17">
                  <c:v>63.491550072948897</c:v>
                </c:pt>
                <c:pt idx="18">
                  <c:v>63.022508732759</c:v>
                </c:pt>
                <c:pt idx="19">
                  <c:v>62.505107706927198</c:v>
                </c:pt>
                <c:pt idx="20">
                  <c:v>61.935206461767002</c:v>
                </c:pt>
                <c:pt idx="21">
                  <c:v>62.858349885389899</c:v>
                </c:pt>
                <c:pt idx="22">
                  <c:v>62.7072280314067</c:v>
                </c:pt>
                <c:pt idx="23">
                  <c:v>61.4111339659365</c:v>
                </c:pt>
                <c:pt idx="24">
                  <c:v>62.3500517338503</c:v>
                </c:pt>
                <c:pt idx="25">
                  <c:v>63.795092313961703</c:v>
                </c:pt>
                <c:pt idx="26">
                  <c:v>63.772097935392402</c:v>
                </c:pt>
                <c:pt idx="27">
                  <c:v>64.457716493519598</c:v>
                </c:pt>
                <c:pt idx="28">
                  <c:v>63.585922340954099</c:v>
                </c:pt>
                <c:pt idx="29">
                  <c:v>65.823035467227797</c:v>
                </c:pt>
                <c:pt idx="30">
                  <c:v>65.245105605506197</c:v>
                </c:pt>
                <c:pt idx="31">
                  <c:v>65.716681717141597</c:v>
                </c:pt>
                <c:pt idx="32">
                  <c:v>65.9072238261666</c:v>
                </c:pt>
                <c:pt idx="33">
                  <c:v>65.918467648031296</c:v>
                </c:pt>
                <c:pt idx="34">
                  <c:v>67.1032798862839</c:v>
                </c:pt>
                <c:pt idx="35">
                  <c:v>66.708789457529505</c:v>
                </c:pt>
                <c:pt idx="36">
                  <c:v>67.077296703899194</c:v>
                </c:pt>
                <c:pt idx="37">
                  <c:v>66.667425882230702</c:v>
                </c:pt>
                <c:pt idx="38">
                  <c:v>67.586679219960004</c:v>
                </c:pt>
                <c:pt idx="39">
                  <c:v>67.0506754879749</c:v>
                </c:pt>
                <c:pt idx="40">
                  <c:v>66.971843146339907</c:v>
                </c:pt>
                <c:pt idx="41">
                  <c:v>66.874557533360601</c:v>
                </c:pt>
                <c:pt idx="42">
                  <c:v>67.641624667880805</c:v>
                </c:pt>
                <c:pt idx="43">
                  <c:v>66.233278504807998</c:v>
                </c:pt>
                <c:pt idx="44">
                  <c:v>68.241000682647396</c:v>
                </c:pt>
                <c:pt idx="45">
                  <c:v>69.457956212917196</c:v>
                </c:pt>
                <c:pt idx="46">
                  <c:v>70.305239873361799</c:v>
                </c:pt>
                <c:pt idx="47">
                  <c:v>70.9821414154747</c:v>
                </c:pt>
                <c:pt idx="48">
                  <c:v>70.335780999750796</c:v>
                </c:pt>
                <c:pt idx="49">
                  <c:v>71.340133777226299</c:v>
                </c:pt>
                <c:pt idx="50">
                  <c:v>72.363379345200698</c:v>
                </c:pt>
                <c:pt idx="51">
                  <c:v>73.796028329099201</c:v>
                </c:pt>
                <c:pt idx="52">
                  <c:v>73.344892895677006</c:v>
                </c:pt>
                <c:pt idx="53">
                  <c:v>74.302996487329494</c:v>
                </c:pt>
                <c:pt idx="54">
                  <c:v>74.091987586016202</c:v>
                </c:pt>
                <c:pt idx="55">
                  <c:v>73.511934167425594</c:v>
                </c:pt>
                <c:pt idx="56">
                  <c:v>74.2630697867463</c:v>
                </c:pt>
                <c:pt idx="57">
                  <c:v>75.013981404435697</c:v>
                </c:pt>
                <c:pt idx="58">
                  <c:v>75.608154708606705</c:v>
                </c:pt>
                <c:pt idx="59">
                  <c:v>76.302294399775107</c:v>
                </c:pt>
                <c:pt idx="60">
                  <c:v>75.847678340607303</c:v>
                </c:pt>
                <c:pt idx="61">
                  <c:v>75.607074613657304</c:v>
                </c:pt>
                <c:pt idx="62">
                  <c:v>75.011376611856093</c:v>
                </c:pt>
                <c:pt idx="63">
                  <c:v>77.318530854128696</c:v>
                </c:pt>
                <c:pt idx="64">
                  <c:v>77.562707287510804</c:v>
                </c:pt>
                <c:pt idx="65">
                  <c:v>77.059268542520698</c:v>
                </c:pt>
                <c:pt idx="66">
                  <c:v>76.433828635583694</c:v>
                </c:pt>
                <c:pt idx="67">
                  <c:v>77.220685432652203</c:v>
                </c:pt>
                <c:pt idx="68">
                  <c:v>78.425062156671203</c:v>
                </c:pt>
                <c:pt idx="69">
                  <c:v>78.990670125249807</c:v>
                </c:pt>
                <c:pt idx="70">
                  <c:v>79.964493766003997</c:v>
                </c:pt>
                <c:pt idx="71">
                  <c:v>81.9451511229163</c:v>
                </c:pt>
                <c:pt idx="72">
                  <c:v>81.475531473087003</c:v>
                </c:pt>
                <c:pt idx="73">
                  <c:v>81.371470585287199</c:v>
                </c:pt>
                <c:pt idx="74">
                  <c:v>81.853161308002299</c:v>
                </c:pt>
                <c:pt idx="75">
                  <c:v>82.589671634783201</c:v>
                </c:pt>
                <c:pt idx="76">
                  <c:v>83.295297529597704</c:v>
                </c:pt>
                <c:pt idx="77">
                  <c:v>83.215167293731</c:v>
                </c:pt>
                <c:pt idx="78">
                  <c:v>82.193903097602401</c:v>
                </c:pt>
                <c:pt idx="79">
                  <c:v>83.197262917907494</c:v>
                </c:pt>
                <c:pt idx="80">
                  <c:v>84.156308203974604</c:v>
                </c:pt>
                <c:pt idx="81">
                  <c:v>84.436749003125399</c:v>
                </c:pt>
                <c:pt idx="82">
                  <c:v>85.286301691061595</c:v>
                </c:pt>
                <c:pt idx="83">
                  <c:v>86.664729097943095</c:v>
                </c:pt>
                <c:pt idx="84">
                  <c:v>85.359593028030702</c:v>
                </c:pt>
                <c:pt idx="85">
                  <c:v>87.031262175243995</c:v>
                </c:pt>
                <c:pt idx="86">
                  <c:v>86.680292457494403</c:v>
                </c:pt>
                <c:pt idx="87">
                  <c:v>86.208821795206504</c:v>
                </c:pt>
                <c:pt idx="88">
                  <c:v>86.417628087862596</c:v>
                </c:pt>
                <c:pt idx="89">
                  <c:v>86.747576337836307</c:v>
                </c:pt>
                <c:pt idx="90">
                  <c:v>86.564414671242602</c:v>
                </c:pt>
                <c:pt idx="91">
                  <c:v>86.779202424342202</c:v>
                </c:pt>
                <c:pt idx="92">
                  <c:v>86.504889915489102</c:v>
                </c:pt>
                <c:pt idx="93">
                  <c:v>86.986878458653706</c:v>
                </c:pt>
                <c:pt idx="94">
                  <c:v>87.059411183872498</c:v>
                </c:pt>
                <c:pt idx="95">
                  <c:v>87.122245326943499</c:v>
                </c:pt>
                <c:pt idx="96">
                  <c:v>89.182337695360602</c:v>
                </c:pt>
                <c:pt idx="97">
                  <c:v>88.952454527948404</c:v>
                </c:pt>
                <c:pt idx="98">
                  <c:v>87.764703734514995</c:v>
                </c:pt>
                <c:pt idx="99">
                  <c:v>87.644697344174304</c:v>
                </c:pt>
                <c:pt idx="100">
                  <c:v>87.086054659690404</c:v>
                </c:pt>
                <c:pt idx="101">
                  <c:v>86.438019353778003</c:v>
                </c:pt>
                <c:pt idx="102">
                  <c:v>87.368954188923098</c:v>
                </c:pt>
                <c:pt idx="103">
                  <c:v>86.211015258292605</c:v>
                </c:pt>
                <c:pt idx="104">
                  <c:v>86.246597227228705</c:v>
                </c:pt>
                <c:pt idx="105">
                  <c:v>86.122160373887496</c:v>
                </c:pt>
                <c:pt idx="106">
                  <c:v>81.722738763521605</c:v>
                </c:pt>
                <c:pt idx="107">
                  <c:v>77.435806105332603</c:v>
                </c:pt>
                <c:pt idx="108">
                  <c:v>74.343420330145804</c:v>
                </c:pt>
                <c:pt idx="109">
                  <c:v>72.532808226366797</c:v>
                </c:pt>
                <c:pt idx="110">
                  <c:v>71.759775689948597</c:v>
                </c:pt>
                <c:pt idx="111">
                  <c:v>71.861138907666202</c:v>
                </c:pt>
                <c:pt idx="112">
                  <c:v>70.484389211093003</c:v>
                </c:pt>
                <c:pt idx="113">
                  <c:v>71.340182378881195</c:v>
                </c:pt>
                <c:pt idx="114">
                  <c:v>73.083504734169495</c:v>
                </c:pt>
                <c:pt idx="115">
                  <c:v>73.476691515025394</c:v>
                </c:pt>
                <c:pt idx="116">
                  <c:v>76.137961867666405</c:v>
                </c:pt>
                <c:pt idx="117">
                  <c:v>76.714746707678898</c:v>
                </c:pt>
                <c:pt idx="118">
                  <c:v>76.943518061091794</c:v>
                </c:pt>
                <c:pt idx="119">
                  <c:v>77.749187096127002</c:v>
                </c:pt>
                <c:pt idx="120">
                  <c:v>77.629946010128194</c:v>
                </c:pt>
                <c:pt idx="121">
                  <c:v>78.679865085854601</c:v>
                </c:pt>
                <c:pt idx="122">
                  <c:v>80.570915672194204</c:v>
                </c:pt>
                <c:pt idx="123">
                  <c:v>80.024464671912497</c:v>
                </c:pt>
                <c:pt idx="124">
                  <c:v>82.853998284169904</c:v>
                </c:pt>
                <c:pt idx="125">
                  <c:v>83.957689743465806</c:v>
                </c:pt>
                <c:pt idx="126">
                  <c:v>83.139072517337894</c:v>
                </c:pt>
                <c:pt idx="127">
                  <c:v>83.724596765245707</c:v>
                </c:pt>
                <c:pt idx="128">
                  <c:v>83.231646890434007</c:v>
                </c:pt>
                <c:pt idx="129">
                  <c:v>84.022662003067694</c:v>
                </c:pt>
                <c:pt idx="130">
                  <c:v>84.832699579450093</c:v>
                </c:pt>
                <c:pt idx="131">
                  <c:v>84.166244018602598</c:v>
                </c:pt>
                <c:pt idx="132">
                  <c:v>86.056602631585307</c:v>
                </c:pt>
                <c:pt idx="133">
                  <c:v>84.733800752775295</c:v>
                </c:pt>
                <c:pt idx="134">
                  <c:v>85.368300969573994</c:v>
                </c:pt>
                <c:pt idx="135">
                  <c:v>84.531345911672304</c:v>
                </c:pt>
                <c:pt idx="136">
                  <c:v>85.9822733662795</c:v>
                </c:pt>
                <c:pt idx="137">
                  <c:v>84.653438482691001</c:v>
                </c:pt>
                <c:pt idx="138">
                  <c:v>85.588348308396704</c:v>
                </c:pt>
                <c:pt idx="139">
                  <c:v>86.412925117252897</c:v>
                </c:pt>
                <c:pt idx="140">
                  <c:v>85.488485138476804</c:v>
                </c:pt>
                <c:pt idx="141">
                  <c:v>85.542672985675296</c:v>
                </c:pt>
                <c:pt idx="142">
                  <c:v>85.0065481362453</c:v>
                </c:pt>
                <c:pt idx="143">
                  <c:v>84.974811942924504</c:v>
                </c:pt>
                <c:pt idx="144">
                  <c:v>85.771068008987697</c:v>
                </c:pt>
                <c:pt idx="145">
                  <c:v>84.489067322252296</c:v>
                </c:pt>
                <c:pt idx="146">
                  <c:v>85.0417625871616</c:v>
                </c:pt>
                <c:pt idx="147">
                  <c:v>84.794278967059697</c:v>
                </c:pt>
                <c:pt idx="148">
                  <c:v>86.107015320964507</c:v>
                </c:pt>
                <c:pt idx="149">
                  <c:v>85.559079776074498</c:v>
                </c:pt>
                <c:pt idx="150">
                  <c:v>85.487386908720794</c:v>
                </c:pt>
                <c:pt idx="151">
                  <c:v>85.722927889488005</c:v>
                </c:pt>
                <c:pt idx="152">
                  <c:v>85.3033922854016</c:v>
                </c:pt>
                <c:pt idx="153">
                  <c:v>84.355088849015203</c:v>
                </c:pt>
                <c:pt idx="154">
                  <c:v>84.640042426147104</c:v>
                </c:pt>
                <c:pt idx="155">
                  <c:v>84.167037994536003</c:v>
                </c:pt>
                <c:pt idx="156">
                  <c:v>85.043103774249602</c:v>
                </c:pt>
                <c:pt idx="157">
                  <c:v>84.510240100184603</c:v>
                </c:pt>
                <c:pt idx="158">
                  <c:v>83.878024230989098</c:v>
                </c:pt>
                <c:pt idx="159">
                  <c:v>84.512661046282801</c:v>
                </c:pt>
                <c:pt idx="160">
                  <c:v>85.126241359032605</c:v>
                </c:pt>
                <c:pt idx="161">
                  <c:v>84.979057287413696</c:v>
                </c:pt>
                <c:pt idx="162">
                  <c:v>85.755270669998595</c:v>
                </c:pt>
                <c:pt idx="163">
                  <c:v>85.785519162703693</c:v>
                </c:pt>
                <c:pt idx="164">
                  <c:v>86.066309261855906</c:v>
                </c:pt>
                <c:pt idx="165">
                  <c:v>86.204312891839905</c:v>
                </c:pt>
                <c:pt idx="166">
                  <c:v>86.747427270595693</c:v>
                </c:pt>
                <c:pt idx="167">
                  <c:v>86.451006454614699</c:v>
                </c:pt>
                <c:pt idx="168">
                  <c:v>87.589770730723501</c:v>
                </c:pt>
                <c:pt idx="169">
                  <c:v>86.390338032736295</c:v>
                </c:pt>
                <c:pt idx="170">
                  <c:v>87.318128186474794</c:v>
                </c:pt>
                <c:pt idx="171">
                  <c:v>87.874102821589005</c:v>
                </c:pt>
                <c:pt idx="172">
                  <c:v>87.629170753439197</c:v>
                </c:pt>
                <c:pt idx="173">
                  <c:v>87.688007005349505</c:v>
                </c:pt>
                <c:pt idx="174">
                  <c:v>88.351553993836902</c:v>
                </c:pt>
                <c:pt idx="175">
                  <c:v>88.155027790229994</c:v>
                </c:pt>
                <c:pt idx="176">
                  <c:v>89.252051021198099</c:v>
                </c:pt>
                <c:pt idx="177">
                  <c:v>88.930562569875406</c:v>
                </c:pt>
                <c:pt idx="178">
                  <c:v>88.783082869845103</c:v>
                </c:pt>
                <c:pt idx="179">
                  <c:v>90.300923225322805</c:v>
                </c:pt>
                <c:pt idx="180">
                  <c:v>90.037255747279801</c:v>
                </c:pt>
                <c:pt idx="181">
                  <c:v>90.762214062810301</c:v>
                </c:pt>
                <c:pt idx="182">
                  <c:v>91.8310104065974</c:v>
                </c:pt>
                <c:pt idx="183">
                  <c:v>91.005044675835506</c:v>
                </c:pt>
                <c:pt idx="184">
                  <c:v>90.042065003812098</c:v>
                </c:pt>
                <c:pt idx="185">
                  <c:v>90.915559221194698</c:v>
                </c:pt>
                <c:pt idx="186">
                  <c:v>91.539087404817195</c:v>
                </c:pt>
                <c:pt idx="187">
                  <c:v>91.402053643545699</c:v>
                </c:pt>
                <c:pt idx="188">
                  <c:v>91.833031582713701</c:v>
                </c:pt>
                <c:pt idx="189">
                  <c:v>92.651214591889698</c:v>
                </c:pt>
                <c:pt idx="190">
                  <c:v>91.765261899284397</c:v>
                </c:pt>
                <c:pt idx="191">
                  <c:v>91.503505575370596</c:v>
                </c:pt>
                <c:pt idx="192">
                  <c:v>91.911594587888999</c:v>
                </c:pt>
                <c:pt idx="193">
                  <c:v>93.290708046241903</c:v>
                </c:pt>
                <c:pt idx="194">
                  <c:v>91.697509689160299</c:v>
                </c:pt>
                <c:pt idx="195">
                  <c:v>92.181873306199094</c:v>
                </c:pt>
                <c:pt idx="196">
                  <c:v>91.655881054119106</c:v>
                </c:pt>
                <c:pt idx="197">
                  <c:v>93.263022817174104</c:v>
                </c:pt>
                <c:pt idx="198">
                  <c:v>92.605996067113793</c:v>
                </c:pt>
                <c:pt idx="199">
                  <c:v>94.171759014199793</c:v>
                </c:pt>
                <c:pt idx="200">
                  <c:v>93.664988816104</c:v>
                </c:pt>
                <c:pt idx="201">
                  <c:v>92.772354594627302</c:v>
                </c:pt>
                <c:pt idx="202">
                  <c:v>94.121933411469499</c:v>
                </c:pt>
                <c:pt idx="203">
                  <c:v>94.047009954479194</c:v>
                </c:pt>
                <c:pt idx="204">
                  <c:v>95.064244859938498</c:v>
                </c:pt>
                <c:pt idx="205">
                  <c:v>93.467441846994404</c:v>
                </c:pt>
                <c:pt idx="206">
                  <c:v>95.254261132948102</c:v>
                </c:pt>
                <c:pt idx="207">
                  <c:v>95.084788850213201</c:v>
                </c:pt>
                <c:pt idx="208">
                  <c:v>97.183785816696101</c:v>
                </c:pt>
                <c:pt idx="209">
                  <c:v>96.793147681919805</c:v>
                </c:pt>
                <c:pt idx="210">
                  <c:v>96.856168624714797</c:v>
                </c:pt>
                <c:pt idx="211">
                  <c:v>97.562644769025297</c:v>
                </c:pt>
                <c:pt idx="212">
                  <c:v>97.609744724674698</c:v>
                </c:pt>
                <c:pt idx="213">
                  <c:v>96.858709013091399</c:v>
                </c:pt>
                <c:pt idx="214">
                  <c:v>98.714503810742698</c:v>
                </c:pt>
                <c:pt idx="215">
                  <c:v>99.690424459191505</c:v>
                </c:pt>
                <c:pt idx="216">
                  <c:v>98.845408547505897</c:v>
                </c:pt>
                <c:pt idx="217">
                  <c:v>98.500709602643795</c:v>
                </c:pt>
                <c:pt idx="218">
                  <c:v>98.590299456106806</c:v>
                </c:pt>
                <c:pt idx="219">
                  <c:v>98.295920548579502</c:v>
                </c:pt>
                <c:pt idx="220">
                  <c:v>98.849850967857904</c:v>
                </c:pt>
                <c:pt idx="221">
                  <c:v>99.036871750425107</c:v>
                </c:pt>
                <c:pt idx="222">
                  <c:v>99.517395648192107</c:v>
                </c:pt>
                <c:pt idx="223">
                  <c:v>98.831980452566299</c:v>
                </c:pt>
                <c:pt idx="224">
                  <c:v>98.125806462754298</c:v>
                </c:pt>
                <c:pt idx="225">
                  <c:v>99.752760922274703</c:v>
                </c:pt>
                <c:pt idx="226">
                  <c:v>98.367738336220796</c:v>
                </c:pt>
                <c:pt idx="227">
                  <c:v>99.125302164573398</c:v>
                </c:pt>
                <c:pt idx="228">
                  <c:v>99.477951831236297</c:v>
                </c:pt>
                <c:pt idx="229">
                  <c:v>98.368091724800607</c:v>
                </c:pt>
                <c:pt idx="230">
                  <c:v>98.496468653891796</c:v>
                </c:pt>
                <c:pt idx="231">
                  <c:v>98.015281096109106</c:v>
                </c:pt>
                <c:pt idx="232">
                  <c:v>99.324938008165802</c:v>
                </c:pt>
                <c:pt idx="233">
                  <c:v>97.329727048435203</c:v>
                </c:pt>
                <c:pt idx="234">
                  <c:v>98.819149027683295</c:v>
                </c:pt>
                <c:pt idx="235">
                  <c:v>98.551394181488504</c:v>
                </c:pt>
                <c:pt idx="236">
                  <c:v>97.991949115746294</c:v>
                </c:pt>
                <c:pt idx="237">
                  <c:v>97.991830867229098</c:v>
                </c:pt>
                <c:pt idx="238">
                  <c:v>96.860005193057901</c:v>
                </c:pt>
                <c:pt idx="239">
                  <c:v>96.499773659962997</c:v>
                </c:pt>
                <c:pt idx="240">
                  <c:v>96.493902006505394</c:v>
                </c:pt>
                <c:pt idx="241">
                  <c:v>95.323448234491394</c:v>
                </c:pt>
                <c:pt idx="242">
                  <c:v>91.151269921660102</c:v>
                </c:pt>
                <c:pt idx="243">
                  <c:v>80.418124710757994</c:v>
                </c:pt>
                <c:pt idx="244">
                  <c:v>81.770344902925501</c:v>
                </c:pt>
                <c:pt idx="245">
                  <c:v>87.0833637607697</c:v>
                </c:pt>
                <c:pt idx="246">
                  <c:v>91.600186010448198</c:v>
                </c:pt>
                <c:pt idx="247">
                  <c:v>93.042894900038306</c:v>
                </c:pt>
                <c:pt idx="248">
                  <c:v>95.239354772729101</c:v>
                </c:pt>
                <c:pt idx="249">
                  <c:v>96.299603901267304</c:v>
                </c:pt>
                <c:pt idx="250">
                  <c:v>98.520728654307106</c:v>
                </c:pt>
                <c:pt idx="251">
                  <c:v>98.057612473204003</c:v>
                </c:pt>
                <c:pt idx="252">
                  <c:v>97.038481175144398</c:v>
                </c:pt>
                <c:pt idx="253">
                  <c:v>97.362324730788202</c:v>
                </c:pt>
                <c:pt idx="254">
                  <c:v>100.16995012034501</c:v>
                </c:pt>
                <c:pt idx="255">
                  <c:v>99.7087432355126</c:v>
                </c:pt>
                <c:pt idx="256">
                  <c:v>99.208881070940095</c:v>
                </c:pt>
                <c:pt idx="257">
                  <c:v>99.956662876551306</c:v>
                </c:pt>
                <c:pt idx="258">
                  <c:v>99.003435134555204</c:v>
                </c:pt>
                <c:pt idx="259">
                  <c:v>99.676222201331697</c:v>
                </c:pt>
                <c:pt idx="260">
                  <c:v>99.122680293248294</c:v>
                </c:pt>
                <c:pt idx="261">
                  <c:v>99.051551000785906</c:v>
                </c:pt>
                <c:pt idx="262">
                  <c:v>103.559733727365</c:v>
                </c:pt>
                <c:pt idx="263">
                  <c:v>106.141334433433</c:v>
                </c:pt>
                <c:pt idx="264">
                  <c:v>104.594332264274</c:v>
                </c:pt>
                <c:pt idx="265">
                  <c:v>104.09082414106101</c:v>
                </c:pt>
                <c:pt idx="266">
                  <c:v>105.06161098888499</c:v>
                </c:pt>
                <c:pt idx="267">
                  <c:v>105.09684627045699</c:v>
                </c:pt>
                <c:pt idx="268">
                  <c:v>106.64019331857401</c:v>
                </c:pt>
                <c:pt idx="269">
                  <c:v>105.458797976814</c:v>
                </c:pt>
                <c:pt idx="270">
                  <c:v>105.05480128213399</c:v>
                </c:pt>
                <c:pt idx="271">
                  <c:v>106.803968712857</c:v>
                </c:pt>
                <c:pt idx="272">
                  <c:v>105.820686753963</c:v>
                </c:pt>
                <c:pt idx="273">
                  <c:v>105.195217622519</c:v>
                </c:pt>
                <c:pt idx="274">
                  <c:v>103.204174308178</c:v>
                </c:pt>
                <c:pt idx="275">
                  <c:v>103.009146188976</c:v>
                </c:pt>
                <c:pt idx="276">
                  <c:v>103.158130529712</c:v>
                </c:pt>
                <c:pt idx="277">
                  <c:v>101.478436153193</c:v>
                </c:pt>
                <c:pt idx="278">
                  <c:v>100.345978471373</c:v>
                </c:pt>
                <c:pt idx="279">
                  <c:v>101.151084136066</c:v>
                </c:pt>
                <c:pt idx="280">
                  <c:v>101.95912695205701</c:v>
                </c:pt>
                <c:pt idx="281">
                  <c:v>100.427821962935</c:v>
                </c:pt>
                <c:pt idx="282">
                  <c:v>100.86406872086999</c:v>
                </c:pt>
                <c:pt idx="283">
                  <c:v>100.346848647204</c:v>
                </c:pt>
                <c:pt idx="284">
                  <c:v>99.575177528329903</c:v>
                </c:pt>
                <c:pt idx="285">
                  <c:v>100.213464966546</c:v>
                </c:pt>
                <c:pt idx="286">
                  <c:v>98.690756481226103</c:v>
                </c:pt>
                <c:pt idx="287">
                  <c:v>99.708414216312093</c:v>
                </c:pt>
                <c:pt idx="288">
                  <c:v>97.764627267679401</c:v>
                </c:pt>
                <c:pt idx="289">
                  <c:v>100.118853451174</c:v>
                </c:pt>
                <c:pt idx="290">
                  <c:v>99.766824076661393</c:v>
                </c:pt>
                <c:pt idx="291">
                  <c:v>101.307613383166</c:v>
                </c:pt>
                <c:pt idx="292">
                  <c:v>99.808495195284095</c:v>
                </c:pt>
                <c:pt idx="293">
                  <c:v>100.733978384878</c:v>
                </c:pt>
              </c:numCache>
            </c:numRef>
          </c:val>
          <c:smooth val="0"/>
          <c:extLst>
            <c:ext xmlns:c16="http://schemas.microsoft.com/office/drawing/2014/chart" uri="{C3380CC4-5D6E-409C-BE32-E72D297353CC}">
              <c16:uniqueId val="{00000001-A35D-4F1E-8431-38983DA96030}"/>
            </c:ext>
          </c:extLst>
        </c:ser>
        <c:dLbls>
          <c:showLegendKey val="0"/>
          <c:showVal val="0"/>
          <c:showCatName val="0"/>
          <c:showSerName val="0"/>
          <c:showPercent val="0"/>
          <c:showBubbleSize val="0"/>
        </c:dLbls>
        <c:smooth val="0"/>
        <c:axId val="783314560"/>
        <c:axId val="291608336"/>
        <c:extLst>
          <c:ext xmlns:c15="http://schemas.microsoft.com/office/drawing/2012/chart" uri="{02D57815-91ED-43cb-92C2-25804820EDAC}">
            <c15:filteredLineSeries>
              <c15:ser>
                <c:idx val="1"/>
                <c:order val="1"/>
                <c:tx>
                  <c:strRef>
                    <c:extLst>
                      <c:ext uri="{02D57815-91ED-43cb-92C2-25804820EDAC}">
                        <c15:formulaRef>
                          <c15:sqref>WTM!#REF!</c15:sqref>
                        </c15:formulaRef>
                      </c:ext>
                    </c:extLst>
                    <c:strCache>
                      <c:ptCount val="1"/>
                      <c:pt idx="0">
                        <c:v>#REF!</c:v>
                      </c:pt>
                    </c:strCache>
                  </c:strRef>
                </c:tx>
                <c:spPr>
                  <a:ln w="22225" cap="rnd">
                    <a:solidFill>
                      <a:srgbClr val="2EAAE1"/>
                    </a:solidFill>
                    <a:prstDash val="solid"/>
                    <a:round/>
                  </a:ln>
                  <a:effectLst/>
                </c:spPr>
                <c:marker>
                  <c:symbol val="none"/>
                </c:marker>
                <c:cat>
                  <c:numRef>
                    <c:extLst>
                      <c:ext uri="{02D57815-91ED-43cb-92C2-25804820EDAC}">
                        <c15:formulaRef>
                          <c15:sqref>'Graf 8'!$A$7:$A$300</c15:sqref>
                        </c15:formulaRef>
                      </c:ext>
                    </c:extLst>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extLst>
                      <c:ext uri="{02D57815-91ED-43cb-92C2-25804820EDAC}">
                        <c15:formulaRef>
                          <c15:sqref>WTM!#REF!</c15:sqref>
                        </c15:formulaRef>
                      </c:ext>
                    </c:extLst>
                    <c:numCache>
                      <c:formatCode>General</c:formatCode>
                      <c:ptCount val="1"/>
                      <c:pt idx="0">
                        <c:v>1</c:v>
                      </c:pt>
                    </c:numCache>
                  </c:numRef>
                </c:val>
                <c:smooth val="0"/>
                <c:extLst>
                  <c:ext xmlns:c16="http://schemas.microsoft.com/office/drawing/2014/chart" uri="{C3380CC4-5D6E-409C-BE32-E72D297353CC}">
                    <c16:uniqueId val="{00000002-A35D-4F1E-8431-38983DA9603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WTM!#REF!</c15:sqref>
                        </c15:formulaRef>
                      </c:ext>
                    </c:extLst>
                    <c:strCache>
                      <c:ptCount val="1"/>
                      <c:pt idx="0">
                        <c:v>#REF!</c:v>
                      </c:pt>
                    </c:strCache>
                  </c:strRef>
                </c:tx>
                <c:spPr>
                  <a:ln w="22225" cap="rnd">
                    <a:solidFill>
                      <a:schemeClr val="tx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'Graf 8'!$A$7:$A$300</c15:sqref>
                        </c15:formulaRef>
                      </c:ext>
                    </c:extLst>
                    <c:numCache>
                      <c:formatCode>mmm\-yy</c:formatCode>
                      <c:ptCount val="294"/>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pt idx="212">
                        <c:v>42979</c:v>
                      </c:pt>
                      <c:pt idx="213">
                        <c:v>43009</c:v>
                      </c:pt>
                      <c:pt idx="214">
                        <c:v>43040</c:v>
                      </c:pt>
                      <c:pt idx="215">
                        <c:v>43070</c:v>
                      </c:pt>
                      <c:pt idx="216">
                        <c:v>43101</c:v>
                      </c:pt>
                      <c:pt idx="217">
                        <c:v>43132</c:v>
                      </c:pt>
                      <c:pt idx="218">
                        <c:v>43160</c:v>
                      </c:pt>
                      <c:pt idx="219">
                        <c:v>43191</c:v>
                      </c:pt>
                      <c:pt idx="220">
                        <c:v>43221</c:v>
                      </c:pt>
                      <c:pt idx="221">
                        <c:v>43252</c:v>
                      </c:pt>
                      <c:pt idx="222">
                        <c:v>43282</c:v>
                      </c:pt>
                      <c:pt idx="223">
                        <c:v>43313</c:v>
                      </c:pt>
                      <c:pt idx="224">
                        <c:v>43344</c:v>
                      </c:pt>
                      <c:pt idx="225">
                        <c:v>43374</c:v>
                      </c:pt>
                      <c:pt idx="226">
                        <c:v>43405</c:v>
                      </c:pt>
                      <c:pt idx="227">
                        <c:v>43435</c:v>
                      </c:pt>
                      <c:pt idx="228">
                        <c:v>43466</c:v>
                      </c:pt>
                      <c:pt idx="229">
                        <c:v>43497</c:v>
                      </c:pt>
                      <c:pt idx="230">
                        <c:v>43525</c:v>
                      </c:pt>
                      <c:pt idx="231">
                        <c:v>43556</c:v>
                      </c:pt>
                      <c:pt idx="232">
                        <c:v>43586</c:v>
                      </c:pt>
                      <c:pt idx="233">
                        <c:v>43617</c:v>
                      </c:pt>
                      <c:pt idx="234">
                        <c:v>43647</c:v>
                      </c:pt>
                      <c:pt idx="235">
                        <c:v>43678</c:v>
                      </c:pt>
                      <c:pt idx="236">
                        <c:v>43709</c:v>
                      </c:pt>
                      <c:pt idx="237">
                        <c:v>43739</c:v>
                      </c:pt>
                      <c:pt idx="238">
                        <c:v>43770</c:v>
                      </c:pt>
                      <c:pt idx="239">
                        <c:v>43800</c:v>
                      </c:pt>
                      <c:pt idx="240">
                        <c:v>43831</c:v>
                      </c:pt>
                      <c:pt idx="241">
                        <c:v>43862</c:v>
                      </c:pt>
                      <c:pt idx="242">
                        <c:v>43891</c:v>
                      </c:pt>
                      <c:pt idx="243">
                        <c:v>43922</c:v>
                      </c:pt>
                      <c:pt idx="244">
                        <c:v>43952</c:v>
                      </c:pt>
                      <c:pt idx="245">
                        <c:v>43983</c:v>
                      </c:pt>
                      <c:pt idx="246">
                        <c:v>44013</c:v>
                      </c:pt>
                      <c:pt idx="247">
                        <c:v>44044</c:v>
                      </c:pt>
                      <c:pt idx="248">
                        <c:v>44075</c:v>
                      </c:pt>
                      <c:pt idx="249">
                        <c:v>44105</c:v>
                      </c:pt>
                      <c:pt idx="250">
                        <c:v>44136</c:v>
                      </c:pt>
                      <c:pt idx="251">
                        <c:v>44166</c:v>
                      </c:pt>
                      <c:pt idx="252">
                        <c:v>44197</c:v>
                      </c:pt>
                      <c:pt idx="253">
                        <c:v>44228</c:v>
                      </c:pt>
                      <c:pt idx="254">
                        <c:v>44256</c:v>
                      </c:pt>
                      <c:pt idx="255">
                        <c:v>44287</c:v>
                      </c:pt>
                      <c:pt idx="256">
                        <c:v>44317</c:v>
                      </c:pt>
                      <c:pt idx="257">
                        <c:v>44348</c:v>
                      </c:pt>
                      <c:pt idx="258">
                        <c:v>44378</c:v>
                      </c:pt>
                      <c:pt idx="259">
                        <c:v>44409</c:v>
                      </c:pt>
                      <c:pt idx="260">
                        <c:v>44440</c:v>
                      </c:pt>
                      <c:pt idx="261">
                        <c:v>44470</c:v>
                      </c:pt>
                      <c:pt idx="262">
                        <c:v>44501</c:v>
                      </c:pt>
                      <c:pt idx="263">
                        <c:v>44531</c:v>
                      </c:pt>
                      <c:pt idx="264">
                        <c:v>44562</c:v>
                      </c:pt>
                      <c:pt idx="265">
                        <c:v>44593</c:v>
                      </c:pt>
                      <c:pt idx="266">
                        <c:v>44621</c:v>
                      </c:pt>
                      <c:pt idx="267">
                        <c:v>44652</c:v>
                      </c:pt>
                      <c:pt idx="268">
                        <c:v>44682</c:v>
                      </c:pt>
                      <c:pt idx="269">
                        <c:v>44713</c:v>
                      </c:pt>
                      <c:pt idx="270">
                        <c:v>44743</c:v>
                      </c:pt>
                      <c:pt idx="271">
                        <c:v>44774</c:v>
                      </c:pt>
                      <c:pt idx="272">
                        <c:v>44805</c:v>
                      </c:pt>
                      <c:pt idx="273">
                        <c:v>44835</c:v>
                      </c:pt>
                      <c:pt idx="274">
                        <c:v>44866</c:v>
                      </c:pt>
                      <c:pt idx="275">
                        <c:v>44896</c:v>
                      </c:pt>
                      <c:pt idx="276">
                        <c:v>44927</c:v>
                      </c:pt>
                      <c:pt idx="277">
                        <c:v>44958</c:v>
                      </c:pt>
                      <c:pt idx="278">
                        <c:v>44986</c:v>
                      </c:pt>
                      <c:pt idx="279">
                        <c:v>45017</c:v>
                      </c:pt>
                      <c:pt idx="280">
                        <c:v>45047</c:v>
                      </c:pt>
                      <c:pt idx="281">
                        <c:v>45078</c:v>
                      </c:pt>
                      <c:pt idx="282">
                        <c:v>45108</c:v>
                      </c:pt>
                      <c:pt idx="283">
                        <c:v>45139</c:v>
                      </c:pt>
                      <c:pt idx="284">
                        <c:v>45170</c:v>
                      </c:pt>
                      <c:pt idx="285">
                        <c:v>45200</c:v>
                      </c:pt>
                      <c:pt idx="286">
                        <c:v>45231</c:v>
                      </c:pt>
                      <c:pt idx="287">
                        <c:v>45261</c:v>
                      </c:pt>
                      <c:pt idx="288">
                        <c:v>45292</c:v>
                      </c:pt>
                      <c:pt idx="289">
                        <c:v>45323</c:v>
                      </c:pt>
                      <c:pt idx="290">
                        <c:v>45352</c:v>
                      </c:pt>
                      <c:pt idx="291">
                        <c:v>45383</c:v>
                      </c:pt>
                      <c:pt idx="292">
                        <c:v>45413</c:v>
                      </c:pt>
                      <c:pt idx="293">
                        <c:v>45444</c:v>
                      </c:pt>
                    </c:numCache>
                  </c:numRef>
                </c:cat>
                <c:val>
                  <c:numRef>
                    <c:extLst xmlns:c15="http://schemas.microsoft.com/office/drawing/2012/chart">
                      <c:ext xmlns:c15="http://schemas.microsoft.com/office/drawing/2012/chart" uri="{02D57815-91ED-43cb-92C2-25804820EDAC}">
                        <c15:formulaRef>
                          <c15:sqref>WTM!#REF!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3-A35D-4F1E-8431-38983DA96030}"/>
                  </c:ext>
                </c:extLst>
              </c15:ser>
            </c15:filteredLineSeries>
          </c:ext>
        </c:extLst>
      </c:lineChart>
      <c:dateAx>
        <c:axId val="783314560"/>
        <c:scaling>
          <c:orientation val="minMax"/>
          <c:min val="42156"/>
        </c:scaling>
        <c:delete val="0"/>
        <c:axPos val="b"/>
        <c:numFmt formatCode="mmm\-yy" sourceLinked="1"/>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291608336"/>
        <c:crosses val="autoZero"/>
        <c:auto val="1"/>
        <c:lblOffset val="100"/>
        <c:baseTimeUnit val="months"/>
        <c:majorUnit val="12"/>
        <c:majorTimeUnit val="months"/>
      </c:dateAx>
      <c:valAx>
        <c:axId val="291608336"/>
        <c:scaling>
          <c:orientation val="minMax"/>
          <c:max val="110"/>
          <c:min val="70"/>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783314560"/>
        <c:crosses val="autoZero"/>
        <c:crossBetween val="between"/>
      </c:valAx>
      <c:spPr>
        <a:noFill/>
        <a:ln>
          <a:noFill/>
        </a:ln>
        <a:effectLst/>
      </c:spPr>
    </c:plotArea>
    <c:legend>
      <c:legendPos val="t"/>
      <c:layout>
        <c:manualLayout>
          <c:xMode val="edge"/>
          <c:yMode val="edge"/>
          <c:x val="0.1277893864013267"/>
          <c:y val="4.550138888888889E-2"/>
          <c:w val="0.75961028192371471"/>
          <c:h val="8.634861111111111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14362141224289E-2"/>
          <c:y val="0.1490747332067108"/>
          <c:w val="0.83970107315214626"/>
          <c:h val="0.66191873568113502"/>
        </c:manualLayout>
      </c:layout>
      <c:lineChart>
        <c:grouping val="standard"/>
        <c:varyColors val="0"/>
        <c:ser>
          <c:idx val="0"/>
          <c:order val="0"/>
          <c:tx>
            <c:strRef>
              <c:f>'Graf 9'!$D$7</c:f>
              <c:strCache>
                <c:ptCount val="1"/>
                <c:pt idx="0">
                  <c:v>IFP Jun</c:v>
                </c:pt>
              </c:strCache>
            </c:strRef>
          </c:tx>
          <c:spPr>
            <a:ln w="25400" cap="rnd">
              <a:solidFill>
                <a:schemeClr val="tx1"/>
              </a:solidFill>
              <a:prstDash val="solid"/>
              <a:round/>
            </a:ln>
            <a:effectLst/>
          </c:spPr>
          <c:marker>
            <c:symbol val="circle"/>
            <c:size val="5"/>
            <c:spPr>
              <a:solidFill>
                <a:schemeClr val="tx1"/>
              </a:solidFill>
              <a:ln w="9525">
                <a:solidFill>
                  <a:schemeClr val="tx1"/>
                </a:solidFill>
                <a:prstDash val="solid"/>
              </a:ln>
              <a:effectLst/>
            </c:spPr>
          </c:marker>
          <c:cat>
            <c:numRef>
              <c:f>'Graf 9'!$E$6:$AF$6</c:f>
              <c:numCache>
                <c:formatCode>m/yy</c:formatCode>
                <c:ptCount val="28"/>
                <c:pt idx="0">
                  <c:v>44621</c:v>
                </c:pt>
                <c:pt idx="1">
                  <c:v>44713</c:v>
                </c:pt>
                <c:pt idx="2">
                  <c:v>44805</c:v>
                </c:pt>
                <c:pt idx="3">
                  <c:v>44896</c:v>
                </c:pt>
                <c:pt idx="4">
                  <c:v>44986</c:v>
                </c:pt>
                <c:pt idx="5">
                  <c:v>45078</c:v>
                </c:pt>
                <c:pt idx="6">
                  <c:v>45170</c:v>
                </c:pt>
                <c:pt idx="7">
                  <c:v>45261</c:v>
                </c:pt>
                <c:pt idx="8">
                  <c:v>45352</c:v>
                </c:pt>
                <c:pt idx="9">
                  <c:v>45444</c:v>
                </c:pt>
                <c:pt idx="10">
                  <c:v>45536</c:v>
                </c:pt>
                <c:pt idx="11">
                  <c:v>45627</c:v>
                </c:pt>
                <c:pt idx="12">
                  <c:v>45717</c:v>
                </c:pt>
                <c:pt idx="13">
                  <c:v>45809</c:v>
                </c:pt>
                <c:pt idx="14">
                  <c:v>45901</c:v>
                </c:pt>
                <c:pt idx="15">
                  <c:v>45992</c:v>
                </c:pt>
                <c:pt idx="16">
                  <c:v>46082</c:v>
                </c:pt>
                <c:pt idx="17">
                  <c:v>46174</c:v>
                </c:pt>
                <c:pt idx="18">
                  <c:v>46266</c:v>
                </c:pt>
                <c:pt idx="19">
                  <c:v>46357</c:v>
                </c:pt>
                <c:pt idx="20">
                  <c:v>46447</c:v>
                </c:pt>
                <c:pt idx="21">
                  <c:v>46539</c:v>
                </c:pt>
                <c:pt idx="22">
                  <c:v>46631</c:v>
                </c:pt>
                <c:pt idx="23">
                  <c:v>46722</c:v>
                </c:pt>
                <c:pt idx="24">
                  <c:v>46813</c:v>
                </c:pt>
                <c:pt idx="25">
                  <c:v>46905</c:v>
                </c:pt>
                <c:pt idx="26">
                  <c:v>46997</c:v>
                </c:pt>
                <c:pt idx="27">
                  <c:v>47088</c:v>
                </c:pt>
              </c:numCache>
            </c:numRef>
          </c:cat>
          <c:val>
            <c:numRef>
              <c:f>'Graf 9'!$E$7:$AF$7</c:f>
              <c:numCache>
                <c:formatCode>0.0</c:formatCode>
                <c:ptCount val="28"/>
                <c:pt idx="0">
                  <c:v>1</c:v>
                </c:pt>
                <c:pt idx="1">
                  <c:v>1.0216744058160372</c:v>
                </c:pt>
                <c:pt idx="2">
                  <c:v>1.0375203844783585</c:v>
                </c:pt>
                <c:pt idx="3">
                  <c:v>1.0609622303400554</c:v>
                </c:pt>
                <c:pt idx="4">
                  <c:v>1.0498324036269231</c:v>
                </c:pt>
                <c:pt idx="5">
                  <c:v>1.0389499856131934</c:v>
                </c:pt>
                <c:pt idx="6">
                  <c:v>1.0307734113076865</c:v>
                </c:pt>
                <c:pt idx="7">
                  <c:v>1.0207009873689321</c:v>
                </c:pt>
                <c:pt idx="8">
                  <c:v>1.0139646984391466</c:v>
                </c:pt>
                <c:pt idx="9">
                  <c:v>1.0230281460258306</c:v>
                </c:pt>
                <c:pt idx="10">
                  <c:v>1.0337489943570342</c:v>
                </c:pt>
                <c:pt idx="11">
                  <c:v>1.0449865138284582</c:v>
                </c:pt>
                <c:pt idx="12">
                  <c:v>1.0558574165276517</c:v>
                </c:pt>
                <c:pt idx="13">
                  <c:v>1.0635368560479166</c:v>
                </c:pt>
                <c:pt idx="14">
                  <c:v>1.0714503126582617</c:v>
                </c:pt>
                <c:pt idx="15">
                  <c:v>1.0809487643190603</c:v>
                </c:pt>
                <c:pt idx="16">
                  <c:v>1.0901625251403739</c:v>
                </c:pt>
                <c:pt idx="17">
                  <c:v>1.099310948601111</c:v>
                </c:pt>
                <c:pt idx="18">
                  <c:v>1.1072274234552597</c:v>
                </c:pt>
                <c:pt idx="19">
                  <c:v>1.115810939008733</c:v>
                </c:pt>
                <c:pt idx="20">
                  <c:v>1.1244538966274351</c:v>
                </c:pt>
                <c:pt idx="21">
                  <c:v>1.1324134328810964</c:v>
                </c:pt>
                <c:pt idx="22">
                  <c:v>1.1401792162735125</c:v>
                </c:pt>
                <c:pt idx="23">
                  <c:v>1.1485589622818715</c:v>
                </c:pt>
                <c:pt idx="24">
                  <c:v>1.1569973164551346</c:v>
                </c:pt>
                <c:pt idx="25">
                  <c:v>1.1666234264019295</c:v>
                </c:pt>
                <c:pt idx="26">
                  <c:v>1.1764439128212838</c:v>
                </c:pt>
                <c:pt idx="27">
                  <c:v>1.1863467306144388</c:v>
                </c:pt>
              </c:numCache>
            </c:numRef>
          </c:val>
          <c:smooth val="0"/>
          <c:extLst>
            <c:ext xmlns:c16="http://schemas.microsoft.com/office/drawing/2014/chart" uri="{C3380CC4-5D6E-409C-BE32-E72D297353CC}">
              <c16:uniqueId val="{00000000-1338-4692-99B9-F29E73EFA3C5}"/>
            </c:ext>
          </c:extLst>
        </c:ser>
        <c:ser>
          <c:idx val="1"/>
          <c:order val="1"/>
          <c:tx>
            <c:strRef>
              <c:f>'Graf 9'!$D$8</c:f>
              <c:strCache>
                <c:ptCount val="1"/>
                <c:pt idx="0">
                  <c:v>IFP Sep</c:v>
                </c:pt>
              </c:strCache>
            </c:strRef>
          </c:tx>
          <c:spPr>
            <a:ln w="25400" cap="rnd">
              <a:solidFill>
                <a:srgbClr val="2EAAE1"/>
              </a:solidFill>
              <a:prstDash val="solid"/>
              <a:round/>
            </a:ln>
            <a:effectLst/>
          </c:spPr>
          <c:marker>
            <c:symbol val="circle"/>
            <c:size val="5"/>
            <c:spPr>
              <a:solidFill>
                <a:srgbClr val="2EAAE1"/>
              </a:solidFill>
              <a:ln w="9525">
                <a:solidFill>
                  <a:srgbClr val="2EAAE1"/>
                </a:solidFill>
                <a:prstDash val="solid"/>
              </a:ln>
              <a:effectLst/>
            </c:spPr>
          </c:marker>
          <c:cat>
            <c:numRef>
              <c:f>'Graf 9'!$E$6:$AF$6</c:f>
              <c:numCache>
                <c:formatCode>m/yy</c:formatCode>
                <c:ptCount val="28"/>
                <c:pt idx="0">
                  <c:v>44621</c:v>
                </c:pt>
                <c:pt idx="1">
                  <c:v>44713</c:v>
                </c:pt>
                <c:pt idx="2">
                  <c:v>44805</c:v>
                </c:pt>
                <c:pt idx="3">
                  <c:v>44896</c:v>
                </c:pt>
                <c:pt idx="4">
                  <c:v>44986</c:v>
                </c:pt>
                <c:pt idx="5">
                  <c:v>45078</c:v>
                </c:pt>
                <c:pt idx="6">
                  <c:v>45170</c:v>
                </c:pt>
                <c:pt idx="7">
                  <c:v>45261</c:v>
                </c:pt>
                <c:pt idx="8">
                  <c:v>45352</c:v>
                </c:pt>
                <c:pt idx="9">
                  <c:v>45444</c:v>
                </c:pt>
                <c:pt idx="10">
                  <c:v>45536</c:v>
                </c:pt>
                <c:pt idx="11">
                  <c:v>45627</c:v>
                </c:pt>
                <c:pt idx="12">
                  <c:v>45717</c:v>
                </c:pt>
                <c:pt idx="13">
                  <c:v>45809</c:v>
                </c:pt>
                <c:pt idx="14">
                  <c:v>45901</c:v>
                </c:pt>
                <c:pt idx="15">
                  <c:v>45992</c:v>
                </c:pt>
                <c:pt idx="16">
                  <c:v>46082</c:v>
                </c:pt>
                <c:pt idx="17">
                  <c:v>46174</c:v>
                </c:pt>
                <c:pt idx="18">
                  <c:v>46266</c:v>
                </c:pt>
                <c:pt idx="19">
                  <c:v>46357</c:v>
                </c:pt>
                <c:pt idx="20">
                  <c:v>46447</c:v>
                </c:pt>
                <c:pt idx="21">
                  <c:v>46539</c:v>
                </c:pt>
                <c:pt idx="22">
                  <c:v>46631</c:v>
                </c:pt>
                <c:pt idx="23">
                  <c:v>46722</c:v>
                </c:pt>
                <c:pt idx="24">
                  <c:v>46813</c:v>
                </c:pt>
                <c:pt idx="25">
                  <c:v>46905</c:v>
                </c:pt>
                <c:pt idx="26">
                  <c:v>46997</c:v>
                </c:pt>
                <c:pt idx="27">
                  <c:v>47088</c:v>
                </c:pt>
              </c:numCache>
            </c:numRef>
          </c:cat>
          <c:val>
            <c:numRef>
              <c:f>'Graf 9'!$E$8:$AF$8</c:f>
              <c:numCache>
                <c:formatCode>0.0</c:formatCode>
                <c:ptCount val="28"/>
                <c:pt idx="0">
                  <c:v>1</c:v>
                </c:pt>
                <c:pt idx="1">
                  <c:v>1.019917665310287</c:v>
                </c:pt>
                <c:pt idx="2">
                  <c:v>1.0363688168244249</c:v>
                </c:pt>
                <c:pt idx="3">
                  <c:v>1.057681924647949</c:v>
                </c:pt>
                <c:pt idx="4">
                  <c:v>1.0490433324787274</c:v>
                </c:pt>
                <c:pt idx="5">
                  <c:v>1.0398047615422554</c:v>
                </c:pt>
                <c:pt idx="6">
                  <c:v>1.0301459824039896</c:v>
                </c:pt>
                <c:pt idx="7">
                  <c:v>1.0184177554084259</c:v>
                </c:pt>
                <c:pt idx="8">
                  <c:v>1.0113875960978709</c:v>
                </c:pt>
                <c:pt idx="9">
                  <c:v>1.0127844073622103</c:v>
                </c:pt>
                <c:pt idx="10">
                  <c:v>1.0165189269228492</c:v>
                </c:pt>
                <c:pt idx="11">
                  <c:v>1.0274986688837724</c:v>
                </c:pt>
                <c:pt idx="12">
                  <c:v>1.0371802441803302</c:v>
                </c:pt>
                <c:pt idx="13">
                  <c:v>1.0480558909775017</c:v>
                </c:pt>
                <c:pt idx="14">
                  <c:v>1.0578928103921406</c:v>
                </c:pt>
                <c:pt idx="15">
                  <c:v>1.0690893059792972</c:v>
                </c:pt>
                <c:pt idx="16">
                  <c:v>1.0792590102791053</c:v>
                </c:pt>
                <c:pt idx="17">
                  <c:v>1.0876139582713247</c:v>
                </c:pt>
                <c:pt idx="18">
                  <c:v>1.0947368452606647</c:v>
                </c:pt>
                <c:pt idx="19">
                  <c:v>1.1029041124617687</c:v>
                </c:pt>
                <c:pt idx="20">
                  <c:v>1.1111225938611946</c:v>
                </c:pt>
                <c:pt idx="21">
                  <c:v>1.1197366938398141</c:v>
                </c:pt>
                <c:pt idx="22">
                  <c:v>1.1271273367916257</c:v>
                </c:pt>
                <c:pt idx="23">
                  <c:v>1.1351937305343287</c:v>
                </c:pt>
                <c:pt idx="24">
                  <c:v>1.1433156514513925</c:v>
                </c:pt>
                <c:pt idx="25">
                  <c:v>1.1525657699641134</c:v>
                </c:pt>
                <c:pt idx="26">
                  <c:v>1.1620109251971602</c:v>
                </c:pt>
                <c:pt idx="27">
                  <c:v>1.171413610542178</c:v>
                </c:pt>
              </c:numCache>
            </c:numRef>
          </c:val>
          <c:smooth val="0"/>
          <c:extLst>
            <c:ext xmlns:c16="http://schemas.microsoft.com/office/drawing/2014/chart" uri="{C3380CC4-5D6E-409C-BE32-E72D297353CC}">
              <c16:uniqueId val="{00000001-1338-4692-99B9-F29E73EFA3C5}"/>
            </c:ext>
          </c:extLst>
        </c:ser>
        <c:dLbls>
          <c:showLegendKey val="0"/>
          <c:showVal val="0"/>
          <c:showCatName val="0"/>
          <c:showSerName val="0"/>
          <c:showPercent val="0"/>
          <c:showBubbleSize val="0"/>
        </c:dLbls>
        <c:marker val="1"/>
        <c:smooth val="0"/>
        <c:axId val="960919560"/>
        <c:axId val="960920216"/>
      </c:lineChart>
      <c:dateAx>
        <c:axId val="960919560"/>
        <c:scaling>
          <c:orientation val="minMax"/>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960920216"/>
        <c:crosses val="autoZero"/>
        <c:auto val="1"/>
        <c:lblOffset val="100"/>
        <c:baseTimeUnit val="months"/>
        <c:majorUnit val="6"/>
        <c:majorTimeUnit val="months"/>
      </c:dateAx>
      <c:valAx>
        <c:axId val="960920216"/>
        <c:scaling>
          <c:orientation val="minMax"/>
          <c:min val="0.9"/>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0.00" sourceLinked="0"/>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960919560"/>
        <c:crosses val="autoZero"/>
        <c:crossBetween val="between"/>
      </c:valAx>
      <c:spPr>
        <a:noFill/>
        <a:ln>
          <a:noFill/>
        </a:ln>
        <a:effectLst/>
      </c:spPr>
    </c:plotArea>
    <c:legend>
      <c:legendPos val="t"/>
      <c:layout>
        <c:manualLayout>
          <c:xMode val="edge"/>
          <c:yMode val="edge"/>
          <c:x val="0.12275953565505804"/>
          <c:y val="5.333888888888888E-2"/>
          <c:w val="0.760196102819237"/>
          <c:h val="0.150741203703703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14362141224289E-2"/>
          <c:y val="0.1490747332067108"/>
          <c:w val="0.83970107315214626"/>
          <c:h val="0.66191873568113502"/>
        </c:manualLayout>
      </c:layout>
      <c:lineChart>
        <c:grouping val="standard"/>
        <c:varyColors val="0"/>
        <c:ser>
          <c:idx val="0"/>
          <c:order val="0"/>
          <c:tx>
            <c:strRef>
              <c:f>'Graf 9'!$D$7</c:f>
              <c:strCache>
                <c:ptCount val="1"/>
                <c:pt idx="0">
                  <c:v>IFP Jun</c:v>
                </c:pt>
              </c:strCache>
            </c:strRef>
          </c:tx>
          <c:spPr>
            <a:ln w="25400" cap="rnd">
              <a:solidFill>
                <a:schemeClr val="tx1"/>
              </a:solidFill>
              <a:prstDash val="solid"/>
              <a:round/>
            </a:ln>
            <a:effectLst/>
          </c:spPr>
          <c:marker>
            <c:symbol val="circle"/>
            <c:size val="5"/>
            <c:spPr>
              <a:solidFill>
                <a:schemeClr val="tx1"/>
              </a:solidFill>
              <a:ln w="9525">
                <a:solidFill>
                  <a:schemeClr val="tx1"/>
                </a:solidFill>
                <a:prstDash val="solid"/>
              </a:ln>
              <a:effectLst/>
            </c:spPr>
          </c:marker>
          <c:cat>
            <c:numRef>
              <c:f>'Graf 9'!$E$6:$AF$6</c:f>
              <c:numCache>
                <c:formatCode>m/yy</c:formatCode>
                <c:ptCount val="28"/>
                <c:pt idx="0">
                  <c:v>44621</c:v>
                </c:pt>
                <c:pt idx="1">
                  <c:v>44713</c:v>
                </c:pt>
                <c:pt idx="2">
                  <c:v>44805</c:v>
                </c:pt>
                <c:pt idx="3">
                  <c:v>44896</c:v>
                </c:pt>
                <c:pt idx="4">
                  <c:v>44986</c:v>
                </c:pt>
                <c:pt idx="5">
                  <c:v>45078</c:v>
                </c:pt>
                <c:pt idx="6">
                  <c:v>45170</c:v>
                </c:pt>
                <c:pt idx="7">
                  <c:v>45261</c:v>
                </c:pt>
                <c:pt idx="8">
                  <c:v>45352</c:v>
                </c:pt>
                <c:pt idx="9">
                  <c:v>45444</c:v>
                </c:pt>
                <c:pt idx="10">
                  <c:v>45536</c:v>
                </c:pt>
                <c:pt idx="11">
                  <c:v>45627</c:v>
                </c:pt>
                <c:pt idx="12">
                  <c:v>45717</c:v>
                </c:pt>
                <c:pt idx="13">
                  <c:v>45809</c:v>
                </c:pt>
                <c:pt idx="14">
                  <c:v>45901</c:v>
                </c:pt>
                <c:pt idx="15">
                  <c:v>45992</c:v>
                </c:pt>
                <c:pt idx="16">
                  <c:v>46082</c:v>
                </c:pt>
                <c:pt idx="17">
                  <c:v>46174</c:v>
                </c:pt>
                <c:pt idx="18">
                  <c:v>46266</c:v>
                </c:pt>
                <c:pt idx="19">
                  <c:v>46357</c:v>
                </c:pt>
                <c:pt idx="20">
                  <c:v>46447</c:v>
                </c:pt>
                <c:pt idx="21">
                  <c:v>46539</c:v>
                </c:pt>
                <c:pt idx="22">
                  <c:v>46631</c:v>
                </c:pt>
                <c:pt idx="23">
                  <c:v>46722</c:v>
                </c:pt>
                <c:pt idx="24">
                  <c:v>46813</c:v>
                </c:pt>
                <c:pt idx="25">
                  <c:v>46905</c:v>
                </c:pt>
                <c:pt idx="26">
                  <c:v>46997</c:v>
                </c:pt>
                <c:pt idx="27">
                  <c:v>47088</c:v>
                </c:pt>
              </c:numCache>
            </c:numRef>
          </c:cat>
          <c:val>
            <c:numRef>
              <c:f>'Graf 9'!$E$7:$AF$7</c:f>
              <c:numCache>
                <c:formatCode>0.0</c:formatCode>
                <c:ptCount val="28"/>
                <c:pt idx="0">
                  <c:v>1</c:v>
                </c:pt>
                <c:pt idx="1">
                  <c:v>1.0216744058160372</c:v>
                </c:pt>
                <c:pt idx="2">
                  <c:v>1.0375203844783585</c:v>
                </c:pt>
                <c:pt idx="3">
                  <c:v>1.0609622303400554</c:v>
                </c:pt>
                <c:pt idx="4">
                  <c:v>1.0498324036269231</c:v>
                </c:pt>
                <c:pt idx="5">
                  <c:v>1.0389499856131934</c:v>
                </c:pt>
                <c:pt idx="6">
                  <c:v>1.0307734113076865</c:v>
                </c:pt>
                <c:pt idx="7">
                  <c:v>1.0207009873689321</c:v>
                </c:pt>
                <c:pt idx="8">
                  <c:v>1.0139646984391466</c:v>
                </c:pt>
                <c:pt idx="9">
                  <c:v>1.0230281460258306</c:v>
                </c:pt>
                <c:pt idx="10">
                  <c:v>1.0337489943570342</c:v>
                </c:pt>
                <c:pt idx="11">
                  <c:v>1.0449865138284582</c:v>
                </c:pt>
                <c:pt idx="12">
                  <c:v>1.0558574165276517</c:v>
                </c:pt>
                <c:pt idx="13">
                  <c:v>1.0635368560479166</c:v>
                </c:pt>
                <c:pt idx="14">
                  <c:v>1.0714503126582617</c:v>
                </c:pt>
                <c:pt idx="15">
                  <c:v>1.0809487643190603</c:v>
                </c:pt>
                <c:pt idx="16">
                  <c:v>1.0901625251403739</c:v>
                </c:pt>
                <c:pt idx="17">
                  <c:v>1.099310948601111</c:v>
                </c:pt>
                <c:pt idx="18">
                  <c:v>1.1072274234552597</c:v>
                </c:pt>
                <c:pt idx="19">
                  <c:v>1.115810939008733</c:v>
                </c:pt>
                <c:pt idx="20">
                  <c:v>1.1244538966274351</c:v>
                </c:pt>
                <c:pt idx="21">
                  <c:v>1.1324134328810964</c:v>
                </c:pt>
                <c:pt idx="22">
                  <c:v>1.1401792162735125</c:v>
                </c:pt>
                <c:pt idx="23">
                  <c:v>1.1485589622818715</c:v>
                </c:pt>
                <c:pt idx="24">
                  <c:v>1.1569973164551346</c:v>
                </c:pt>
                <c:pt idx="25">
                  <c:v>1.1666234264019295</c:v>
                </c:pt>
                <c:pt idx="26">
                  <c:v>1.1764439128212838</c:v>
                </c:pt>
                <c:pt idx="27">
                  <c:v>1.1863467306144388</c:v>
                </c:pt>
              </c:numCache>
            </c:numRef>
          </c:val>
          <c:smooth val="0"/>
          <c:extLst>
            <c:ext xmlns:c16="http://schemas.microsoft.com/office/drawing/2014/chart" uri="{C3380CC4-5D6E-409C-BE32-E72D297353CC}">
              <c16:uniqueId val="{00000000-104C-4269-BD47-6B3939B2E876}"/>
            </c:ext>
          </c:extLst>
        </c:ser>
        <c:ser>
          <c:idx val="1"/>
          <c:order val="1"/>
          <c:tx>
            <c:strRef>
              <c:f>'Graf 9'!$D$8</c:f>
              <c:strCache>
                <c:ptCount val="1"/>
                <c:pt idx="0">
                  <c:v>IFP Sep</c:v>
                </c:pt>
              </c:strCache>
            </c:strRef>
          </c:tx>
          <c:spPr>
            <a:ln w="25400" cap="rnd">
              <a:solidFill>
                <a:srgbClr val="2EAAE1"/>
              </a:solidFill>
              <a:prstDash val="solid"/>
              <a:round/>
            </a:ln>
            <a:effectLst/>
          </c:spPr>
          <c:marker>
            <c:symbol val="circle"/>
            <c:size val="5"/>
            <c:spPr>
              <a:solidFill>
                <a:srgbClr val="2EAAE1"/>
              </a:solidFill>
              <a:ln w="9525">
                <a:solidFill>
                  <a:srgbClr val="2EAAE1"/>
                </a:solidFill>
                <a:prstDash val="solid"/>
              </a:ln>
              <a:effectLst/>
            </c:spPr>
          </c:marker>
          <c:cat>
            <c:numRef>
              <c:f>'Graf 9'!$E$6:$AF$6</c:f>
              <c:numCache>
                <c:formatCode>m/yy</c:formatCode>
                <c:ptCount val="28"/>
                <c:pt idx="0">
                  <c:v>44621</c:v>
                </c:pt>
                <c:pt idx="1">
                  <c:v>44713</c:v>
                </c:pt>
                <c:pt idx="2">
                  <c:v>44805</c:v>
                </c:pt>
                <c:pt idx="3">
                  <c:v>44896</c:v>
                </c:pt>
                <c:pt idx="4">
                  <c:v>44986</c:v>
                </c:pt>
                <c:pt idx="5">
                  <c:v>45078</c:v>
                </c:pt>
                <c:pt idx="6">
                  <c:v>45170</c:v>
                </c:pt>
                <c:pt idx="7">
                  <c:v>45261</c:v>
                </c:pt>
                <c:pt idx="8">
                  <c:v>45352</c:v>
                </c:pt>
                <c:pt idx="9">
                  <c:v>45444</c:v>
                </c:pt>
                <c:pt idx="10">
                  <c:v>45536</c:v>
                </c:pt>
                <c:pt idx="11">
                  <c:v>45627</c:v>
                </c:pt>
                <c:pt idx="12">
                  <c:v>45717</c:v>
                </c:pt>
                <c:pt idx="13">
                  <c:v>45809</c:v>
                </c:pt>
                <c:pt idx="14">
                  <c:v>45901</c:v>
                </c:pt>
                <c:pt idx="15">
                  <c:v>45992</c:v>
                </c:pt>
                <c:pt idx="16">
                  <c:v>46082</c:v>
                </c:pt>
                <c:pt idx="17">
                  <c:v>46174</c:v>
                </c:pt>
                <c:pt idx="18">
                  <c:v>46266</c:v>
                </c:pt>
                <c:pt idx="19">
                  <c:v>46357</c:v>
                </c:pt>
                <c:pt idx="20">
                  <c:v>46447</c:v>
                </c:pt>
                <c:pt idx="21">
                  <c:v>46539</c:v>
                </c:pt>
                <c:pt idx="22">
                  <c:v>46631</c:v>
                </c:pt>
                <c:pt idx="23">
                  <c:v>46722</c:v>
                </c:pt>
                <c:pt idx="24">
                  <c:v>46813</c:v>
                </c:pt>
                <c:pt idx="25">
                  <c:v>46905</c:v>
                </c:pt>
                <c:pt idx="26">
                  <c:v>46997</c:v>
                </c:pt>
                <c:pt idx="27">
                  <c:v>47088</c:v>
                </c:pt>
              </c:numCache>
            </c:numRef>
          </c:cat>
          <c:val>
            <c:numRef>
              <c:f>'Graf 9'!$E$8:$AF$8</c:f>
              <c:numCache>
                <c:formatCode>0.0</c:formatCode>
                <c:ptCount val="28"/>
                <c:pt idx="0">
                  <c:v>1</c:v>
                </c:pt>
                <c:pt idx="1">
                  <c:v>1.019917665310287</c:v>
                </c:pt>
                <c:pt idx="2">
                  <c:v>1.0363688168244249</c:v>
                </c:pt>
                <c:pt idx="3">
                  <c:v>1.057681924647949</c:v>
                </c:pt>
                <c:pt idx="4">
                  <c:v>1.0490433324787274</c:v>
                </c:pt>
                <c:pt idx="5">
                  <c:v>1.0398047615422554</c:v>
                </c:pt>
                <c:pt idx="6">
                  <c:v>1.0301459824039896</c:v>
                </c:pt>
                <c:pt idx="7">
                  <c:v>1.0184177554084259</c:v>
                </c:pt>
                <c:pt idx="8">
                  <c:v>1.0113875960978709</c:v>
                </c:pt>
                <c:pt idx="9">
                  <c:v>1.0127844073622103</c:v>
                </c:pt>
                <c:pt idx="10">
                  <c:v>1.0165189269228492</c:v>
                </c:pt>
                <c:pt idx="11">
                  <c:v>1.0274986688837724</c:v>
                </c:pt>
                <c:pt idx="12">
                  <c:v>1.0371802441803302</c:v>
                </c:pt>
                <c:pt idx="13">
                  <c:v>1.0480558909775017</c:v>
                </c:pt>
                <c:pt idx="14">
                  <c:v>1.0578928103921406</c:v>
                </c:pt>
                <c:pt idx="15">
                  <c:v>1.0690893059792972</c:v>
                </c:pt>
                <c:pt idx="16">
                  <c:v>1.0792590102791053</c:v>
                </c:pt>
                <c:pt idx="17">
                  <c:v>1.0876139582713247</c:v>
                </c:pt>
                <c:pt idx="18">
                  <c:v>1.0947368452606647</c:v>
                </c:pt>
                <c:pt idx="19">
                  <c:v>1.1029041124617687</c:v>
                </c:pt>
                <c:pt idx="20">
                  <c:v>1.1111225938611946</c:v>
                </c:pt>
                <c:pt idx="21">
                  <c:v>1.1197366938398141</c:v>
                </c:pt>
                <c:pt idx="22">
                  <c:v>1.1271273367916257</c:v>
                </c:pt>
                <c:pt idx="23">
                  <c:v>1.1351937305343287</c:v>
                </c:pt>
                <c:pt idx="24">
                  <c:v>1.1433156514513925</c:v>
                </c:pt>
                <c:pt idx="25">
                  <c:v>1.1525657699641134</c:v>
                </c:pt>
                <c:pt idx="26">
                  <c:v>1.1620109251971602</c:v>
                </c:pt>
                <c:pt idx="27">
                  <c:v>1.171413610542178</c:v>
                </c:pt>
              </c:numCache>
            </c:numRef>
          </c:val>
          <c:smooth val="0"/>
          <c:extLst>
            <c:ext xmlns:c16="http://schemas.microsoft.com/office/drawing/2014/chart" uri="{C3380CC4-5D6E-409C-BE32-E72D297353CC}">
              <c16:uniqueId val="{00000001-104C-4269-BD47-6B3939B2E876}"/>
            </c:ext>
          </c:extLst>
        </c:ser>
        <c:dLbls>
          <c:showLegendKey val="0"/>
          <c:showVal val="0"/>
          <c:showCatName val="0"/>
          <c:showSerName val="0"/>
          <c:showPercent val="0"/>
          <c:showBubbleSize val="0"/>
        </c:dLbls>
        <c:marker val="1"/>
        <c:smooth val="0"/>
        <c:axId val="960919560"/>
        <c:axId val="960920216"/>
      </c:lineChart>
      <c:dateAx>
        <c:axId val="960919560"/>
        <c:scaling>
          <c:orientation val="minMax"/>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960920216"/>
        <c:crosses val="autoZero"/>
        <c:auto val="1"/>
        <c:lblOffset val="100"/>
        <c:baseTimeUnit val="months"/>
        <c:majorUnit val="6"/>
        <c:majorTimeUnit val="months"/>
      </c:dateAx>
      <c:valAx>
        <c:axId val="960920216"/>
        <c:scaling>
          <c:orientation val="minMax"/>
          <c:min val="0.9"/>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0.00" sourceLinked="0"/>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crossAx val="960919560"/>
        <c:crosses val="autoZero"/>
        <c:crossBetween val="between"/>
      </c:valAx>
      <c:spPr>
        <a:noFill/>
        <a:ln>
          <a:noFill/>
        </a:ln>
        <a:effectLst/>
      </c:spPr>
    </c:plotArea>
    <c:legend>
      <c:legendPos val="t"/>
      <c:layout>
        <c:manualLayout>
          <c:xMode val="edge"/>
          <c:yMode val="edge"/>
          <c:x val="0.12275953565505804"/>
          <c:y val="5.333888888888888E-2"/>
          <c:w val="0.760196102819237"/>
          <c:h val="0.150741203703703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8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82910341843909E-2"/>
          <c:y val="0.15872814207650274"/>
          <c:w val="0.86715963848636013"/>
          <c:h val="0.71736606086786592"/>
        </c:manualLayout>
      </c:layout>
      <c:lineChart>
        <c:grouping val="standard"/>
        <c:varyColors val="0"/>
        <c:ser>
          <c:idx val="0"/>
          <c:order val="0"/>
          <c:tx>
            <c:strRef>
              <c:f>'Graf 10'!$C$4</c:f>
              <c:strCache>
                <c:ptCount val="1"/>
                <c:pt idx="0">
                  <c:v>IFP Jun</c:v>
                </c:pt>
              </c:strCache>
            </c:strRef>
          </c:tx>
          <c:spPr>
            <a:ln w="19050" cap="rnd">
              <a:solidFill>
                <a:schemeClr val="tx1"/>
              </a:solidFill>
              <a:prstDash val="solid"/>
              <a:round/>
            </a:ln>
            <a:effectLst/>
          </c:spPr>
          <c:marker>
            <c:symbol val="circle"/>
            <c:size val="5"/>
            <c:spPr>
              <a:solidFill>
                <a:schemeClr val="bg1"/>
              </a:solidFill>
              <a:ln w="9525">
                <a:solidFill>
                  <a:srgbClr val="686767"/>
                </a:solidFill>
                <a:prstDash val="solid"/>
              </a:ln>
              <a:effectLst/>
            </c:spPr>
          </c:marker>
          <c:cat>
            <c:numRef>
              <c:f>'Graf 10'!$D$3:$I$3</c:f>
              <c:numCache>
                <c:formatCode>General</c:formatCode>
                <c:ptCount val="6"/>
                <c:pt idx="0">
                  <c:v>2022</c:v>
                </c:pt>
                <c:pt idx="1">
                  <c:v>2023</c:v>
                </c:pt>
                <c:pt idx="2">
                  <c:v>2024</c:v>
                </c:pt>
                <c:pt idx="3">
                  <c:v>2025</c:v>
                </c:pt>
                <c:pt idx="4">
                  <c:v>2026</c:v>
                </c:pt>
                <c:pt idx="5">
                  <c:v>2027</c:v>
                </c:pt>
              </c:numCache>
            </c:numRef>
          </c:cat>
          <c:val>
            <c:numRef>
              <c:f>'Graf 10'!$D$4:$I$4</c:f>
              <c:numCache>
                <c:formatCode>0.0</c:formatCode>
                <c:ptCount val="6"/>
                <c:pt idx="0">
                  <c:v>8.0831836021288517</c:v>
                </c:pt>
                <c:pt idx="1">
                  <c:v>-1.5731536667874191</c:v>
                </c:pt>
                <c:pt idx="2">
                  <c:v>1.2969527726797159</c:v>
                </c:pt>
                <c:pt idx="3">
                  <c:v>3.5712101920882366</c:v>
                </c:pt>
                <c:pt idx="4">
                  <c:v>3.267569260059755</c:v>
                </c:pt>
                <c:pt idx="5">
                  <c:v>2.9537111058087984</c:v>
                </c:pt>
              </c:numCache>
            </c:numRef>
          </c:val>
          <c:smooth val="0"/>
          <c:extLst>
            <c:ext xmlns:c16="http://schemas.microsoft.com/office/drawing/2014/chart" uri="{C3380CC4-5D6E-409C-BE32-E72D297353CC}">
              <c16:uniqueId val="{00000000-068D-4C26-B33B-399181E87F36}"/>
            </c:ext>
          </c:extLst>
        </c:ser>
        <c:ser>
          <c:idx val="1"/>
          <c:order val="1"/>
          <c:tx>
            <c:strRef>
              <c:f>'Graf 10'!$C$5</c:f>
              <c:strCache>
                <c:ptCount val="1"/>
                <c:pt idx="0">
                  <c:v>IFP Sep</c:v>
                </c:pt>
              </c:strCache>
            </c:strRef>
          </c:tx>
          <c:spPr>
            <a:ln w="19050" cap="rnd">
              <a:solidFill>
                <a:srgbClr val="2EAAE1"/>
              </a:solidFill>
              <a:prstDash val="solid"/>
              <a:round/>
            </a:ln>
            <a:effectLst/>
          </c:spPr>
          <c:marker>
            <c:symbol val="diamond"/>
            <c:size val="5"/>
            <c:spPr>
              <a:solidFill>
                <a:schemeClr val="bg1"/>
              </a:solidFill>
              <a:ln w="9525">
                <a:solidFill>
                  <a:srgbClr val="2EAAE1"/>
                </a:solidFill>
                <a:prstDash val="solid"/>
              </a:ln>
              <a:effectLst/>
            </c:spPr>
          </c:marker>
          <c:dLbls>
            <c:dLbl>
              <c:idx val="0"/>
              <c:layout>
                <c:manualLayout>
                  <c:x val="2.0751633986928104E-2"/>
                  <c:y val="-3.4699453551912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8D-4C26-B33B-399181E87F36}"/>
                </c:ext>
              </c:extLst>
            </c:dLbl>
            <c:dLbl>
              <c:idx val="1"/>
              <c:layout>
                <c:manualLayout>
                  <c:x val="-6.2254901960784266E-2"/>
                  <c:y val="-0.15614754098360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8D-4C26-B33B-399181E87F36}"/>
                </c:ext>
              </c:extLst>
            </c:dLbl>
            <c:dLbl>
              <c:idx val="2"/>
              <c:layout>
                <c:manualLayout>
                  <c:x val="-3.6315359477124186E-2"/>
                  <c:y val="5.7832422586520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8D-4C26-B33B-399181E87F36}"/>
                </c:ext>
              </c:extLst>
            </c:dLbl>
            <c:dLbl>
              <c:idx val="3"/>
              <c:layout>
                <c:manualLayout>
                  <c:x val="-3.3942810457516341E-2"/>
                  <c:y val="8.037067395264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8D-4C26-B33B-399181E87F36}"/>
                </c:ext>
              </c:extLst>
            </c:dLbl>
            <c:dLbl>
              <c:idx val="4"/>
              <c:layout>
                <c:manualLayout>
                  <c:x val="-6.2254901960784315E-2"/>
                  <c:y val="7.7914389799635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8D-4C26-B33B-399181E87F36}"/>
                </c:ext>
              </c:extLst>
            </c:dLbl>
            <c:dLbl>
              <c:idx val="5"/>
              <c:layout>
                <c:manualLayout>
                  <c:x val="-4.2990196078431374E-2"/>
                  <c:y val="0.10362431693989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8D-4C26-B33B-399181E87F36}"/>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10'!$D$3:$I$3</c:f>
              <c:numCache>
                <c:formatCode>General</c:formatCode>
                <c:ptCount val="6"/>
                <c:pt idx="0">
                  <c:v>2022</c:v>
                </c:pt>
                <c:pt idx="1">
                  <c:v>2023</c:v>
                </c:pt>
                <c:pt idx="2">
                  <c:v>2024</c:v>
                </c:pt>
                <c:pt idx="3">
                  <c:v>2025</c:v>
                </c:pt>
                <c:pt idx="4">
                  <c:v>2026</c:v>
                </c:pt>
                <c:pt idx="5">
                  <c:v>2027</c:v>
                </c:pt>
              </c:numCache>
            </c:numRef>
          </c:cat>
          <c:val>
            <c:numRef>
              <c:f>'Graf 10'!$D$5:$I$5</c:f>
              <c:numCache>
                <c:formatCode>0.0</c:formatCode>
                <c:ptCount val="6"/>
                <c:pt idx="0">
                  <c:v>8.0567603728124446</c:v>
                </c:pt>
                <c:pt idx="1">
                  <c:v>-1.5194683025339883</c:v>
                </c:pt>
                <c:pt idx="2">
                  <c:v>-0.14083394155531836</c:v>
                </c:pt>
                <c:pt idx="3">
                  <c:v>3.9158638360653919</c:v>
                </c:pt>
                <c:pt idx="4">
                  <c:v>3.3396937646380742</c:v>
                </c:pt>
                <c:pt idx="5">
                  <c:v>2.9341407209241943</c:v>
                </c:pt>
              </c:numCache>
            </c:numRef>
          </c:val>
          <c:smooth val="0"/>
          <c:extLst>
            <c:ext xmlns:c16="http://schemas.microsoft.com/office/drawing/2014/chart" uri="{C3380CC4-5D6E-409C-BE32-E72D297353CC}">
              <c16:uniqueId val="{00000007-068D-4C26-B33B-399181E87F36}"/>
            </c:ext>
          </c:extLst>
        </c:ser>
        <c:dLbls>
          <c:showLegendKey val="0"/>
          <c:showVal val="0"/>
          <c:showCatName val="0"/>
          <c:showSerName val="0"/>
          <c:showPercent val="0"/>
          <c:showBubbleSize val="0"/>
        </c:dLbls>
        <c:marker val="1"/>
        <c:smooth val="0"/>
        <c:axId val="852486720"/>
        <c:axId val="852488688"/>
      </c:lineChart>
      <c:catAx>
        <c:axId val="85248672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852488688"/>
        <c:crosses val="autoZero"/>
        <c:auto val="1"/>
        <c:lblAlgn val="ctr"/>
        <c:lblOffset val="100"/>
        <c:noMultiLvlLbl val="0"/>
      </c:catAx>
      <c:valAx>
        <c:axId val="852488688"/>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852486720"/>
        <c:crosses val="autoZero"/>
        <c:crossBetween val="between"/>
      </c:valAx>
      <c:spPr>
        <a:noFill/>
        <a:ln>
          <a:noFill/>
        </a:ln>
        <a:effectLst/>
      </c:spPr>
    </c:plotArea>
    <c:legend>
      <c:legendPos val="t"/>
      <c:layout>
        <c:manualLayout>
          <c:xMode val="edge"/>
          <c:yMode val="edge"/>
          <c:x val="0.15221732026143789"/>
          <c:y val="4.0455828779599294E-2"/>
          <c:w val="0.72875857843137259"/>
          <c:h val="8.549143121815655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351395004938318E-2"/>
          <c:y val="0.15872814207650274"/>
          <c:w val="0.86989113886751679"/>
          <c:h val="0.72092851628840515"/>
        </c:manualLayout>
      </c:layout>
      <c:lineChart>
        <c:grouping val="standard"/>
        <c:varyColors val="0"/>
        <c:ser>
          <c:idx val="0"/>
          <c:order val="0"/>
          <c:tx>
            <c:strRef>
              <c:f>'Graf 10'!$C$4</c:f>
              <c:strCache>
                <c:ptCount val="1"/>
                <c:pt idx="0">
                  <c:v>IFP Jun</c:v>
                </c:pt>
              </c:strCache>
            </c:strRef>
          </c:tx>
          <c:spPr>
            <a:ln w="19050" cap="rnd">
              <a:solidFill>
                <a:schemeClr val="tx1"/>
              </a:solidFill>
              <a:prstDash val="solid"/>
              <a:round/>
            </a:ln>
            <a:effectLst/>
          </c:spPr>
          <c:marker>
            <c:symbol val="circle"/>
            <c:size val="5"/>
            <c:spPr>
              <a:solidFill>
                <a:schemeClr val="bg1"/>
              </a:solidFill>
              <a:ln w="9525">
                <a:solidFill>
                  <a:srgbClr val="686767"/>
                </a:solidFill>
                <a:prstDash val="solid"/>
              </a:ln>
              <a:effectLst/>
            </c:spPr>
          </c:marker>
          <c:cat>
            <c:numRef>
              <c:f>'Graf 10'!$D$3:$I$3</c:f>
              <c:numCache>
                <c:formatCode>General</c:formatCode>
                <c:ptCount val="6"/>
                <c:pt idx="0">
                  <c:v>2022</c:v>
                </c:pt>
                <c:pt idx="1">
                  <c:v>2023</c:v>
                </c:pt>
                <c:pt idx="2">
                  <c:v>2024</c:v>
                </c:pt>
                <c:pt idx="3">
                  <c:v>2025</c:v>
                </c:pt>
                <c:pt idx="4">
                  <c:v>2026</c:v>
                </c:pt>
                <c:pt idx="5">
                  <c:v>2027</c:v>
                </c:pt>
              </c:numCache>
            </c:numRef>
          </c:cat>
          <c:val>
            <c:numRef>
              <c:f>'Graf 10'!$D$4:$I$4</c:f>
              <c:numCache>
                <c:formatCode>0.0</c:formatCode>
                <c:ptCount val="6"/>
                <c:pt idx="0">
                  <c:v>8.0831836021288517</c:v>
                </c:pt>
                <c:pt idx="1">
                  <c:v>-1.5731536667874191</c:v>
                </c:pt>
                <c:pt idx="2">
                  <c:v>1.2969527726797159</c:v>
                </c:pt>
                <c:pt idx="3">
                  <c:v>3.5712101920882366</c:v>
                </c:pt>
                <c:pt idx="4">
                  <c:v>3.267569260059755</c:v>
                </c:pt>
                <c:pt idx="5">
                  <c:v>2.9537111058087984</c:v>
                </c:pt>
              </c:numCache>
            </c:numRef>
          </c:val>
          <c:smooth val="0"/>
          <c:extLst>
            <c:ext xmlns:c16="http://schemas.microsoft.com/office/drawing/2014/chart" uri="{C3380CC4-5D6E-409C-BE32-E72D297353CC}">
              <c16:uniqueId val="{00000000-B920-4FBB-B41A-31E9AF4F8A47}"/>
            </c:ext>
          </c:extLst>
        </c:ser>
        <c:ser>
          <c:idx val="1"/>
          <c:order val="1"/>
          <c:tx>
            <c:strRef>
              <c:f>'Graf 10'!$C$5</c:f>
              <c:strCache>
                <c:ptCount val="1"/>
                <c:pt idx="0">
                  <c:v>IFP Sep</c:v>
                </c:pt>
              </c:strCache>
            </c:strRef>
          </c:tx>
          <c:spPr>
            <a:ln w="19050" cap="rnd">
              <a:solidFill>
                <a:srgbClr val="2EAAE1"/>
              </a:solidFill>
              <a:prstDash val="solid"/>
              <a:round/>
            </a:ln>
            <a:effectLst/>
          </c:spPr>
          <c:marker>
            <c:symbol val="diamond"/>
            <c:size val="5"/>
            <c:spPr>
              <a:solidFill>
                <a:schemeClr val="bg1"/>
              </a:solidFill>
              <a:ln w="9525">
                <a:solidFill>
                  <a:srgbClr val="2EAAE1"/>
                </a:solidFill>
                <a:prstDash val="solid"/>
              </a:ln>
              <a:effectLst/>
            </c:spPr>
          </c:marker>
          <c:dLbls>
            <c:dLbl>
              <c:idx val="0"/>
              <c:layout>
                <c:manualLayout>
                  <c:x val="2.0751633986928104E-2"/>
                  <c:y val="-3.4699453551912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20-4FBB-B41A-31E9AF4F8A47}"/>
                </c:ext>
              </c:extLst>
            </c:dLbl>
            <c:dLbl>
              <c:idx val="1"/>
              <c:layout>
                <c:manualLayout>
                  <c:x val="-6.2254901960784266E-2"/>
                  <c:y val="-0.156147540983606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20-4FBB-B41A-31E9AF4F8A47}"/>
                </c:ext>
              </c:extLst>
            </c:dLbl>
            <c:dLbl>
              <c:idx val="2"/>
              <c:layout>
                <c:manualLayout>
                  <c:x val="-3.6315359477124186E-2"/>
                  <c:y val="5.7832422586520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20-4FBB-B41A-31E9AF4F8A47}"/>
                </c:ext>
              </c:extLst>
            </c:dLbl>
            <c:dLbl>
              <c:idx val="3"/>
              <c:layout>
                <c:manualLayout>
                  <c:x val="-3.3942810457516341E-2"/>
                  <c:y val="8.0370673952641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20-4FBB-B41A-31E9AF4F8A47}"/>
                </c:ext>
              </c:extLst>
            </c:dLbl>
            <c:dLbl>
              <c:idx val="4"/>
              <c:layout>
                <c:manualLayout>
                  <c:x val="-6.2254901960784315E-2"/>
                  <c:y val="7.7914389799635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20-4FBB-B41A-31E9AF4F8A47}"/>
                </c:ext>
              </c:extLst>
            </c:dLbl>
            <c:dLbl>
              <c:idx val="5"/>
              <c:layout>
                <c:manualLayout>
                  <c:x val="-4.2990196078431374E-2"/>
                  <c:y val="0.10362431693989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20-4FBB-B41A-31E9AF4F8A47}"/>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10'!$D$3:$I$3</c:f>
              <c:numCache>
                <c:formatCode>General</c:formatCode>
                <c:ptCount val="6"/>
                <c:pt idx="0">
                  <c:v>2022</c:v>
                </c:pt>
                <c:pt idx="1">
                  <c:v>2023</c:v>
                </c:pt>
                <c:pt idx="2">
                  <c:v>2024</c:v>
                </c:pt>
                <c:pt idx="3">
                  <c:v>2025</c:v>
                </c:pt>
                <c:pt idx="4">
                  <c:v>2026</c:v>
                </c:pt>
                <c:pt idx="5">
                  <c:v>2027</c:v>
                </c:pt>
              </c:numCache>
            </c:numRef>
          </c:cat>
          <c:val>
            <c:numRef>
              <c:f>'Graf 10'!$D$5:$I$5</c:f>
              <c:numCache>
                <c:formatCode>0.0</c:formatCode>
                <c:ptCount val="6"/>
                <c:pt idx="0">
                  <c:v>8.0567603728124446</c:v>
                </c:pt>
                <c:pt idx="1">
                  <c:v>-1.5194683025339883</c:v>
                </c:pt>
                <c:pt idx="2">
                  <c:v>-0.14083394155531836</c:v>
                </c:pt>
                <c:pt idx="3">
                  <c:v>3.9158638360653919</c:v>
                </c:pt>
                <c:pt idx="4">
                  <c:v>3.3396937646380742</c:v>
                </c:pt>
                <c:pt idx="5">
                  <c:v>2.9341407209241943</c:v>
                </c:pt>
              </c:numCache>
            </c:numRef>
          </c:val>
          <c:smooth val="0"/>
          <c:extLst>
            <c:ext xmlns:c16="http://schemas.microsoft.com/office/drawing/2014/chart" uri="{C3380CC4-5D6E-409C-BE32-E72D297353CC}">
              <c16:uniqueId val="{00000007-B920-4FBB-B41A-31E9AF4F8A47}"/>
            </c:ext>
          </c:extLst>
        </c:ser>
        <c:dLbls>
          <c:showLegendKey val="0"/>
          <c:showVal val="0"/>
          <c:showCatName val="0"/>
          <c:showSerName val="0"/>
          <c:showPercent val="0"/>
          <c:showBubbleSize val="0"/>
        </c:dLbls>
        <c:marker val="1"/>
        <c:smooth val="0"/>
        <c:axId val="852486720"/>
        <c:axId val="852488688"/>
      </c:lineChart>
      <c:catAx>
        <c:axId val="85248672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852488688"/>
        <c:crosses val="autoZero"/>
        <c:auto val="1"/>
        <c:lblAlgn val="ctr"/>
        <c:lblOffset val="100"/>
        <c:noMultiLvlLbl val="0"/>
      </c:catAx>
      <c:valAx>
        <c:axId val="852488688"/>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852486720"/>
        <c:crosses val="autoZero"/>
        <c:crossBetween val="between"/>
      </c:valAx>
      <c:spPr>
        <a:noFill/>
        <a:ln>
          <a:noFill/>
        </a:ln>
        <a:effectLst/>
      </c:spPr>
    </c:plotArea>
    <c:legend>
      <c:legendPos val="t"/>
      <c:layout>
        <c:manualLayout>
          <c:xMode val="edge"/>
          <c:yMode val="edge"/>
          <c:x val="0.15221732026143789"/>
          <c:y val="4.0455828779599294E-2"/>
          <c:w val="0.72875857843137259"/>
          <c:h val="8.549143121815655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38461046027789E-2"/>
          <c:y val="5.8713637576728046E-2"/>
          <c:w val="0.89474527879137067"/>
          <c:h val="0.77642586510153"/>
        </c:manualLayout>
      </c:layout>
      <c:lineChart>
        <c:grouping val="standard"/>
        <c:varyColors val="0"/>
        <c:ser>
          <c:idx val="2"/>
          <c:order val="0"/>
          <c:tx>
            <c:strRef>
              <c:f>'Graf 11 + Tabuľka 1'!$M$10</c:f>
              <c:strCache>
                <c:ptCount val="1"/>
                <c:pt idx="0">
                  <c:v>MoF SR (June)</c:v>
                </c:pt>
              </c:strCache>
            </c:strRef>
          </c:tx>
          <c:spPr>
            <a:ln w="25400">
              <a:solidFill>
                <a:srgbClr val="FF0000"/>
              </a:solidFill>
              <a:prstDash val="dash"/>
            </a:ln>
          </c:spPr>
          <c:marker>
            <c:symbol val="circle"/>
            <c:size val="5"/>
            <c:spPr>
              <a:solidFill>
                <a:srgbClr val="FF0000"/>
              </a:solidFill>
              <a:ln>
                <a:noFill/>
                <a:prstDash val="dash"/>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1'!$N$10:$U$10</c:f>
              <c:numCache>
                <c:formatCode>0.0</c:formatCode>
                <c:ptCount val="8"/>
                <c:pt idx="0">
                  <c:v>2.4903897370727845</c:v>
                </c:pt>
                <c:pt idx="1">
                  <c:v>-2.7371676052152183</c:v>
                </c:pt>
                <c:pt idx="2">
                  <c:v>0.22727974492671166</c:v>
                </c:pt>
                <c:pt idx="3">
                  <c:v>0.28516617347584816</c:v>
                </c:pt>
                <c:pt idx="4">
                  <c:v>-0.5061520888271942</c:v>
                </c:pt>
                <c:pt idx="5">
                  <c:v>-0.31830273935294917</c:v>
                </c:pt>
                <c:pt idx="6">
                  <c:v>-7.7618452206551503E-3</c:v>
                </c:pt>
                <c:pt idx="7">
                  <c:v>-0.26522811026045146</c:v>
                </c:pt>
              </c:numCache>
            </c:numRef>
          </c:val>
          <c:smooth val="0"/>
          <c:extLst>
            <c:ext xmlns:c16="http://schemas.microsoft.com/office/drawing/2014/chart" uri="{C3380CC4-5D6E-409C-BE32-E72D297353CC}">
              <c16:uniqueId val="{00000000-F0C8-494F-98F2-3F08EBBC0243}"/>
            </c:ext>
          </c:extLst>
        </c:ser>
        <c:ser>
          <c:idx val="1"/>
          <c:order val="1"/>
          <c:tx>
            <c:strRef>
              <c:f>'Graf 11 + Tabuľka 1'!$M$9</c:f>
              <c:strCache>
                <c:ptCount val="1"/>
                <c:pt idx="0">
                  <c:v>NBS (October)</c:v>
                </c:pt>
              </c:strCache>
            </c:strRef>
          </c:tx>
          <c:spPr>
            <a:ln w="25400">
              <a:solidFill>
                <a:srgbClr val="2C9ADC"/>
              </a:solidFill>
              <a:prstDash val="solid"/>
            </a:ln>
          </c:spPr>
          <c:marker>
            <c:symbol val="circle"/>
            <c:size val="5"/>
            <c:spPr>
              <a:solidFill>
                <a:srgbClr val="2C9ADC"/>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1'!$N$9:$U$9</c:f>
              <c:numCache>
                <c:formatCode>0.0</c:formatCode>
                <c:ptCount val="8"/>
                <c:pt idx="0">
                  <c:v>1.2594000000000001</c:v>
                </c:pt>
                <c:pt idx="1">
                  <c:v>-3.2467000000000001</c:v>
                </c:pt>
                <c:pt idx="2">
                  <c:v>1.0169999999999999</c:v>
                </c:pt>
                <c:pt idx="3">
                  <c:v>1.2887</c:v>
                </c:pt>
                <c:pt idx="4">
                  <c:v>0.2</c:v>
                </c:pt>
                <c:pt idx="5">
                  <c:v>-0.1</c:v>
                </c:pt>
                <c:pt idx="6">
                  <c:v>-0.2</c:v>
                </c:pt>
                <c:pt idx="7">
                  <c:v>-0.4</c:v>
                </c:pt>
              </c:numCache>
            </c:numRef>
          </c:val>
          <c:smooth val="0"/>
          <c:extLst>
            <c:ext xmlns:c16="http://schemas.microsoft.com/office/drawing/2014/chart" uri="{C3380CC4-5D6E-409C-BE32-E72D297353CC}">
              <c16:uniqueId val="{00000001-F0C8-494F-98F2-3F08EBBC0243}"/>
            </c:ext>
          </c:extLst>
        </c:ser>
        <c:ser>
          <c:idx val="0"/>
          <c:order val="2"/>
          <c:tx>
            <c:strRef>
              <c:f>'Graf 11 + Tabuľka 1'!$M$8</c:f>
              <c:strCache>
                <c:ptCount val="1"/>
                <c:pt idx="0">
                  <c:v>MoF SR (Sept)</c:v>
                </c:pt>
              </c:strCache>
            </c:strRef>
          </c:tx>
          <c:spPr>
            <a:ln w="25400">
              <a:solidFill>
                <a:srgbClr val="FF0000"/>
              </a:solidFill>
              <a:prstDash val="solid"/>
            </a:ln>
          </c:spPr>
          <c:marker>
            <c:symbol val="circle"/>
            <c:size val="5"/>
            <c:spPr>
              <a:solidFill>
                <a:srgbClr val="FF0000"/>
              </a:solidFill>
              <a:ln>
                <a:noFill/>
                <a:prstDash val="solid"/>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1'!$N$8:$U$8</c:f>
              <c:numCache>
                <c:formatCode>0.0</c:formatCode>
                <c:ptCount val="8"/>
                <c:pt idx="0">
                  <c:v>2.4904522219063585</c:v>
                </c:pt>
                <c:pt idx="1">
                  <c:v>-2.7369207813028429</c:v>
                </c:pt>
                <c:pt idx="2">
                  <c:v>0.22711301197748668</c:v>
                </c:pt>
                <c:pt idx="3">
                  <c:v>0.28610354967901763</c:v>
                </c:pt>
                <c:pt idx="4">
                  <c:v>-0.5102842501479854</c:v>
                </c:pt>
                <c:pt idx="5">
                  <c:v>-0.5335595221386602</c:v>
                </c:pt>
                <c:pt idx="6">
                  <c:v>-0.56420527405601772</c:v>
                </c:pt>
                <c:pt idx="7">
                  <c:v>-0.45075095264367482</c:v>
                </c:pt>
              </c:numCache>
            </c:numRef>
          </c:val>
          <c:smooth val="0"/>
          <c:extLst>
            <c:ext xmlns:c16="http://schemas.microsoft.com/office/drawing/2014/chart" uri="{C3380CC4-5D6E-409C-BE32-E72D297353CC}">
              <c16:uniqueId val="{00000002-F0C8-494F-98F2-3F08EBBC0243}"/>
            </c:ext>
          </c:extLst>
        </c:ser>
        <c:ser>
          <c:idx val="3"/>
          <c:order val="3"/>
          <c:tx>
            <c:strRef>
              <c:f>'Graf 11 + Tabuľka 1'!$M$11</c:f>
              <c:strCache>
                <c:ptCount val="1"/>
                <c:pt idx="0">
                  <c:v>EC (May)</c:v>
                </c:pt>
              </c:strCache>
            </c:strRef>
          </c:tx>
          <c:spPr>
            <a:ln w="25400">
              <a:solidFill>
                <a:sysClr val="windowText" lastClr="000000"/>
              </a:solidFill>
              <a:prstDash val="sysDash"/>
            </a:ln>
          </c:spPr>
          <c:marker>
            <c:symbol val="circle"/>
            <c:size val="5"/>
            <c:spPr>
              <a:solidFill>
                <a:sysClr val="windowText" lastClr="000000"/>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1'!$N$11:$U$11</c:f>
              <c:numCache>
                <c:formatCode>0.0</c:formatCode>
                <c:ptCount val="8"/>
                <c:pt idx="0">
                  <c:v>1.9715206492669557</c:v>
                </c:pt>
                <c:pt idx="1">
                  <c:v>-2.7425938373516923</c:v>
                </c:pt>
                <c:pt idx="2">
                  <c:v>0.35991408706246286</c:v>
                </c:pt>
                <c:pt idx="3">
                  <c:v>0.56571798704809773</c:v>
                </c:pt>
                <c:pt idx="4">
                  <c:v>-0.58541681099330001</c:v>
                </c:pt>
                <c:pt idx="5">
                  <c:v>-0.68622420368651404</c:v>
                </c:pt>
                <c:pt idx="6">
                  <c:v>-0.25421829838251364</c:v>
                </c:pt>
                <c:pt idx="7">
                  <c:v>-0.16947886558842384</c:v>
                </c:pt>
              </c:numCache>
            </c:numRef>
          </c:val>
          <c:smooth val="0"/>
          <c:extLst>
            <c:ext xmlns:c16="http://schemas.microsoft.com/office/drawing/2014/chart" uri="{C3380CC4-5D6E-409C-BE32-E72D297353CC}">
              <c16:uniqueId val="{00000003-F0C8-494F-98F2-3F08EBBC0243}"/>
            </c:ext>
          </c:extLst>
        </c:ser>
        <c:dLbls>
          <c:showLegendKey val="0"/>
          <c:showVal val="0"/>
          <c:showCatName val="0"/>
          <c:showSerName val="0"/>
          <c:showPercent val="0"/>
          <c:showBubbleSize val="0"/>
        </c:dLbls>
        <c:marker val="1"/>
        <c:smooth val="0"/>
        <c:axId val="680224696"/>
        <c:axId val="680225088"/>
      </c:lineChart>
      <c:catAx>
        <c:axId val="680224696"/>
        <c:scaling>
          <c:orientation val="minMax"/>
        </c:scaling>
        <c:delete val="0"/>
        <c:axPos val="b"/>
        <c:numFmt formatCode="General" sourceLinked="0"/>
        <c:majorTickMark val="none"/>
        <c:minorTickMark val="none"/>
        <c:tickLblPos val="low"/>
        <c:spPr>
          <a:ln w="12700">
            <a:solidFill>
              <a:srgbClr val="676868"/>
            </a:solidFill>
          </a:ln>
        </c:spPr>
        <c:txPr>
          <a:bodyPr rot="-5400000" vert="horz"/>
          <a:lstStyle/>
          <a:p>
            <a:pPr>
              <a:defRPr/>
            </a:pPr>
            <a:endParaRPr lang="sk-SK"/>
          </a:p>
        </c:txPr>
        <c:crossAx val="680225088"/>
        <c:crosses val="autoZero"/>
        <c:auto val="1"/>
        <c:lblAlgn val="ctr"/>
        <c:lblOffset val="100"/>
        <c:noMultiLvlLbl val="0"/>
      </c:catAx>
      <c:valAx>
        <c:axId val="680225088"/>
        <c:scaling>
          <c:orientation val="minMax"/>
        </c:scaling>
        <c:delete val="0"/>
        <c:axPos val="l"/>
        <c:majorGridlines>
          <c:spPr>
            <a:ln w="3175">
              <a:solidFill>
                <a:srgbClr val="676868">
                  <a:alpha val="25000"/>
                </a:srgbClr>
              </a:solidFill>
              <a:prstDash val="sysDot"/>
            </a:ln>
          </c:spPr>
        </c:majorGridlines>
        <c:numFmt formatCode="0.0" sourceLinked="1"/>
        <c:majorTickMark val="out"/>
        <c:minorTickMark val="none"/>
        <c:tickLblPos val="nextTo"/>
        <c:spPr>
          <a:ln>
            <a:noFill/>
          </a:ln>
        </c:spPr>
        <c:crossAx val="680224696"/>
        <c:crosses val="autoZero"/>
        <c:crossBetween val="between"/>
      </c:valAx>
      <c:spPr>
        <a:noFill/>
      </c:spPr>
    </c:plotArea>
    <c:legend>
      <c:legendPos val="r"/>
      <c:layout>
        <c:manualLayout>
          <c:xMode val="edge"/>
          <c:yMode val="edge"/>
          <c:x val="0.34217629864117727"/>
          <c:y val="0.52115098903269597"/>
          <c:w val="0.48858949403475976"/>
          <c:h val="0.31303657098907478"/>
        </c:manualLayout>
      </c:layout>
      <c:overlay val="1"/>
    </c:legend>
    <c:plotVisOnly val="1"/>
    <c:dispBlanksAs val="gap"/>
    <c:showDLblsOverMax val="0"/>
  </c:chart>
  <c:spPr>
    <a:noFill/>
    <a:ln>
      <a:noFill/>
    </a:ln>
  </c:spPr>
  <c:txPr>
    <a:bodyPr/>
    <a:lstStyle/>
    <a:p>
      <a:pPr>
        <a:defRPr sz="1000">
          <a:latin typeface="Arial Narrow" panose="020B0606020202030204" pitchFamily="34"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721935475768875E-2"/>
          <c:y val="5.7516339869281043E-2"/>
          <c:w val="0.89675972321641617"/>
          <c:h val="0.78098502393083213"/>
        </c:manualLayout>
      </c:layout>
      <c:lineChart>
        <c:grouping val="standard"/>
        <c:varyColors val="0"/>
        <c:ser>
          <c:idx val="2"/>
          <c:order val="0"/>
          <c:tx>
            <c:strRef>
              <c:f>'Graf 11 + Tabuľka 1'!$L$10</c:f>
              <c:strCache>
                <c:ptCount val="1"/>
                <c:pt idx="0">
                  <c:v>MFSR (Jún)</c:v>
                </c:pt>
              </c:strCache>
            </c:strRef>
          </c:tx>
          <c:spPr>
            <a:ln w="25400">
              <a:solidFill>
                <a:srgbClr val="FF0000"/>
              </a:solidFill>
              <a:prstDash val="sysDash"/>
            </a:ln>
          </c:spPr>
          <c:marker>
            <c:symbol val="circle"/>
            <c:size val="5"/>
            <c:spPr>
              <a:solidFill>
                <a:srgbClr val="FF0000"/>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1'!$N$10:$U$10</c:f>
              <c:numCache>
                <c:formatCode>0.0</c:formatCode>
                <c:ptCount val="8"/>
                <c:pt idx="0">
                  <c:v>2.4903897370727845</c:v>
                </c:pt>
                <c:pt idx="1">
                  <c:v>-2.7371676052152183</c:v>
                </c:pt>
                <c:pt idx="2">
                  <c:v>0.22727974492671166</c:v>
                </c:pt>
                <c:pt idx="3">
                  <c:v>0.28516617347584816</c:v>
                </c:pt>
                <c:pt idx="4">
                  <c:v>-0.5061520888271942</c:v>
                </c:pt>
                <c:pt idx="5">
                  <c:v>-0.31830273935294917</c:v>
                </c:pt>
                <c:pt idx="6">
                  <c:v>-7.7618452206551503E-3</c:v>
                </c:pt>
                <c:pt idx="7">
                  <c:v>-0.26522811026045146</c:v>
                </c:pt>
              </c:numCache>
            </c:numRef>
          </c:val>
          <c:smooth val="0"/>
          <c:extLst>
            <c:ext xmlns:c16="http://schemas.microsoft.com/office/drawing/2014/chart" uri="{C3380CC4-5D6E-409C-BE32-E72D297353CC}">
              <c16:uniqueId val="{00000000-DA81-44E6-BD69-F74FFE0C48C8}"/>
            </c:ext>
          </c:extLst>
        </c:ser>
        <c:ser>
          <c:idx val="1"/>
          <c:order val="1"/>
          <c:tx>
            <c:strRef>
              <c:f>'Graf 11 + Tabuľka 1'!$L$9</c:f>
              <c:strCache>
                <c:ptCount val="1"/>
                <c:pt idx="0">
                  <c:v>NBS (Október)</c:v>
                </c:pt>
              </c:strCache>
            </c:strRef>
          </c:tx>
          <c:spPr>
            <a:ln w="25400">
              <a:solidFill>
                <a:srgbClr val="2C9ADC"/>
              </a:solidFill>
              <a:prstDash val="solid"/>
            </a:ln>
          </c:spPr>
          <c:marker>
            <c:symbol val="circle"/>
            <c:size val="5"/>
            <c:spPr>
              <a:solidFill>
                <a:srgbClr val="2C9ADC"/>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1'!$N$9:$U$9</c:f>
              <c:numCache>
                <c:formatCode>0.0</c:formatCode>
                <c:ptCount val="8"/>
                <c:pt idx="0">
                  <c:v>1.2594000000000001</c:v>
                </c:pt>
                <c:pt idx="1">
                  <c:v>-3.2467000000000001</c:v>
                </c:pt>
                <c:pt idx="2">
                  <c:v>1.0169999999999999</c:v>
                </c:pt>
                <c:pt idx="3">
                  <c:v>1.2887</c:v>
                </c:pt>
                <c:pt idx="4">
                  <c:v>0.2</c:v>
                </c:pt>
                <c:pt idx="5">
                  <c:v>-0.1</c:v>
                </c:pt>
                <c:pt idx="6">
                  <c:v>-0.2</c:v>
                </c:pt>
                <c:pt idx="7">
                  <c:v>-0.4</c:v>
                </c:pt>
              </c:numCache>
            </c:numRef>
          </c:val>
          <c:smooth val="0"/>
          <c:extLst>
            <c:ext xmlns:c16="http://schemas.microsoft.com/office/drawing/2014/chart" uri="{C3380CC4-5D6E-409C-BE32-E72D297353CC}">
              <c16:uniqueId val="{00000001-DA81-44E6-BD69-F74FFE0C48C8}"/>
            </c:ext>
          </c:extLst>
        </c:ser>
        <c:ser>
          <c:idx val="0"/>
          <c:order val="2"/>
          <c:tx>
            <c:strRef>
              <c:f>'Graf 11 + Tabuľka 1'!$L$8</c:f>
              <c:strCache>
                <c:ptCount val="1"/>
                <c:pt idx="0">
                  <c:v>MFSR (Sept)</c:v>
                </c:pt>
              </c:strCache>
            </c:strRef>
          </c:tx>
          <c:spPr>
            <a:ln w="25400">
              <a:solidFill>
                <a:srgbClr val="FF0000"/>
              </a:solidFill>
              <a:prstDash val="solid"/>
            </a:ln>
          </c:spPr>
          <c:marker>
            <c:symbol val="circle"/>
            <c:size val="5"/>
            <c:spPr>
              <a:solidFill>
                <a:srgbClr val="FF0000"/>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1'!$N$8:$U$8</c:f>
              <c:numCache>
                <c:formatCode>0.0</c:formatCode>
                <c:ptCount val="8"/>
                <c:pt idx="0">
                  <c:v>2.4904522219063585</c:v>
                </c:pt>
                <c:pt idx="1">
                  <c:v>-2.7369207813028429</c:v>
                </c:pt>
                <c:pt idx="2">
                  <c:v>0.22711301197748668</c:v>
                </c:pt>
                <c:pt idx="3">
                  <c:v>0.28610354967901763</c:v>
                </c:pt>
                <c:pt idx="4">
                  <c:v>-0.5102842501479854</c:v>
                </c:pt>
                <c:pt idx="5">
                  <c:v>-0.5335595221386602</c:v>
                </c:pt>
                <c:pt idx="6">
                  <c:v>-0.56420527405601772</c:v>
                </c:pt>
                <c:pt idx="7">
                  <c:v>-0.45075095264367482</c:v>
                </c:pt>
              </c:numCache>
            </c:numRef>
          </c:val>
          <c:smooth val="0"/>
          <c:extLst>
            <c:ext xmlns:c16="http://schemas.microsoft.com/office/drawing/2014/chart" uri="{C3380CC4-5D6E-409C-BE32-E72D297353CC}">
              <c16:uniqueId val="{00000002-DA81-44E6-BD69-F74FFE0C48C8}"/>
            </c:ext>
          </c:extLst>
        </c:ser>
        <c:ser>
          <c:idx val="3"/>
          <c:order val="3"/>
          <c:tx>
            <c:strRef>
              <c:f>'Graf 11 + Tabuľka 1'!$L$11</c:f>
              <c:strCache>
                <c:ptCount val="1"/>
                <c:pt idx="0">
                  <c:v>EK (Máj)</c:v>
                </c:pt>
              </c:strCache>
            </c:strRef>
          </c:tx>
          <c:spPr>
            <a:ln w="25400">
              <a:solidFill>
                <a:sysClr val="windowText" lastClr="000000"/>
              </a:solidFill>
              <a:prstDash val="sysDash"/>
            </a:ln>
          </c:spPr>
          <c:marker>
            <c:symbol val="circle"/>
            <c:size val="5"/>
            <c:spPr>
              <a:solidFill>
                <a:sysClr val="windowText" lastClr="000000"/>
              </a:solidFill>
              <a:ln>
                <a:noFill/>
              </a:ln>
            </c:spPr>
          </c:marker>
          <c:cat>
            <c:numRef>
              <c:f>'Graf 11 + Tabuľka 1'!$N$7:$U$7</c:f>
              <c:numCache>
                <c:formatCode>General</c:formatCode>
                <c:ptCount val="8"/>
                <c:pt idx="0">
                  <c:v>2019</c:v>
                </c:pt>
                <c:pt idx="1">
                  <c:v>2020</c:v>
                </c:pt>
                <c:pt idx="2">
                  <c:v>2021</c:v>
                </c:pt>
                <c:pt idx="3">
                  <c:v>2022</c:v>
                </c:pt>
                <c:pt idx="4">
                  <c:v>2023</c:v>
                </c:pt>
                <c:pt idx="5">
                  <c:v>2024</c:v>
                </c:pt>
                <c:pt idx="6">
                  <c:v>2025</c:v>
                </c:pt>
                <c:pt idx="7">
                  <c:v>2026</c:v>
                </c:pt>
              </c:numCache>
            </c:numRef>
          </c:cat>
          <c:val>
            <c:numRef>
              <c:f>'Graf 11 + Tabuľka 1'!$N$11:$U$11</c:f>
              <c:numCache>
                <c:formatCode>0.0</c:formatCode>
                <c:ptCount val="8"/>
                <c:pt idx="0">
                  <c:v>1.9715206492669557</c:v>
                </c:pt>
                <c:pt idx="1">
                  <c:v>-2.7425938373516923</c:v>
                </c:pt>
                <c:pt idx="2">
                  <c:v>0.35991408706246286</c:v>
                </c:pt>
                <c:pt idx="3">
                  <c:v>0.56571798704809773</c:v>
                </c:pt>
                <c:pt idx="4">
                  <c:v>-0.58541681099330001</c:v>
                </c:pt>
                <c:pt idx="5">
                  <c:v>-0.68622420368651404</c:v>
                </c:pt>
                <c:pt idx="6">
                  <c:v>-0.25421829838251364</c:v>
                </c:pt>
                <c:pt idx="7">
                  <c:v>-0.16947886558842384</c:v>
                </c:pt>
              </c:numCache>
            </c:numRef>
          </c:val>
          <c:smooth val="0"/>
          <c:extLst>
            <c:ext xmlns:c16="http://schemas.microsoft.com/office/drawing/2014/chart" uri="{C3380CC4-5D6E-409C-BE32-E72D297353CC}">
              <c16:uniqueId val="{00000003-DA81-44E6-BD69-F74FFE0C48C8}"/>
            </c:ext>
          </c:extLst>
        </c:ser>
        <c:dLbls>
          <c:showLegendKey val="0"/>
          <c:showVal val="0"/>
          <c:showCatName val="0"/>
          <c:showSerName val="0"/>
          <c:showPercent val="0"/>
          <c:showBubbleSize val="0"/>
        </c:dLbls>
        <c:marker val="1"/>
        <c:smooth val="0"/>
        <c:axId val="680225872"/>
        <c:axId val="680226264"/>
      </c:lineChart>
      <c:catAx>
        <c:axId val="680225872"/>
        <c:scaling>
          <c:orientation val="minMax"/>
        </c:scaling>
        <c:delete val="0"/>
        <c:axPos val="b"/>
        <c:numFmt formatCode="General" sourceLinked="0"/>
        <c:majorTickMark val="none"/>
        <c:minorTickMark val="none"/>
        <c:tickLblPos val="low"/>
        <c:spPr>
          <a:ln w="12700">
            <a:solidFill>
              <a:srgbClr val="676868"/>
            </a:solidFill>
          </a:ln>
        </c:spPr>
        <c:txPr>
          <a:bodyPr rot="-5400000" vert="horz"/>
          <a:lstStyle/>
          <a:p>
            <a:pPr>
              <a:defRPr/>
            </a:pPr>
            <a:endParaRPr lang="sk-SK"/>
          </a:p>
        </c:txPr>
        <c:crossAx val="680226264"/>
        <c:crosses val="autoZero"/>
        <c:auto val="1"/>
        <c:lblAlgn val="ctr"/>
        <c:lblOffset val="100"/>
        <c:noMultiLvlLbl val="0"/>
      </c:catAx>
      <c:valAx>
        <c:axId val="680226264"/>
        <c:scaling>
          <c:orientation val="minMax"/>
        </c:scaling>
        <c:delete val="0"/>
        <c:axPos val="l"/>
        <c:majorGridlines>
          <c:spPr>
            <a:ln w="3175">
              <a:solidFill>
                <a:srgbClr val="676868">
                  <a:alpha val="25000"/>
                </a:srgbClr>
              </a:solidFill>
              <a:prstDash val="sysDot"/>
            </a:ln>
          </c:spPr>
        </c:majorGridlines>
        <c:numFmt formatCode="0.0" sourceLinked="1"/>
        <c:majorTickMark val="out"/>
        <c:minorTickMark val="none"/>
        <c:tickLblPos val="nextTo"/>
        <c:spPr>
          <a:ln>
            <a:noFill/>
          </a:ln>
        </c:spPr>
        <c:crossAx val="680225872"/>
        <c:crosses val="autoZero"/>
        <c:crossBetween val="between"/>
      </c:valAx>
      <c:spPr>
        <a:noFill/>
      </c:spPr>
    </c:plotArea>
    <c:legend>
      <c:legendPos val="r"/>
      <c:layout>
        <c:manualLayout>
          <c:xMode val="edge"/>
          <c:yMode val="edge"/>
          <c:x val="0.41292008711676992"/>
          <c:y val="0.5432704441356595"/>
          <c:w val="0.34327699623321145"/>
          <c:h val="0.26080016468529671"/>
        </c:manualLayout>
      </c:layout>
      <c:overlay val="1"/>
    </c:legend>
    <c:plotVisOnly val="1"/>
    <c:dispBlanksAs val="gap"/>
    <c:showDLblsOverMax val="0"/>
  </c:chart>
  <c:spPr>
    <a:noFill/>
    <a:ln>
      <a:noFill/>
    </a:ln>
  </c:spPr>
  <c:txPr>
    <a:bodyPr/>
    <a:lstStyle/>
    <a:p>
      <a:pPr>
        <a:defRPr sz="1000">
          <a:latin typeface="Arial Narrow" panose="020B0606020202030204" pitchFamily="34" charset="0"/>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A9DAF0"/>
            </a:solidFill>
            <a:ln>
              <a:noFill/>
            </a:ln>
            <a:effectLst/>
          </c:spPr>
          <c:invertIfNegative val="0"/>
          <c:dPt>
            <c:idx val="0"/>
            <c:invertIfNegative val="0"/>
            <c:bubble3D val="0"/>
            <c:spPr>
              <a:solidFill>
                <a:srgbClr val="686767"/>
              </a:solidFill>
              <a:ln w="19050">
                <a:solidFill>
                  <a:sysClr val="windowText" lastClr="000000"/>
                </a:solidFill>
              </a:ln>
              <a:effectLst/>
            </c:spPr>
            <c:extLst>
              <c:ext xmlns:c16="http://schemas.microsoft.com/office/drawing/2014/chart" uri="{C3380CC4-5D6E-409C-BE32-E72D297353CC}">
                <c16:uniqueId val="{00000001-3CD1-462A-A565-1A3E023095C7}"/>
              </c:ext>
            </c:extLst>
          </c:dPt>
          <c:dPt>
            <c:idx val="1"/>
            <c:invertIfNegative val="0"/>
            <c:bubble3D val="0"/>
            <c:spPr>
              <a:solidFill>
                <a:srgbClr val="C3C2C2"/>
              </a:solidFill>
              <a:ln>
                <a:solidFill>
                  <a:sysClr val="windowText" lastClr="000000"/>
                </a:solidFill>
              </a:ln>
              <a:effectLst/>
            </c:spPr>
            <c:extLst>
              <c:ext xmlns:c16="http://schemas.microsoft.com/office/drawing/2014/chart" uri="{C3380CC4-5D6E-409C-BE32-E72D297353CC}">
                <c16:uniqueId val="{00000003-3CD1-462A-A565-1A3E023095C7}"/>
              </c:ext>
            </c:extLst>
          </c:dPt>
          <c:dPt>
            <c:idx val="2"/>
            <c:invertIfNegative val="0"/>
            <c:bubble3D val="0"/>
            <c:spPr>
              <a:solidFill>
                <a:srgbClr val="A6A6A6"/>
              </a:solidFill>
              <a:ln w="19050">
                <a:noFill/>
              </a:ln>
              <a:effectLst/>
            </c:spPr>
            <c:extLst>
              <c:ext xmlns:c16="http://schemas.microsoft.com/office/drawing/2014/chart" uri="{C3380CC4-5D6E-409C-BE32-E72D297353CC}">
                <c16:uniqueId val="{00000006-D68C-4875-8EF3-57E68FD7ED0E}"/>
              </c:ext>
            </c:extLst>
          </c:dPt>
          <c:dPt>
            <c:idx val="3"/>
            <c:invertIfNegative val="0"/>
            <c:bubble3D val="0"/>
            <c:spPr>
              <a:solidFill>
                <a:srgbClr val="A9DAF0"/>
              </a:solidFill>
              <a:ln w="19050">
                <a:solidFill>
                  <a:schemeClr val="tx1"/>
                </a:solidFill>
              </a:ln>
              <a:effectLst/>
            </c:spPr>
            <c:extLst>
              <c:ext xmlns:c16="http://schemas.microsoft.com/office/drawing/2014/chart" uri="{C3380CC4-5D6E-409C-BE32-E72D297353CC}">
                <c16:uniqueId val="{00000005-3CD1-462A-A565-1A3E023095C7}"/>
              </c:ext>
            </c:extLst>
          </c:dPt>
          <c:dPt>
            <c:idx val="4"/>
            <c:invertIfNegative val="0"/>
            <c:bubble3D val="0"/>
            <c:spPr>
              <a:solidFill>
                <a:srgbClr val="2EAAE1"/>
              </a:solidFill>
              <a:ln>
                <a:solidFill>
                  <a:schemeClr val="tx1"/>
                </a:solidFill>
              </a:ln>
              <a:effectLst/>
            </c:spPr>
            <c:extLst>
              <c:ext xmlns:c16="http://schemas.microsoft.com/office/drawing/2014/chart" uri="{C3380CC4-5D6E-409C-BE32-E72D297353CC}">
                <c16:uniqueId val="{00000008-46B6-46A2-9F58-5E8F27978174}"/>
              </c:ext>
            </c:extLst>
          </c:dPt>
          <c:dLbls>
            <c:dLbl>
              <c:idx val="0"/>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1-3CD1-462A-A565-1A3E023095C7}"/>
                </c:ext>
              </c:extLst>
            </c:dLbl>
            <c:dLbl>
              <c:idx val="3"/>
              <c:spPr>
                <a:no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5-3CD1-462A-A565-1A3E023095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12 + 13'!$C$34:$C$44</c:f>
              <c:strCache>
                <c:ptCount val="11"/>
                <c:pt idx="0">
                  <c:v>Total revenue</c:v>
                </c:pt>
                <c:pt idx="1">
                  <c:v>Tax revenue forecasted by the Committee</c:v>
                </c:pt>
                <c:pt idx="2">
                  <c:v>Nontax revenue</c:v>
                </c:pt>
                <c:pt idx="3">
                  <c:v>Total expenses</c:v>
                </c:pt>
                <c:pt idx="4">
                  <c:v>Wages and salaries</c:v>
                </c:pt>
                <c:pt idx="5">
                  <c:v>Intermediate consumption</c:v>
                </c:pt>
                <c:pt idx="6">
                  <c:v>Interest expenses</c:v>
                </c:pt>
                <c:pt idx="7">
                  <c:v>Social transfers outside the health sector</c:v>
                </c:pt>
                <c:pt idx="8">
                  <c:v>Health expenditure</c:v>
                </c:pt>
                <c:pt idx="9">
                  <c:v>Other current transfers</c:v>
                </c:pt>
                <c:pt idx="10">
                  <c:v>Capital expenditure</c:v>
                </c:pt>
              </c:strCache>
            </c:strRef>
          </c:cat>
          <c:val>
            <c:numRef>
              <c:f>'Graf 12 + 13'!$D$34:$D$44</c:f>
              <c:numCache>
                <c:formatCode>0.0</c:formatCode>
                <c:ptCount val="11"/>
                <c:pt idx="0">
                  <c:v>6.1716161062452999</c:v>
                </c:pt>
                <c:pt idx="1">
                  <c:v>8.4447009706329688</c:v>
                </c:pt>
                <c:pt idx="2">
                  <c:v>3.9784195223584415</c:v>
                </c:pt>
                <c:pt idx="3">
                  <c:v>7.1106900430175184</c:v>
                </c:pt>
                <c:pt idx="4">
                  <c:v>6.6300892387528494</c:v>
                </c:pt>
                <c:pt idx="5">
                  <c:v>11.184398784921918</c:v>
                </c:pt>
                <c:pt idx="6">
                  <c:v>32.06260969525561</c:v>
                </c:pt>
                <c:pt idx="7">
                  <c:v>9.7240937338824658</c:v>
                </c:pt>
                <c:pt idx="8">
                  <c:v>23.808359873557816</c:v>
                </c:pt>
                <c:pt idx="9">
                  <c:v>0.35192559933538253</c:v>
                </c:pt>
                <c:pt idx="10">
                  <c:v>2.5798102881243845</c:v>
                </c:pt>
              </c:numCache>
            </c:numRef>
          </c:val>
          <c:extLst>
            <c:ext xmlns:c16="http://schemas.microsoft.com/office/drawing/2014/chart" uri="{C3380CC4-5D6E-409C-BE32-E72D297353CC}">
              <c16:uniqueId val="{00000006-3CD1-462A-A565-1A3E023095C7}"/>
            </c:ext>
          </c:extLst>
        </c:ser>
        <c:dLbls>
          <c:showLegendKey val="0"/>
          <c:showVal val="0"/>
          <c:showCatName val="0"/>
          <c:showSerName val="0"/>
          <c:showPercent val="0"/>
          <c:showBubbleSize val="0"/>
        </c:dLbls>
        <c:gapWidth val="182"/>
        <c:axId val="465971872"/>
        <c:axId val="465973512"/>
      </c:barChart>
      <c:catAx>
        <c:axId val="465971872"/>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3512"/>
        <c:crosses val="autoZero"/>
        <c:auto val="1"/>
        <c:lblAlgn val="ctr"/>
        <c:lblOffset val="100"/>
        <c:noMultiLvlLbl val="0"/>
      </c:catAx>
      <c:valAx>
        <c:axId val="465973512"/>
        <c:scaling>
          <c:orientation val="minMax"/>
          <c:max val="35"/>
          <c:min val="0"/>
        </c:scaling>
        <c:delete val="0"/>
        <c:axPos val="l"/>
        <c:majorGridlines>
          <c:spPr>
            <a:ln w="3175" cap="flat" cmpd="sng" algn="ctr">
              <a:solidFill>
                <a:srgbClr val="676868">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40000"/>
                <a:lumOff val="60000"/>
              </a:schemeClr>
            </a:solidFill>
            <a:ln>
              <a:noFill/>
            </a:ln>
            <a:effectLst/>
          </c:spPr>
          <c:invertIfNegative val="0"/>
          <c:dPt>
            <c:idx val="0"/>
            <c:invertIfNegative val="0"/>
            <c:bubble3D val="0"/>
            <c:spPr>
              <a:solidFill>
                <a:srgbClr val="686767"/>
              </a:solidFill>
              <a:ln w="19050">
                <a:solidFill>
                  <a:sysClr val="windowText" lastClr="000000"/>
                </a:solidFill>
              </a:ln>
              <a:effectLst/>
            </c:spPr>
            <c:extLst>
              <c:ext xmlns:c16="http://schemas.microsoft.com/office/drawing/2014/chart" uri="{C3380CC4-5D6E-409C-BE32-E72D297353CC}">
                <c16:uniqueId val="{00000001-437F-42A1-A950-78DE2705EAFC}"/>
              </c:ext>
            </c:extLst>
          </c:dPt>
          <c:dPt>
            <c:idx val="1"/>
            <c:invertIfNegative val="0"/>
            <c:bubble3D val="0"/>
            <c:spPr>
              <a:solidFill>
                <a:schemeClr val="bg1">
                  <a:lumMod val="75000"/>
                </a:schemeClr>
              </a:solidFill>
              <a:ln>
                <a:solidFill>
                  <a:sysClr val="windowText" lastClr="000000"/>
                </a:solidFill>
              </a:ln>
              <a:effectLst/>
            </c:spPr>
            <c:extLst>
              <c:ext xmlns:c16="http://schemas.microsoft.com/office/drawing/2014/chart" uri="{C3380CC4-5D6E-409C-BE32-E72D297353CC}">
                <c16:uniqueId val="{00000003-437F-42A1-A950-78DE2705EAFC}"/>
              </c:ext>
            </c:extLst>
          </c:dPt>
          <c:dPt>
            <c:idx val="2"/>
            <c:invertIfNegative val="0"/>
            <c:bubble3D val="0"/>
            <c:spPr>
              <a:solidFill>
                <a:srgbClr val="A6A6A6"/>
              </a:solidFill>
              <a:ln w="19050">
                <a:noFill/>
              </a:ln>
              <a:effectLst/>
            </c:spPr>
            <c:extLst>
              <c:ext xmlns:c16="http://schemas.microsoft.com/office/drawing/2014/chart" uri="{C3380CC4-5D6E-409C-BE32-E72D297353CC}">
                <c16:uniqueId val="{00000006-C84E-41F2-A203-024DB88AA617}"/>
              </c:ext>
            </c:extLst>
          </c:dPt>
          <c:dPt>
            <c:idx val="3"/>
            <c:invertIfNegative val="0"/>
            <c:bubble3D val="0"/>
            <c:spPr>
              <a:solidFill>
                <a:srgbClr val="A9DAF0"/>
              </a:solidFill>
              <a:ln w="19050">
                <a:solidFill>
                  <a:srgbClr val="000000"/>
                </a:solidFill>
              </a:ln>
              <a:effectLst/>
            </c:spPr>
            <c:extLst>
              <c:ext xmlns:c16="http://schemas.microsoft.com/office/drawing/2014/chart" uri="{C3380CC4-5D6E-409C-BE32-E72D297353CC}">
                <c16:uniqueId val="{00000005-437F-42A1-A950-78DE2705EAFC}"/>
              </c:ext>
            </c:extLst>
          </c:dPt>
          <c:dPt>
            <c:idx val="4"/>
            <c:invertIfNegative val="0"/>
            <c:bubble3D val="0"/>
            <c:spPr>
              <a:solidFill>
                <a:srgbClr val="2EAAE1"/>
              </a:solidFill>
              <a:ln>
                <a:solidFill>
                  <a:srgbClr val="000000"/>
                </a:solidFill>
              </a:ln>
              <a:effectLst/>
            </c:spPr>
            <c:extLst>
              <c:ext xmlns:c16="http://schemas.microsoft.com/office/drawing/2014/chart" uri="{C3380CC4-5D6E-409C-BE32-E72D297353CC}">
                <c16:uniqueId val="{00000008-BACA-4C91-8EEF-DD6F3A37831E}"/>
              </c:ext>
            </c:extLst>
          </c:dPt>
          <c:dPt>
            <c:idx val="5"/>
            <c:invertIfNegative val="0"/>
            <c:bubble3D val="0"/>
            <c:spPr>
              <a:solidFill>
                <a:srgbClr val="A9DAF0"/>
              </a:solidFill>
              <a:ln>
                <a:noFill/>
              </a:ln>
              <a:effectLst/>
            </c:spPr>
            <c:extLst>
              <c:ext xmlns:c16="http://schemas.microsoft.com/office/drawing/2014/chart" uri="{C3380CC4-5D6E-409C-BE32-E72D297353CC}">
                <c16:uniqueId val="{00000009-BACA-4C91-8EEF-DD6F3A37831E}"/>
              </c:ext>
            </c:extLst>
          </c:dPt>
          <c:dPt>
            <c:idx val="6"/>
            <c:invertIfNegative val="0"/>
            <c:bubble3D val="0"/>
            <c:spPr>
              <a:solidFill>
                <a:srgbClr val="A9DAF0"/>
              </a:solidFill>
              <a:ln>
                <a:noFill/>
              </a:ln>
              <a:effectLst/>
            </c:spPr>
            <c:extLst>
              <c:ext xmlns:c16="http://schemas.microsoft.com/office/drawing/2014/chart" uri="{C3380CC4-5D6E-409C-BE32-E72D297353CC}">
                <c16:uniqueId val="{0000000A-BACA-4C91-8EEF-DD6F3A37831E}"/>
              </c:ext>
            </c:extLst>
          </c:dPt>
          <c:dPt>
            <c:idx val="7"/>
            <c:invertIfNegative val="0"/>
            <c:bubble3D val="0"/>
            <c:spPr>
              <a:solidFill>
                <a:srgbClr val="A9DAF0"/>
              </a:solidFill>
              <a:ln>
                <a:noFill/>
              </a:ln>
              <a:effectLst/>
            </c:spPr>
            <c:extLst>
              <c:ext xmlns:c16="http://schemas.microsoft.com/office/drawing/2014/chart" uri="{C3380CC4-5D6E-409C-BE32-E72D297353CC}">
                <c16:uniqueId val="{0000000B-BACA-4C91-8EEF-DD6F3A37831E}"/>
              </c:ext>
            </c:extLst>
          </c:dPt>
          <c:dPt>
            <c:idx val="8"/>
            <c:invertIfNegative val="0"/>
            <c:bubble3D val="0"/>
            <c:spPr>
              <a:solidFill>
                <a:srgbClr val="A9DAF0"/>
              </a:solidFill>
              <a:ln>
                <a:noFill/>
              </a:ln>
              <a:effectLst/>
            </c:spPr>
            <c:extLst>
              <c:ext xmlns:c16="http://schemas.microsoft.com/office/drawing/2014/chart" uri="{C3380CC4-5D6E-409C-BE32-E72D297353CC}">
                <c16:uniqueId val="{0000000C-BACA-4C91-8EEF-DD6F3A37831E}"/>
              </c:ext>
            </c:extLst>
          </c:dPt>
          <c:dLbls>
            <c:dLbl>
              <c:idx val="0"/>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1-437F-42A1-A950-78DE2705EAFC}"/>
                </c:ext>
              </c:extLst>
            </c:dLbl>
            <c:dLbl>
              <c:idx val="3"/>
              <c:spPr>
                <a:no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5-437F-42A1-A950-78DE2705EA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12 + 13'!$B$34:$B$44</c:f>
              <c:strCache>
                <c:ptCount val="11"/>
                <c:pt idx="0">
                  <c:v>Celkové príjmy</c:v>
                </c:pt>
                <c:pt idx="1">
                  <c:v>Daňovo odvodové príjmy prognózované Výborom</c:v>
                </c:pt>
                <c:pt idx="2">
                  <c:v>Nedaňové príjmy</c:v>
                </c:pt>
                <c:pt idx="3">
                  <c:v>Celkové výdavky</c:v>
                </c:pt>
                <c:pt idx="4">
                  <c:v>Mzdy a platy</c:v>
                </c:pt>
                <c:pt idx="5">
                  <c:v>Medzispotreba</c:v>
                </c:pt>
                <c:pt idx="6">
                  <c:v>Úrokové náklady</c:v>
                </c:pt>
                <c:pt idx="7">
                  <c:v>Sociálne transfery mimo zdravotníctva</c:v>
                </c:pt>
                <c:pt idx="8">
                  <c:v>Výdavky na zdravotníctvo</c:v>
                </c:pt>
                <c:pt idx="9">
                  <c:v>Ostatné bežné transfery</c:v>
                </c:pt>
                <c:pt idx="10">
                  <c:v>Kapitálové výdavky</c:v>
                </c:pt>
              </c:strCache>
            </c:strRef>
          </c:cat>
          <c:val>
            <c:numRef>
              <c:f>'Graf 12 + 13'!$D$34:$D$44</c:f>
              <c:numCache>
                <c:formatCode>0.0</c:formatCode>
                <c:ptCount val="11"/>
                <c:pt idx="0">
                  <c:v>6.1716161062452999</c:v>
                </c:pt>
                <c:pt idx="1">
                  <c:v>8.4447009706329688</c:v>
                </c:pt>
                <c:pt idx="2">
                  <c:v>3.9784195223584415</c:v>
                </c:pt>
                <c:pt idx="3">
                  <c:v>7.1106900430175184</c:v>
                </c:pt>
                <c:pt idx="4">
                  <c:v>6.6300892387528494</c:v>
                </c:pt>
                <c:pt idx="5">
                  <c:v>11.184398784921918</c:v>
                </c:pt>
                <c:pt idx="6">
                  <c:v>32.06260969525561</c:v>
                </c:pt>
                <c:pt idx="7">
                  <c:v>9.7240937338824658</c:v>
                </c:pt>
                <c:pt idx="8">
                  <c:v>23.808359873557816</c:v>
                </c:pt>
                <c:pt idx="9">
                  <c:v>0.35192559933538253</c:v>
                </c:pt>
                <c:pt idx="10">
                  <c:v>2.5798102881243845</c:v>
                </c:pt>
              </c:numCache>
            </c:numRef>
          </c:val>
          <c:extLst>
            <c:ext xmlns:c16="http://schemas.microsoft.com/office/drawing/2014/chart" uri="{C3380CC4-5D6E-409C-BE32-E72D297353CC}">
              <c16:uniqueId val="{00000006-437F-42A1-A950-78DE2705EAFC}"/>
            </c:ext>
          </c:extLst>
        </c:ser>
        <c:dLbls>
          <c:showLegendKey val="0"/>
          <c:showVal val="0"/>
          <c:showCatName val="0"/>
          <c:showSerName val="0"/>
          <c:showPercent val="0"/>
          <c:showBubbleSize val="0"/>
        </c:dLbls>
        <c:gapWidth val="182"/>
        <c:axId val="465971872"/>
        <c:axId val="465973512"/>
      </c:barChart>
      <c:catAx>
        <c:axId val="465971872"/>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3512"/>
        <c:crosses val="autoZero"/>
        <c:auto val="1"/>
        <c:lblAlgn val="ctr"/>
        <c:lblOffset val="100"/>
        <c:noMultiLvlLbl val="0"/>
      </c:catAx>
      <c:valAx>
        <c:axId val="465973512"/>
        <c:scaling>
          <c:orientation val="minMax"/>
          <c:max val="35"/>
          <c:min val="0"/>
        </c:scaling>
        <c:delete val="0"/>
        <c:axPos val="l"/>
        <c:majorGridlines>
          <c:spPr>
            <a:ln w="3175" cap="flat" cmpd="sng" algn="ctr">
              <a:solidFill>
                <a:srgbClr val="676868">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5.3651844750392856E-2"/>
          <c:w val="0.88681971843441276"/>
          <c:h val="0.77039108905998288"/>
        </c:manualLayout>
      </c:layout>
      <c:barChart>
        <c:barDir val="col"/>
        <c:grouping val="clustered"/>
        <c:varyColors val="0"/>
        <c:ser>
          <c:idx val="2"/>
          <c:order val="3"/>
          <c:tx>
            <c:strRef>
              <c:f>'Graf 12 + 13'!$B$8</c:f>
              <c:strCache>
                <c:ptCount val="1"/>
                <c:pt idx="0">
                  <c:v>Finančná kríza</c:v>
                </c:pt>
              </c:strCache>
            </c:strRef>
          </c:tx>
          <c:spPr>
            <a:solidFill>
              <a:srgbClr val="A9DAF0"/>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+ 13'!$D$8:$S$8</c:f>
              <c:numCache>
                <c:formatCode>_-* #\ ##0.0\ _€_-;\-* #\ ##0.0\ _€_-;_-* "-"??\ _€_-;_-@_-</c:formatCode>
                <c:ptCount val="16"/>
                <c:pt idx="1">
                  <c:v>-10</c:v>
                </c:pt>
                <c:pt idx="2">
                  <c:v>-10</c:v>
                </c:pt>
              </c:numCache>
            </c:numRef>
          </c:val>
          <c:extLst>
            <c:ext xmlns:c16="http://schemas.microsoft.com/office/drawing/2014/chart" uri="{C3380CC4-5D6E-409C-BE32-E72D297353CC}">
              <c16:uniqueId val="{00000000-076C-4D5F-BFDB-54D07C684856}"/>
            </c:ext>
          </c:extLst>
        </c:ser>
        <c:ser>
          <c:idx val="3"/>
          <c:order val="4"/>
          <c:tx>
            <c:strRef>
              <c:f>'Graf 12 + 13'!$B$9</c:f>
              <c:strCache>
                <c:ptCount val="1"/>
                <c:pt idx="0">
                  <c:v>COVID-19</c:v>
                </c:pt>
              </c:strCache>
            </c:strRef>
          </c:tx>
          <c:spPr>
            <a:solidFill>
              <a:srgbClr val="E1E1E1"/>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+ 13'!$D$9:$S$9</c:f>
              <c:numCache>
                <c:formatCode>_-* #\ ##0.0\ _€_-;\-* #\ ##0.0\ _€_-;_-* "-"??\ _€_-;_-@_-</c:formatCode>
                <c:ptCount val="16"/>
                <c:pt idx="12">
                  <c:v>-10</c:v>
                </c:pt>
                <c:pt idx="13">
                  <c:v>-10</c:v>
                </c:pt>
              </c:numCache>
            </c:numRef>
          </c:val>
          <c:extLst>
            <c:ext xmlns:c16="http://schemas.microsoft.com/office/drawing/2014/chart" uri="{C3380CC4-5D6E-409C-BE32-E72D297353CC}">
              <c16:uniqueId val="{00000001-076C-4D5F-BFDB-54D07C684856}"/>
            </c:ext>
          </c:extLst>
        </c:ser>
        <c:ser>
          <c:idx val="4"/>
          <c:order val="5"/>
          <c:tx>
            <c:strRef>
              <c:f>'Graf 12 + 13'!$B$10</c:f>
              <c:strCache>
                <c:ptCount val="1"/>
                <c:pt idx="0">
                  <c:v>Energetická kríza</c:v>
                </c:pt>
              </c:strCache>
            </c:strRef>
          </c:tx>
          <c:spPr>
            <a:solidFill>
              <a:srgbClr val="C8E7F5"/>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+ 13'!$D$10:$S$10</c:f>
              <c:numCache>
                <c:formatCode>_-* #\ ##0.0\ _€_-;\-* #\ ##0.0\ _€_-;_-* "-"??\ _€_-;_-@_-</c:formatCode>
                <c:ptCount val="16"/>
                <c:pt idx="14">
                  <c:v>-10</c:v>
                </c:pt>
                <c:pt idx="15">
                  <c:v>-10</c:v>
                </c:pt>
              </c:numCache>
            </c:numRef>
          </c:val>
          <c:extLst>
            <c:ext xmlns:c16="http://schemas.microsoft.com/office/drawing/2014/chart" uri="{C3380CC4-5D6E-409C-BE32-E72D297353CC}">
              <c16:uniqueId val="{00000002-076C-4D5F-BFDB-54D07C684856}"/>
            </c:ext>
          </c:extLst>
        </c:ser>
        <c:dLbls>
          <c:showLegendKey val="0"/>
          <c:showVal val="0"/>
          <c:showCatName val="0"/>
          <c:showSerName val="0"/>
          <c:showPercent val="0"/>
          <c:showBubbleSize val="0"/>
        </c:dLbls>
        <c:gapWidth val="0"/>
        <c:overlap val="100"/>
        <c:axId val="557539920"/>
        <c:axId val="561011080"/>
      </c:barChart>
      <c:lineChart>
        <c:grouping val="standard"/>
        <c:varyColors val="0"/>
        <c:ser>
          <c:idx val="0"/>
          <c:order val="0"/>
          <c:tx>
            <c:strRef>
              <c:f>'Graf 12 + 13'!$B$6</c:f>
              <c:strCache>
                <c:ptCount val="1"/>
                <c:pt idx="0">
                  <c:v>Nominálne saldo</c:v>
                </c:pt>
              </c:strCache>
            </c:strRef>
          </c:tx>
          <c:spPr>
            <a:ln w="28575" cap="rnd">
              <a:solidFill>
                <a:srgbClr val="2EAAE1"/>
              </a:solidFill>
              <a:round/>
            </a:ln>
            <a:effectLst/>
          </c:spPr>
          <c:marker>
            <c:symbol val="none"/>
          </c:marker>
          <c:dLbls>
            <c:dLbl>
              <c:idx val="0"/>
              <c:layout>
                <c:manualLayout>
                  <c:x val="-4.6898916006653045E-2"/>
                  <c:y val="-5.3819088833504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DD-4A1A-8AE3-ED8305730D87}"/>
                </c:ext>
              </c:extLst>
            </c:dLbl>
            <c:dLbl>
              <c:idx val="1"/>
              <c:layout>
                <c:manualLayout>
                  <c:x val="-4.4987163443234897E-2"/>
                  <c:y val="4.0173460806616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DD-4A1A-8AE3-ED8305730D8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DD-4A1A-8AE3-ED8305730D87}"/>
                </c:ext>
              </c:extLst>
            </c:dLbl>
            <c:dLbl>
              <c:idx val="3"/>
              <c:layout>
                <c:manualLayout>
                  <c:x val="-4.4091444861708837E-2"/>
                  <c:y val="-4.8806824572724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76C-4D5F-BFDB-54D07C684856}"/>
                </c:ext>
              </c:extLst>
            </c:dLbl>
            <c:dLbl>
              <c:idx val="4"/>
              <c:layout>
                <c:manualLayout>
                  <c:x val="-5.6149422898884175E-3"/>
                  <c:y val="-2.00490570431192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DD-4A1A-8AE3-ED8305730D87}"/>
                </c:ext>
              </c:extLst>
            </c:dLbl>
            <c:dLbl>
              <c:idx val="5"/>
              <c:layout>
                <c:manualLayout>
                  <c:x val="-5.532132944148567E-2"/>
                  <c:y val="-5.3819088833504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76C-4D5F-BFDB-54D07C684856}"/>
                </c:ext>
              </c:extLst>
            </c:dLbl>
            <c:dLbl>
              <c:idx val="6"/>
              <c:layout>
                <c:manualLayout>
                  <c:x val="-4.6898916006653045E-2"/>
                  <c:y val="3.13894035997529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76C-4D5F-BFDB-54D07C684856}"/>
                </c:ext>
              </c:extLst>
            </c:dLbl>
            <c:dLbl>
              <c:idx val="7"/>
              <c:layout>
                <c:manualLayout>
                  <c:x val="-5.532132944148567E-2"/>
                  <c:y val="-5.3819088833504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76C-4D5F-BFDB-54D07C684856}"/>
                </c:ext>
              </c:extLst>
            </c:dLbl>
            <c:dLbl>
              <c:idx val="8"/>
              <c:layout>
                <c:manualLayout>
                  <c:x val="-7.5943199774341219E-3"/>
                  <c:y val="-6.327687629376604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DD-4A1A-8AE3-ED8305730D87}"/>
                </c:ext>
              </c:extLst>
            </c:dLbl>
            <c:dLbl>
              <c:idx val="9"/>
              <c:layout>
                <c:manualLayout>
                  <c:x val="-6.0936271731374086E-2"/>
                  <c:y val="-3.878229605116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76C-4D5F-BFDB-54D07C684856}"/>
                </c:ext>
              </c:extLst>
            </c:dLbl>
            <c:dLbl>
              <c:idx val="10"/>
              <c:layout>
                <c:manualLayout>
                  <c:x val="-4.9706387151597253E-2"/>
                  <c:y val="-4.3794560311944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76C-4D5F-BFDB-54D07C684856}"/>
                </c:ext>
              </c:extLst>
            </c:dLbl>
            <c:dLbl>
              <c:idx val="11"/>
              <c:layout>
                <c:manualLayout>
                  <c:x val="-3.8476502571820517E-2"/>
                  <c:y val="-4.3794560311944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76C-4D5F-BFDB-54D07C684856}"/>
                </c:ext>
              </c:extLst>
            </c:dLbl>
            <c:dLbl>
              <c:idx val="12"/>
              <c:layout>
                <c:manualLayout>
                  <c:x val="-5.8128800586429878E-2"/>
                  <c:y val="3.8782690717641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DD-4A1A-8AE3-ED8305730D87}"/>
                </c:ext>
              </c:extLst>
            </c:dLbl>
            <c:dLbl>
              <c:idx val="13"/>
              <c:layout>
                <c:manualLayout>
                  <c:x val="-4.491953831910734E-2"/>
                  <c:y val="3.50858498254587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DD-4A1A-8AE3-ED8305730D87}"/>
                </c:ext>
              </c:extLst>
            </c:dLbl>
            <c:dLbl>
              <c:idx val="15"/>
              <c:layout>
                <c:manualLayout>
                  <c:x val="-8.2603538209461327E-2"/>
                  <c:y val="1.0178448447678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DD-4A1A-8AE3-ED8305730D87}"/>
                </c:ext>
              </c:extLst>
            </c:dLbl>
            <c:dLbl>
              <c:idx val="16"/>
              <c:layout>
                <c:manualLayout>
                  <c:x val="-1.5215830423437389E-2"/>
                  <c:y val="-5.8831353094283848E-2"/>
                </c:manualLayout>
              </c:layout>
              <c:spPr>
                <a:noFill/>
                <a:ln>
                  <a:solidFill>
                    <a:srgbClr val="2EAAE1"/>
                  </a:solidFill>
                </a:ln>
                <a:effectLst/>
              </c:spPr>
              <c:txPr>
                <a:bodyPr rot="0" spcFirstLastPara="1" vertOverflow="ellipsis" vert="horz" wrap="square" anchor="ctr" anchorCtr="1"/>
                <a:lstStyle/>
                <a:p>
                  <a:pPr>
                    <a:defRPr sz="1000" b="1" i="0" u="none" strike="noStrike" kern="1200" baseline="0">
                      <a:solidFill>
                        <a:srgbClr val="2EAAE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76C-4D5F-BFDB-54D07C684856}"/>
                </c:ext>
              </c:extLst>
            </c:dLbl>
            <c:spPr>
              <a:noFill/>
              <a:ln>
                <a:noFill/>
              </a:ln>
              <a:effectLst/>
            </c:spPr>
            <c:txPr>
              <a:bodyPr rot="0" spcFirstLastPara="1" vertOverflow="ellipsis" vert="horz" wrap="square" anchor="ctr" anchorCtr="1"/>
              <a:lstStyle/>
              <a:p>
                <a:pPr>
                  <a:defRPr sz="1000" b="1" i="0" u="none" strike="noStrike" kern="1200" baseline="0">
                    <a:solidFill>
                      <a:srgbClr val="2EAAE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+ 13'!$D$6:$T$6</c:f>
              <c:numCache>
                <c:formatCode>_-* #\ ##0.0\ _€_-;\-* #\ ##0.0\ _€_-;_-* "-"??\ _€_-;_-@_-</c:formatCode>
                <c:ptCount val="17"/>
                <c:pt idx="0">
                  <c:v>-2.5</c:v>
                </c:pt>
                <c:pt idx="1">
                  <c:v>-8.1</c:v>
                </c:pt>
                <c:pt idx="2">
                  <c:v>-7.5</c:v>
                </c:pt>
                <c:pt idx="3">
                  <c:v>-4.3</c:v>
                </c:pt>
                <c:pt idx="4">
                  <c:v>-4.4000000000000004</c:v>
                </c:pt>
                <c:pt idx="5">
                  <c:v>-2.9</c:v>
                </c:pt>
                <c:pt idx="6">
                  <c:v>-3.1</c:v>
                </c:pt>
                <c:pt idx="7">
                  <c:v>-2.7</c:v>
                </c:pt>
                <c:pt idx="8">
                  <c:v>-2.6</c:v>
                </c:pt>
                <c:pt idx="9">
                  <c:v>-1</c:v>
                </c:pt>
                <c:pt idx="10">
                  <c:v>-1</c:v>
                </c:pt>
                <c:pt idx="11">
                  <c:v>-1.2</c:v>
                </c:pt>
                <c:pt idx="12">
                  <c:v>-5.3</c:v>
                </c:pt>
                <c:pt idx="13">
                  <c:v>-5.2</c:v>
                </c:pt>
                <c:pt idx="14">
                  <c:v>-1.7</c:v>
                </c:pt>
                <c:pt idx="15">
                  <c:v>-4.9000000000000004</c:v>
                </c:pt>
                <c:pt idx="16">
                  <c:v>-5.79</c:v>
                </c:pt>
              </c:numCache>
            </c:numRef>
          </c:val>
          <c:smooth val="0"/>
          <c:extLst>
            <c:ext xmlns:c16="http://schemas.microsoft.com/office/drawing/2014/chart" uri="{C3380CC4-5D6E-409C-BE32-E72D297353CC}">
              <c16:uniqueId val="{00000008-0DDD-4A1A-8AE3-ED8305730D87}"/>
            </c:ext>
          </c:extLst>
        </c:ser>
        <c:ser>
          <c:idx val="1"/>
          <c:order val="1"/>
          <c:tx>
            <c:strRef>
              <c:f>'Graf 12 + 13'!$B$7</c:f>
              <c:strCache>
                <c:ptCount val="1"/>
                <c:pt idx="0">
                  <c:v>Nominálny cieľ rozpočtu</c:v>
                </c:pt>
              </c:strCache>
            </c:strRef>
          </c:tx>
          <c:spPr>
            <a:ln w="28575" cap="rnd">
              <a:noFill/>
              <a:round/>
            </a:ln>
            <a:effectLst/>
          </c:spPr>
          <c:marker>
            <c:symbol val="circle"/>
            <c:size val="7"/>
            <c:spPr>
              <a:solidFill>
                <a:sysClr val="windowText" lastClr="000000"/>
              </a:solidFill>
              <a:ln w="9525">
                <a:solidFill>
                  <a:sysClr val="windowText" lastClr="000000"/>
                </a:solidFill>
              </a:ln>
              <a:effectLst/>
            </c:spPr>
          </c:marker>
          <c:dPt>
            <c:idx val="16"/>
            <c:marker>
              <c:symbol val="circle"/>
              <c:size val="7"/>
              <c:spPr>
                <a:solidFill>
                  <a:sysClr val="windowText" lastClr="000000"/>
                </a:solidFill>
                <a:ln w="9525">
                  <a:solidFill>
                    <a:sysClr val="windowText" lastClr="000000"/>
                  </a:solidFill>
                </a:ln>
                <a:effectLst/>
              </c:spPr>
            </c:marker>
            <c:bubble3D val="0"/>
            <c:extLst>
              <c:ext xmlns:c16="http://schemas.microsoft.com/office/drawing/2014/chart" uri="{C3380CC4-5D6E-409C-BE32-E72D297353CC}">
                <c16:uniqueId val="{00000004-076C-4D5F-BFDB-54D07C684856}"/>
              </c:ext>
            </c:extLst>
          </c:dPt>
          <c:dLbls>
            <c:dLbl>
              <c:idx val="16"/>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extLst>
                <c:ext xmlns:c16="http://schemas.microsoft.com/office/drawing/2014/chart" uri="{C3380CC4-5D6E-409C-BE32-E72D297353CC}">
                  <c16:uniqueId val="{00000004-076C-4D5F-BFDB-54D07C684856}"/>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+ 13'!$D$7:$T$7</c:f>
              <c:numCache>
                <c:formatCode>_-* #\ ##0.0\ _€_-;\-* #\ ##0.0\ _€_-;_-* "-"??\ _€_-;_-@_-</c:formatCode>
                <c:ptCount val="17"/>
                <c:pt idx="16">
                  <c:v>-5.976147865853668</c:v>
                </c:pt>
              </c:numCache>
            </c:numRef>
          </c:val>
          <c:smooth val="0"/>
          <c:extLst>
            <c:ext xmlns:c16="http://schemas.microsoft.com/office/drawing/2014/chart" uri="{C3380CC4-5D6E-409C-BE32-E72D297353CC}">
              <c16:uniqueId val="{00000009-0DDD-4A1A-8AE3-ED8305730D87}"/>
            </c:ext>
          </c:extLst>
        </c:ser>
        <c:ser>
          <c:idx val="5"/>
          <c:order val="2"/>
          <c:tx>
            <c:strRef>
              <c:f>'Graf 12 + 13'!$B$11</c:f>
              <c:strCache>
                <c:ptCount val="1"/>
                <c:pt idx="0">
                  <c:v>Hranica nadmerného deficitu</c:v>
                </c:pt>
              </c:strCache>
            </c:strRef>
          </c:tx>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076C-4D5F-BFDB-54D07C684856}"/>
                </c:ext>
              </c:extLst>
            </c:dLbl>
            <c:dLbl>
              <c:idx val="1"/>
              <c:delete val="1"/>
              <c:extLst>
                <c:ext xmlns:c15="http://schemas.microsoft.com/office/drawing/2012/chart" uri="{CE6537A1-D6FC-4f65-9D91-7224C49458BB}"/>
                <c:ext xmlns:c16="http://schemas.microsoft.com/office/drawing/2014/chart" uri="{C3380CC4-5D6E-409C-BE32-E72D297353CC}">
                  <c16:uniqueId val="{00000012-076C-4D5F-BFDB-54D07C684856}"/>
                </c:ext>
              </c:extLst>
            </c:dLbl>
            <c:dLbl>
              <c:idx val="2"/>
              <c:delete val="1"/>
              <c:extLst>
                <c:ext xmlns:c15="http://schemas.microsoft.com/office/drawing/2012/chart" uri="{CE6537A1-D6FC-4f65-9D91-7224C49458BB}"/>
                <c:ext xmlns:c16="http://schemas.microsoft.com/office/drawing/2014/chart" uri="{C3380CC4-5D6E-409C-BE32-E72D297353CC}">
                  <c16:uniqueId val="{00000011-076C-4D5F-BFDB-54D07C684856}"/>
                </c:ext>
              </c:extLst>
            </c:dLbl>
            <c:dLbl>
              <c:idx val="3"/>
              <c:layout>
                <c:manualLayout>
                  <c:x val="-4.6943642580964416E-2"/>
                  <c:y val="-4.8889987052649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76C-4D5F-BFDB-54D07C684856}"/>
                </c:ext>
              </c:extLst>
            </c:dLbl>
            <c:dLbl>
              <c:idx val="4"/>
              <c:delete val="1"/>
              <c:extLst>
                <c:ext xmlns:c15="http://schemas.microsoft.com/office/drawing/2012/chart" uri="{CE6537A1-D6FC-4f65-9D91-7224C49458BB}"/>
                <c:ext xmlns:c16="http://schemas.microsoft.com/office/drawing/2014/chart" uri="{C3380CC4-5D6E-409C-BE32-E72D297353CC}">
                  <c16:uniqueId val="{00000010-076C-4D5F-BFDB-54D07C684856}"/>
                </c:ext>
              </c:extLst>
            </c:dLbl>
            <c:dLbl>
              <c:idx val="5"/>
              <c:delete val="1"/>
              <c:extLst>
                <c:ext xmlns:c15="http://schemas.microsoft.com/office/drawing/2012/chart" uri="{CE6537A1-D6FC-4f65-9D91-7224C49458BB}"/>
                <c:ext xmlns:c16="http://schemas.microsoft.com/office/drawing/2014/chart" uri="{C3380CC4-5D6E-409C-BE32-E72D297353CC}">
                  <c16:uniqueId val="{0000000F-076C-4D5F-BFDB-54D07C684856}"/>
                </c:ext>
              </c:extLst>
            </c:dLbl>
            <c:dLbl>
              <c:idx val="6"/>
              <c:delete val="1"/>
              <c:extLst>
                <c:ext xmlns:c15="http://schemas.microsoft.com/office/drawing/2012/chart" uri="{CE6537A1-D6FC-4f65-9D91-7224C49458BB}"/>
                <c:ext xmlns:c16="http://schemas.microsoft.com/office/drawing/2014/chart" uri="{C3380CC4-5D6E-409C-BE32-E72D297353CC}">
                  <c16:uniqueId val="{0000000E-076C-4D5F-BFDB-54D07C684856}"/>
                </c:ext>
              </c:extLst>
            </c:dLbl>
            <c:dLbl>
              <c:idx val="7"/>
              <c:delete val="1"/>
              <c:extLst>
                <c:ext xmlns:c15="http://schemas.microsoft.com/office/drawing/2012/chart" uri="{CE6537A1-D6FC-4f65-9D91-7224C49458BB}"/>
                <c:ext xmlns:c16="http://schemas.microsoft.com/office/drawing/2014/chart" uri="{C3380CC4-5D6E-409C-BE32-E72D297353CC}">
                  <c16:uniqueId val="{0000000D-076C-4D5F-BFDB-54D07C684856}"/>
                </c:ext>
              </c:extLst>
            </c:dLbl>
            <c:dLbl>
              <c:idx val="8"/>
              <c:delete val="1"/>
              <c:extLst>
                <c:ext xmlns:c15="http://schemas.microsoft.com/office/drawing/2012/chart" uri="{CE6537A1-D6FC-4f65-9D91-7224C49458BB}"/>
                <c:ext xmlns:c16="http://schemas.microsoft.com/office/drawing/2014/chart" uri="{C3380CC4-5D6E-409C-BE32-E72D297353CC}">
                  <c16:uniqueId val="{0000000C-076C-4D5F-BFDB-54D07C684856}"/>
                </c:ext>
              </c:extLst>
            </c:dLbl>
            <c:dLbl>
              <c:idx val="9"/>
              <c:delete val="1"/>
              <c:extLst>
                <c:ext xmlns:c15="http://schemas.microsoft.com/office/drawing/2012/chart" uri="{CE6537A1-D6FC-4f65-9D91-7224C49458BB}"/>
                <c:ext xmlns:c16="http://schemas.microsoft.com/office/drawing/2014/chart" uri="{C3380CC4-5D6E-409C-BE32-E72D297353CC}">
                  <c16:uniqueId val="{0000000B-076C-4D5F-BFDB-54D07C684856}"/>
                </c:ext>
              </c:extLst>
            </c:dLbl>
            <c:dLbl>
              <c:idx val="10"/>
              <c:delete val="1"/>
              <c:extLst>
                <c:ext xmlns:c15="http://schemas.microsoft.com/office/drawing/2012/chart" uri="{CE6537A1-D6FC-4f65-9D91-7224C49458BB}"/>
                <c:ext xmlns:c16="http://schemas.microsoft.com/office/drawing/2014/chart" uri="{C3380CC4-5D6E-409C-BE32-E72D297353CC}">
                  <c16:uniqueId val="{0000000A-076C-4D5F-BFDB-54D07C684856}"/>
                </c:ext>
              </c:extLst>
            </c:dLbl>
            <c:dLbl>
              <c:idx val="11"/>
              <c:delete val="1"/>
              <c:extLst>
                <c:ext xmlns:c15="http://schemas.microsoft.com/office/drawing/2012/chart" uri="{CE6537A1-D6FC-4f65-9D91-7224C49458BB}"/>
                <c:ext xmlns:c16="http://schemas.microsoft.com/office/drawing/2014/chart" uri="{C3380CC4-5D6E-409C-BE32-E72D297353CC}">
                  <c16:uniqueId val="{00000009-076C-4D5F-BFDB-54D07C684856}"/>
                </c:ext>
              </c:extLst>
            </c:dLbl>
            <c:dLbl>
              <c:idx val="12"/>
              <c:delete val="1"/>
              <c:extLst>
                <c:ext xmlns:c15="http://schemas.microsoft.com/office/drawing/2012/chart" uri="{CE6537A1-D6FC-4f65-9D91-7224C49458BB}"/>
                <c:ext xmlns:c16="http://schemas.microsoft.com/office/drawing/2014/chart" uri="{C3380CC4-5D6E-409C-BE32-E72D297353CC}">
                  <c16:uniqueId val="{00000008-076C-4D5F-BFDB-54D07C684856}"/>
                </c:ext>
              </c:extLst>
            </c:dLbl>
            <c:dLbl>
              <c:idx val="13"/>
              <c:delete val="1"/>
              <c:extLst>
                <c:ext xmlns:c15="http://schemas.microsoft.com/office/drawing/2012/chart" uri="{CE6537A1-D6FC-4f65-9D91-7224C49458BB}"/>
                <c:ext xmlns:c16="http://schemas.microsoft.com/office/drawing/2014/chart" uri="{C3380CC4-5D6E-409C-BE32-E72D297353CC}">
                  <c16:uniqueId val="{00000007-076C-4D5F-BFDB-54D07C684856}"/>
                </c:ext>
              </c:extLst>
            </c:dLbl>
            <c:dLbl>
              <c:idx val="14"/>
              <c:delete val="1"/>
              <c:extLst>
                <c:ext xmlns:c15="http://schemas.microsoft.com/office/drawing/2012/chart" uri="{CE6537A1-D6FC-4f65-9D91-7224C49458BB}"/>
                <c:ext xmlns:c16="http://schemas.microsoft.com/office/drawing/2014/chart" uri="{C3380CC4-5D6E-409C-BE32-E72D297353CC}">
                  <c16:uniqueId val="{00000006-076C-4D5F-BFDB-54D07C684856}"/>
                </c:ext>
              </c:extLst>
            </c:dLbl>
            <c:dLbl>
              <c:idx val="15"/>
              <c:delete val="1"/>
              <c:extLst>
                <c:ext xmlns:c15="http://schemas.microsoft.com/office/drawing/2012/chart" uri="{CE6537A1-D6FC-4f65-9D91-7224C49458BB}"/>
                <c:ext xmlns:c16="http://schemas.microsoft.com/office/drawing/2014/chart" uri="{C3380CC4-5D6E-409C-BE32-E72D297353CC}">
                  <c16:uniqueId val="{00000005-076C-4D5F-BFDB-54D07C684856}"/>
                </c:ext>
              </c:extLst>
            </c:dLbl>
            <c:dLbl>
              <c:idx val="16"/>
              <c:delete val="1"/>
              <c:extLst>
                <c:ext xmlns:c15="http://schemas.microsoft.com/office/drawing/2012/chart" uri="{CE6537A1-D6FC-4f65-9D91-7224C49458BB}"/>
                <c:ext xmlns:c16="http://schemas.microsoft.com/office/drawing/2014/chart" uri="{C3380CC4-5D6E-409C-BE32-E72D297353CC}">
                  <c16:uniqueId val="{00000015-076C-4D5F-BFDB-54D07C6848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+ 13'!$D$11:$T$11</c:f>
              <c:numCache>
                <c:formatCode>_-* #\ ##0.0\ _€_-;\-* #\ ##0.0\ _€_-;_-* "-"??\ _€_-;_-@_-</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val>
          <c:smooth val="0"/>
          <c:extLst>
            <c:ext xmlns:c16="http://schemas.microsoft.com/office/drawing/2014/chart" uri="{C3380CC4-5D6E-409C-BE32-E72D297353CC}">
              <c16:uniqueId val="{00000003-076C-4D5F-BFDB-54D07C684856}"/>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0"/>
          <c:min val="-9"/>
        </c:scaling>
        <c:delete val="0"/>
        <c:axPos val="l"/>
        <c:majorGridlines>
          <c:spPr>
            <a:ln w="3175" cap="flat" cmpd="sng" algn="ctr">
              <a:solidFill>
                <a:srgbClr val="676868">
                  <a:alpha val="24706"/>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2"/>
      </c:valAx>
      <c:spPr>
        <a:noFill/>
        <a:ln>
          <a:noFill/>
        </a:ln>
        <a:effectLst/>
      </c:spPr>
    </c:plotArea>
    <c:legend>
      <c:legendPos val="r"/>
      <c:legendEntry>
        <c:idx val="0"/>
        <c:delete val="1"/>
      </c:legendEntry>
      <c:legendEntry>
        <c:idx val="1"/>
        <c:delete val="1"/>
      </c:legendEntry>
      <c:legendEntry>
        <c:idx val="2"/>
        <c:delete val="1"/>
      </c:legendEntry>
      <c:layout>
        <c:manualLayout>
          <c:xMode val="edge"/>
          <c:yMode val="edge"/>
          <c:x val="0.27360469485105549"/>
          <c:y val="0.4685173800887536"/>
          <c:w val="0.36669628755033379"/>
          <c:h val="0.1871273683274197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36591149624E-2"/>
          <c:y val="0.21784195802692896"/>
          <c:w val="0.88785151515151517"/>
          <c:h val="0.67057300155097621"/>
        </c:manualLayout>
      </c:layout>
      <c:areaChart>
        <c:grouping val="standard"/>
        <c:varyColors val="0"/>
        <c:ser>
          <c:idx val="2"/>
          <c:order val="0"/>
          <c:tx>
            <c:strRef>
              <c:f>Zhrnutie!$J$23</c:f>
              <c:strCache>
                <c:ptCount val="1"/>
                <c:pt idx="0">
                  <c:v>Návrh rozpočtu verejnej správy (bez ďalších opatrení)</c:v>
                </c:pt>
              </c:strCache>
            </c:strRef>
          </c:tx>
          <c:spPr>
            <a:solidFill>
              <a:srgbClr val="2C9ADC"/>
            </a:solidFill>
            <a:ln w="25400">
              <a:noFill/>
            </a:ln>
            <a:effectLst/>
          </c:spPr>
          <c:cat>
            <c:numRef>
              <c:f>[83]Dashboard!$C$3:$H$3</c:f>
              <c:numCache>
                <c:formatCode>General</c:formatCode>
                <c:ptCount val="6"/>
                <c:pt idx="0">
                  <c:v>2023</c:v>
                </c:pt>
                <c:pt idx="1">
                  <c:v>2024</c:v>
                </c:pt>
                <c:pt idx="2">
                  <c:v>2025</c:v>
                </c:pt>
                <c:pt idx="3">
                  <c:v>2026</c:v>
                </c:pt>
                <c:pt idx="4">
                  <c:v>2027</c:v>
                </c:pt>
                <c:pt idx="5">
                  <c:v>2028</c:v>
                </c:pt>
              </c:numCache>
            </c:numRef>
          </c:cat>
          <c:val>
            <c:numRef>
              <c:f>Zhrnutie!$K$23:$O$23</c:f>
              <c:numCache>
                <c:formatCode>0.0</c:formatCode>
                <c:ptCount val="5"/>
                <c:pt idx="0">
                  <c:v>56.044684106407637</c:v>
                </c:pt>
                <c:pt idx="1">
                  <c:v>58.886239114790449</c:v>
                </c:pt>
                <c:pt idx="2">
                  <c:v>59.563716918638733</c:v>
                </c:pt>
                <c:pt idx="3">
                  <c:v>61.719800685787277</c:v>
                </c:pt>
                <c:pt idx="4">
                  <c:v>65.776323112199179</c:v>
                </c:pt>
              </c:numCache>
            </c:numRef>
          </c:val>
          <c:extLst>
            <c:ext xmlns:c16="http://schemas.microsoft.com/office/drawing/2014/chart" uri="{C3380CC4-5D6E-409C-BE32-E72D297353CC}">
              <c16:uniqueId val="{00000000-17A8-45C4-9A9C-2F70618F0859}"/>
            </c:ext>
          </c:extLst>
        </c:ser>
        <c:dLbls>
          <c:showLegendKey val="0"/>
          <c:showVal val="0"/>
          <c:showCatName val="0"/>
          <c:showSerName val="0"/>
          <c:showPercent val="0"/>
          <c:showBubbleSize val="0"/>
        </c:dLbls>
        <c:axId val="1291386143"/>
        <c:axId val="1379567903"/>
      </c:areaChart>
      <c:lineChart>
        <c:grouping val="standard"/>
        <c:varyColors val="0"/>
        <c:ser>
          <c:idx val="4"/>
          <c:order val="1"/>
          <c:tx>
            <c:strRef>
              <c:f>Zhrnutie!$J$24</c:f>
              <c:strCache>
                <c:ptCount val="1"/>
                <c:pt idx="0">
                  <c:v>Ciele rozpočtu verejnej správy</c:v>
                </c:pt>
              </c:strCache>
            </c:strRef>
          </c:tx>
          <c:spPr>
            <a:ln w="19050" cap="sq">
              <a:solidFill>
                <a:srgbClr val="002060"/>
              </a:solidFill>
              <a:prstDash val="sysDash"/>
              <a:miter lim="800000"/>
            </a:ln>
            <a:effectLst/>
          </c:spPr>
          <c:marker>
            <c:symbol val="none"/>
          </c:marker>
          <c:dLbls>
            <c:dLbl>
              <c:idx val="2"/>
              <c:delete val="1"/>
              <c:extLst>
                <c:ext xmlns:c15="http://schemas.microsoft.com/office/drawing/2012/chart" uri="{CE6537A1-D6FC-4f65-9D91-7224C49458BB}"/>
                <c:ext xmlns:c16="http://schemas.microsoft.com/office/drawing/2014/chart" uri="{C3380CC4-5D6E-409C-BE32-E72D297353CC}">
                  <c16:uniqueId val="{00000001-17A8-45C4-9A9C-2F70618F0859}"/>
                </c:ext>
              </c:extLst>
            </c:dLbl>
            <c:numFmt formatCode="#,##0.0" sourceLinked="0"/>
            <c:spPr>
              <a:solidFill>
                <a:schemeClr val="bg1"/>
              </a:solidFill>
              <a:ln w="3175">
                <a:solidFill>
                  <a:srgbClr val="002060"/>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Zhrnutie!$K$22:$O$22</c:f>
              <c:numCache>
                <c:formatCode>General</c:formatCode>
                <c:ptCount val="5"/>
                <c:pt idx="0">
                  <c:v>2023</c:v>
                </c:pt>
                <c:pt idx="1">
                  <c:v>2024</c:v>
                </c:pt>
                <c:pt idx="2">
                  <c:v>2025</c:v>
                </c:pt>
                <c:pt idx="3">
                  <c:v>2026</c:v>
                </c:pt>
                <c:pt idx="4">
                  <c:v>2027</c:v>
                </c:pt>
              </c:numCache>
            </c:numRef>
          </c:cat>
          <c:val>
            <c:numRef>
              <c:f>Zhrnutie!$K$24:$O$24</c:f>
              <c:numCache>
                <c:formatCode>0.0</c:formatCode>
                <c:ptCount val="5"/>
                <c:pt idx="2">
                  <c:v>59.551286731767902</c:v>
                </c:pt>
                <c:pt idx="3">
                  <c:v>60.350269709305316</c:v>
                </c:pt>
                <c:pt idx="4">
                  <c:v>60.506868796181436</c:v>
                </c:pt>
              </c:numCache>
            </c:numRef>
          </c:val>
          <c:smooth val="0"/>
          <c:extLst>
            <c:ext xmlns:c16="http://schemas.microsoft.com/office/drawing/2014/chart" uri="{C3380CC4-5D6E-409C-BE32-E72D297353CC}">
              <c16:uniqueId val="{00000002-17A8-45C4-9A9C-2F70618F0859}"/>
            </c:ext>
          </c:extLst>
        </c:ser>
        <c:ser>
          <c:idx val="3"/>
          <c:order val="2"/>
          <c:spPr>
            <a:ln w="28575"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70C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Zhrnutie!$K$22:$O$22</c:f>
              <c:numCache>
                <c:formatCode>General</c:formatCode>
                <c:ptCount val="5"/>
                <c:pt idx="0">
                  <c:v>2023</c:v>
                </c:pt>
                <c:pt idx="1">
                  <c:v>2024</c:v>
                </c:pt>
                <c:pt idx="2">
                  <c:v>2025</c:v>
                </c:pt>
                <c:pt idx="3">
                  <c:v>2026</c:v>
                </c:pt>
                <c:pt idx="4">
                  <c:v>2027</c:v>
                </c:pt>
              </c:numCache>
            </c:numRef>
          </c:cat>
          <c:val>
            <c:numRef>
              <c:f>Zhrnutie!$K$23:$O$23</c:f>
              <c:numCache>
                <c:formatCode>0.0</c:formatCode>
                <c:ptCount val="5"/>
                <c:pt idx="0">
                  <c:v>56.044684106407637</c:v>
                </c:pt>
                <c:pt idx="1">
                  <c:v>58.886239114790449</c:v>
                </c:pt>
                <c:pt idx="2">
                  <c:v>59.563716918638733</c:v>
                </c:pt>
                <c:pt idx="3">
                  <c:v>61.719800685787277</c:v>
                </c:pt>
                <c:pt idx="4">
                  <c:v>65.776323112199179</c:v>
                </c:pt>
              </c:numCache>
            </c:numRef>
          </c:val>
          <c:smooth val="0"/>
          <c:extLst>
            <c:ext xmlns:c16="http://schemas.microsoft.com/office/drawing/2014/chart" uri="{C3380CC4-5D6E-409C-BE32-E72D297353CC}">
              <c16:uniqueId val="{00000003-17A8-45C4-9A9C-2F70618F0859}"/>
            </c:ext>
          </c:extLst>
        </c:ser>
        <c:dLbls>
          <c:showLegendKey val="0"/>
          <c:showVal val="0"/>
          <c:showCatName val="0"/>
          <c:showSerName val="0"/>
          <c:showPercent val="0"/>
          <c:showBubbleSize val="0"/>
        </c:dLbls>
        <c:marker val="1"/>
        <c:smooth val="0"/>
        <c:axId val="1291386143"/>
        <c:axId val="1379567903"/>
      </c:lineChart>
      <c:catAx>
        <c:axId val="1291386143"/>
        <c:scaling>
          <c:orientation val="minMax"/>
        </c:scaling>
        <c:delete val="0"/>
        <c:axPos val="b"/>
        <c:numFmt formatCode="General" sourceLinked="1"/>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379567903"/>
        <c:crosses val="autoZero"/>
        <c:auto val="1"/>
        <c:lblAlgn val="ctr"/>
        <c:lblOffset val="100"/>
        <c:noMultiLvlLbl val="0"/>
      </c:catAx>
      <c:valAx>
        <c:axId val="1379567903"/>
        <c:scaling>
          <c:orientation val="minMax"/>
          <c:min val="40"/>
        </c:scaling>
        <c:delete val="0"/>
        <c:axPos val="l"/>
        <c:majorGridlines>
          <c:spPr>
            <a:ln w="3175" cap="flat" cmpd="sng" algn="ctr">
              <a:solidFill>
                <a:schemeClr val="bg1">
                  <a:lumMod val="50000"/>
                  <a:alpha val="25000"/>
                </a:schemeClr>
              </a:solidFill>
              <a:prstDash val="sys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291386143"/>
        <c:crosses val="autoZero"/>
        <c:crossBetween val="between"/>
      </c:valAx>
      <c:spPr>
        <a:noFill/>
        <a:ln>
          <a:noFill/>
        </a:ln>
        <a:effectLst/>
      </c:spPr>
    </c:plotArea>
    <c:legend>
      <c:legendPos val="b"/>
      <c:legendEntry>
        <c:idx val="2"/>
        <c:delete val="1"/>
      </c:legendEntry>
      <c:layout>
        <c:manualLayout>
          <c:xMode val="edge"/>
          <c:yMode val="edge"/>
          <c:x val="5.4633875841659657E-2"/>
          <c:y val="3.0716493719083457E-2"/>
          <c:w val="0.78755247884519297"/>
          <c:h val="0.1595521153095326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5.3651844750392856E-2"/>
          <c:w val="0.88681971843441276"/>
          <c:h val="0.77039108905998288"/>
        </c:manualLayout>
      </c:layout>
      <c:barChart>
        <c:barDir val="col"/>
        <c:grouping val="clustered"/>
        <c:varyColors val="0"/>
        <c:ser>
          <c:idx val="2"/>
          <c:order val="3"/>
          <c:tx>
            <c:strRef>
              <c:f>'Graf 12 + 13'!$C$8</c:f>
              <c:strCache>
                <c:ptCount val="1"/>
                <c:pt idx="0">
                  <c:v>Financial crisis</c:v>
                </c:pt>
              </c:strCache>
            </c:strRef>
          </c:tx>
          <c:spPr>
            <a:solidFill>
              <a:srgbClr val="A9DAF0"/>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+ 13'!$D$8:$S$8</c:f>
              <c:numCache>
                <c:formatCode>_-* #\ ##0.0\ _€_-;\-* #\ ##0.0\ _€_-;_-* "-"??\ _€_-;_-@_-</c:formatCode>
                <c:ptCount val="16"/>
                <c:pt idx="1">
                  <c:v>-10</c:v>
                </c:pt>
                <c:pt idx="2">
                  <c:v>-10</c:v>
                </c:pt>
              </c:numCache>
            </c:numRef>
          </c:val>
          <c:extLst>
            <c:ext xmlns:c16="http://schemas.microsoft.com/office/drawing/2014/chart" uri="{C3380CC4-5D6E-409C-BE32-E72D297353CC}">
              <c16:uniqueId val="{00000000-2922-4604-BC68-E51F08893B8B}"/>
            </c:ext>
          </c:extLst>
        </c:ser>
        <c:ser>
          <c:idx val="3"/>
          <c:order val="4"/>
          <c:tx>
            <c:strRef>
              <c:f>'Graf 12 + 13'!$C$9</c:f>
              <c:strCache>
                <c:ptCount val="1"/>
                <c:pt idx="0">
                  <c:v>COVID-19</c:v>
                </c:pt>
              </c:strCache>
            </c:strRef>
          </c:tx>
          <c:spPr>
            <a:solidFill>
              <a:srgbClr val="E1E1E1"/>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+ 13'!$D$9:$S$9</c:f>
              <c:numCache>
                <c:formatCode>_-* #\ ##0.0\ _€_-;\-* #\ ##0.0\ _€_-;_-* "-"??\ _€_-;_-@_-</c:formatCode>
                <c:ptCount val="16"/>
                <c:pt idx="12">
                  <c:v>-10</c:v>
                </c:pt>
                <c:pt idx="13">
                  <c:v>-10</c:v>
                </c:pt>
              </c:numCache>
            </c:numRef>
          </c:val>
          <c:extLst>
            <c:ext xmlns:c16="http://schemas.microsoft.com/office/drawing/2014/chart" uri="{C3380CC4-5D6E-409C-BE32-E72D297353CC}">
              <c16:uniqueId val="{00000001-2922-4604-BC68-E51F08893B8B}"/>
            </c:ext>
          </c:extLst>
        </c:ser>
        <c:ser>
          <c:idx val="4"/>
          <c:order val="5"/>
          <c:tx>
            <c:strRef>
              <c:f>'Graf 12 + 13'!$C$10</c:f>
              <c:strCache>
                <c:ptCount val="1"/>
                <c:pt idx="0">
                  <c:v>Energy crisis</c:v>
                </c:pt>
              </c:strCache>
            </c:strRef>
          </c:tx>
          <c:spPr>
            <a:solidFill>
              <a:srgbClr val="C8E7F5"/>
            </a:solidFill>
            <a:ln>
              <a:noFill/>
            </a:ln>
            <a:effectLst/>
          </c:spPr>
          <c:invertIfNegative val="0"/>
          <c:cat>
            <c:numRef>
              <c:f>'Graf 12 + 13'!$D$5:$S$5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12 + 13'!$D$10:$S$10</c:f>
              <c:numCache>
                <c:formatCode>_-* #\ ##0.0\ _€_-;\-* #\ ##0.0\ _€_-;_-* "-"??\ _€_-;_-@_-</c:formatCode>
                <c:ptCount val="16"/>
                <c:pt idx="14">
                  <c:v>-10</c:v>
                </c:pt>
                <c:pt idx="15">
                  <c:v>-10</c:v>
                </c:pt>
              </c:numCache>
            </c:numRef>
          </c:val>
          <c:extLst>
            <c:ext xmlns:c16="http://schemas.microsoft.com/office/drawing/2014/chart" uri="{C3380CC4-5D6E-409C-BE32-E72D297353CC}">
              <c16:uniqueId val="{00000002-2922-4604-BC68-E51F08893B8B}"/>
            </c:ext>
          </c:extLst>
        </c:ser>
        <c:dLbls>
          <c:showLegendKey val="0"/>
          <c:showVal val="0"/>
          <c:showCatName val="0"/>
          <c:showSerName val="0"/>
          <c:showPercent val="0"/>
          <c:showBubbleSize val="0"/>
        </c:dLbls>
        <c:gapWidth val="0"/>
        <c:overlap val="100"/>
        <c:axId val="557539920"/>
        <c:axId val="561011080"/>
      </c:barChart>
      <c:lineChart>
        <c:grouping val="standard"/>
        <c:varyColors val="0"/>
        <c:ser>
          <c:idx val="0"/>
          <c:order val="0"/>
          <c:tx>
            <c:strRef>
              <c:f>'Graf 12 + 13'!$C$6</c:f>
              <c:strCache>
                <c:ptCount val="1"/>
                <c:pt idx="0">
                  <c:v>Nominal balance</c:v>
                </c:pt>
              </c:strCache>
            </c:strRef>
          </c:tx>
          <c:spPr>
            <a:ln w="28575" cap="rnd">
              <a:solidFill>
                <a:srgbClr val="2EAAE1"/>
              </a:solidFill>
              <a:round/>
            </a:ln>
            <a:effectLst/>
          </c:spPr>
          <c:marker>
            <c:symbol val="none"/>
          </c:marker>
          <c:dLbls>
            <c:dLbl>
              <c:idx val="0"/>
              <c:layout>
                <c:manualLayout>
                  <c:x val="-4.6898916006653045E-2"/>
                  <c:y val="-5.3819088833504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22-4604-BC68-E51F08893B8B}"/>
                </c:ext>
              </c:extLst>
            </c:dLbl>
            <c:dLbl>
              <c:idx val="1"/>
              <c:layout>
                <c:manualLayout>
                  <c:x val="-4.4987163443234897E-2"/>
                  <c:y val="4.0173460806616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22-4604-BC68-E51F08893B8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22-4604-BC68-E51F08893B8B}"/>
                </c:ext>
              </c:extLst>
            </c:dLbl>
            <c:dLbl>
              <c:idx val="3"/>
              <c:layout>
                <c:manualLayout>
                  <c:x val="-4.4091444861708837E-2"/>
                  <c:y val="-4.8806824572724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22-4604-BC68-E51F08893B8B}"/>
                </c:ext>
              </c:extLst>
            </c:dLbl>
            <c:dLbl>
              <c:idx val="4"/>
              <c:layout>
                <c:manualLayout>
                  <c:x val="-5.6149422898884175E-3"/>
                  <c:y val="-2.00490570431192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22-4604-BC68-E51F08893B8B}"/>
                </c:ext>
              </c:extLst>
            </c:dLbl>
            <c:dLbl>
              <c:idx val="5"/>
              <c:layout>
                <c:manualLayout>
                  <c:x val="-5.532132944148567E-2"/>
                  <c:y val="-5.3819088833504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22-4604-BC68-E51F08893B8B}"/>
                </c:ext>
              </c:extLst>
            </c:dLbl>
            <c:dLbl>
              <c:idx val="6"/>
              <c:layout>
                <c:manualLayout>
                  <c:x val="-4.6898916006653045E-2"/>
                  <c:y val="3.13894035997529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22-4604-BC68-E51F08893B8B}"/>
                </c:ext>
              </c:extLst>
            </c:dLbl>
            <c:dLbl>
              <c:idx val="7"/>
              <c:layout>
                <c:manualLayout>
                  <c:x val="-5.532132944148567E-2"/>
                  <c:y val="-5.3819088833504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22-4604-BC68-E51F08893B8B}"/>
                </c:ext>
              </c:extLst>
            </c:dLbl>
            <c:dLbl>
              <c:idx val="8"/>
              <c:layout>
                <c:manualLayout>
                  <c:x val="-7.5943199774341219E-3"/>
                  <c:y val="-6.327687629376604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22-4604-BC68-E51F08893B8B}"/>
                </c:ext>
              </c:extLst>
            </c:dLbl>
            <c:dLbl>
              <c:idx val="9"/>
              <c:layout>
                <c:manualLayout>
                  <c:x val="-6.0936271731374086E-2"/>
                  <c:y val="-3.878229605116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22-4604-BC68-E51F08893B8B}"/>
                </c:ext>
              </c:extLst>
            </c:dLbl>
            <c:dLbl>
              <c:idx val="10"/>
              <c:layout>
                <c:manualLayout>
                  <c:x val="-4.9706387151597253E-2"/>
                  <c:y val="-4.3794560311944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22-4604-BC68-E51F08893B8B}"/>
                </c:ext>
              </c:extLst>
            </c:dLbl>
            <c:dLbl>
              <c:idx val="11"/>
              <c:layout>
                <c:manualLayout>
                  <c:x val="-3.8476502571820517E-2"/>
                  <c:y val="-4.3794560311944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22-4604-BC68-E51F08893B8B}"/>
                </c:ext>
              </c:extLst>
            </c:dLbl>
            <c:dLbl>
              <c:idx val="12"/>
              <c:layout>
                <c:manualLayout>
                  <c:x val="-5.8128800586429878E-2"/>
                  <c:y val="3.8782690717641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22-4604-BC68-E51F08893B8B}"/>
                </c:ext>
              </c:extLst>
            </c:dLbl>
            <c:dLbl>
              <c:idx val="13"/>
              <c:layout>
                <c:manualLayout>
                  <c:x val="-4.491953831910734E-2"/>
                  <c:y val="3.50858498254587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22-4604-BC68-E51F08893B8B}"/>
                </c:ext>
              </c:extLst>
            </c:dLbl>
            <c:dLbl>
              <c:idx val="15"/>
              <c:layout>
                <c:manualLayout>
                  <c:x val="-8.2603538209461327E-2"/>
                  <c:y val="1.0178448447678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22-4604-BC68-E51F08893B8B}"/>
                </c:ext>
              </c:extLst>
            </c:dLbl>
            <c:dLbl>
              <c:idx val="16"/>
              <c:layout>
                <c:manualLayout>
                  <c:x val="-1.5215830423437389E-2"/>
                  <c:y val="-5.8831353094283848E-2"/>
                </c:manualLayout>
              </c:layout>
              <c:spPr>
                <a:noFill/>
                <a:ln>
                  <a:solidFill>
                    <a:srgbClr val="2EAAE1"/>
                  </a:solidFill>
                </a:ln>
                <a:effectLst/>
              </c:spPr>
              <c:txPr>
                <a:bodyPr rot="0" spcFirstLastPara="1" vertOverflow="ellipsis" vert="horz" wrap="square" anchor="ctr" anchorCtr="1"/>
                <a:lstStyle/>
                <a:p>
                  <a:pPr>
                    <a:defRPr sz="1000" b="1" i="0" u="none" strike="noStrike" kern="1200" baseline="0">
                      <a:solidFill>
                        <a:srgbClr val="2EAAE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22-4604-BC68-E51F08893B8B}"/>
                </c:ext>
              </c:extLst>
            </c:dLbl>
            <c:spPr>
              <a:noFill/>
              <a:ln>
                <a:noFill/>
              </a:ln>
              <a:effectLst/>
            </c:spPr>
            <c:txPr>
              <a:bodyPr rot="0" spcFirstLastPara="1" vertOverflow="ellipsis" vert="horz" wrap="square" anchor="ctr" anchorCtr="1"/>
              <a:lstStyle/>
              <a:p>
                <a:pPr>
                  <a:defRPr sz="1000" b="1" i="0" u="none" strike="noStrike" kern="1200" baseline="0">
                    <a:solidFill>
                      <a:srgbClr val="2EAAE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+ 13'!$D$6:$T$6</c:f>
              <c:numCache>
                <c:formatCode>_-* #\ ##0.0\ _€_-;\-* #\ ##0.0\ _€_-;_-* "-"??\ _€_-;_-@_-</c:formatCode>
                <c:ptCount val="17"/>
                <c:pt idx="0">
                  <c:v>-2.5</c:v>
                </c:pt>
                <c:pt idx="1">
                  <c:v>-8.1</c:v>
                </c:pt>
                <c:pt idx="2">
                  <c:v>-7.5</c:v>
                </c:pt>
                <c:pt idx="3">
                  <c:v>-4.3</c:v>
                </c:pt>
                <c:pt idx="4">
                  <c:v>-4.4000000000000004</c:v>
                </c:pt>
                <c:pt idx="5">
                  <c:v>-2.9</c:v>
                </c:pt>
                <c:pt idx="6">
                  <c:v>-3.1</c:v>
                </c:pt>
                <c:pt idx="7">
                  <c:v>-2.7</c:v>
                </c:pt>
                <c:pt idx="8">
                  <c:v>-2.6</c:v>
                </c:pt>
                <c:pt idx="9">
                  <c:v>-1</c:v>
                </c:pt>
                <c:pt idx="10">
                  <c:v>-1</c:v>
                </c:pt>
                <c:pt idx="11">
                  <c:v>-1.2</c:v>
                </c:pt>
                <c:pt idx="12">
                  <c:v>-5.3</c:v>
                </c:pt>
                <c:pt idx="13">
                  <c:v>-5.2</c:v>
                </c:pt>
                <c:pt idx="14">
                  <c:v>-1.7</c:v>
                </c:pt>
                <c:pt idx="15">
                  <c:v>-4.9000000000000004</c:v>
                </c:pt>
                <c:pt idx="16">
                  <c:v>-5.79</c:v>
                </c:pt>
              </c:numCache>
            </c:numRef>
          </c:val>
          <c:smooth val="0"/>
          <c:extLst>
            <c:ext xmlns:c16="http://schemas.microsoft.com/office/drawing/2014/chart" uri="{C3380CC4-5D6E-409C-BE32-E72D297353CC}">
              <c16:uniqueId val="{00000013-2922-4604-BC68-E51F08893B8B}"/>
            </c:ext>
          </c:extLst>
        </c:ser>
        <c:ser>
          <c:idx val="1"/>
          <c:order val="1"/>
          <c:tx>
            <c:strRef>
              <c:f>'Graf 12 + 13'!$C$7</c:f>
              <c:strCache>
                <c:ptCount val="1"/>
                <c:pt idx="0">
                  <c:v>Nominal balance at budgeting</c:v>
                </c:pt>
              </c:strCache>
            </c:strRef>
          </c:tx>
          <c:spPr>
            <a:ln w="28575" cap="rnd">
              <a:noFill/>
              <a:round/>
            </a:ln>
            <a:effectLst/>
          </c:spPr>
          <c:marker>
            <c:symbol val="circle"/>
            <c:size val="7"/>
            <c:spPr>
              <a:solidFill>
                <a:sysClr val="windowText" lastClr="000000"/>
              </a:solidFill>
              <a:ln w="9525">
                <a:solidFill>
                  <a:sysClr val="windowText" lastClr="000000"/>
                </a:solidFill>
              </a:ln>
              <a:effectLst/>
            </c:spPr>
          </c:marker>
          <c:dPt>
            <c:idx val="16"/>
            <c:marker>
              <c:symbol val="circle"/>
              <c:size val="7"/>
              <c:spPr>
                <a:solidFill>
                  <a:sysClr val="windowText" lastClr="000000"/>
                </a:solidFill>
                <a:ln w="9525">
                  <a:solidFill>
                    <a:sysClr val="windowText" lastClr="000000"/>
                  </a:solidFill>
                </a:ln>
                <a:effectLst/>
              </c:spPr>
            </c:marker>
            <c:bubble3D val="0"/>
            <c:extLst>
              <c:ext xmlns:c16="http://schemas.microsoft.com/office/drawing/2014/chart" uri="{C3380CC4-5D6E-409C-BE32-E72D297353CC}">
                <c16:uniqueId val="{00000014-2922-4604-BC68-E51F08893B8B}"/>
              </c:ext>
            </c:extLst>
          </c:dPt>
          <c:dLbls>
            <c:dLbl>
              <c:idx val="16"/>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extLst>
                <c:ext xmlns:c16="http://schemas.microsoft.com/office/drawing/2014/chart" uri="{C3380CC4-5D6E-409C-BE32-E72D297353CC}">
                  <c16:uniqueId val="{00000014-2922-4604-BC68-E51F08893B8B}"/>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+ 13'!$D$7:$T$7</c:f>
              <c:numCache>
                <c:formatCode>_-* #\ ##0.0\ _€_-;\-* #\ ##0.0\ _€_-;_-* "-"??\ _€_-;_-@_-</c:formatCode>
                <c:ptCount val="17"/>
                <c:pt idx="16">
                  <c:v>-5.976147865853668</c:v>
                </c:pt>
              </c:numCache>
            </c:numRef>
          </c:val>
          <c:smooth val="0"/>
          <c:extLst>
            <c:ext xmlns:c16="http://schemas.microsoft.com/office/drawing/2014/chart" uri="{C3380CC4-5D6E-409C-BE32-E72D297353CC}">
              <c16:uniqueId val="{00000015-2922-4604-BC68-E51F08893B8B}"/>
            </c:ext>
          </c:extLst>
        </c:ser>
        <c:ser>
          <c:idx val="5"/>
          <c:order val="2"/>
          <c:tx>
            <c:strRef>
              <c:f>'Graf 12 + 13'!$C$11</c:f>
              <c:strCache>
                <c:ptCount val="1"/>
                <c:pt idx="0">
                  <c:v>Excessive deficit threshold</c:v>
                </c:pt>
              </c:strCache>
            </c:strRef>
          </c:tx>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2922-4604-BC68-E51F08893B8B}"/>
                </c:ext>
              </c:extLst>
            </c:dLbl>
            <c:dLbl>
              <c:idx val="1"/>
              <c:delete val="1"/>
              <c:extLst>
                <c:ext xmlns:c15="http://schemas.microsoft.com/office/drawing/2012/chart" uri="{CE6537A1-D6FC-4f65-9D91-7224C49458BB}"/>
                <c:ext xmlns:c16="http://schemas.microsoft.com/office/drawing/2014/chart" uri="{C3380CC4-5D6E-409C-BE32-E72D297353CC}">
                  <c16:uniqueId val="{00000017-2922-4604-BC68-E51F08893B8B}"/>
                </c:ext>
              </c:extLst>
            </c:dLbl>
            <c:dLbl>
              <c:idx val="2"/>
              <c:delete val="1"/>
              <c:extLst>
                <c:ext xmlns:c15="http://schemas.microsoft.com/office/drawing/2012/chart" uri="{CE6537A1-D6FC-4f65-9D91-7224C49458BB}"/>
                <c:ext xmlns:c16="http://schemas.microsoft.com/office/drawing/2014/chart" uri="{C3380CC4-5D6E-409C-BE32-E72D297353CC}">
                  <c16:uniqueId val="{00000018-2922-4604-BC68-E51F08893B8B}"/>
                </c:ext>
              </c:extLst>
            </c:dLbl>
            <c:dLbl>
              <c:idx val="3"/>
              <c:layout>
                <c:manualLayout>
                  <c:x val="-4.6943642580964416E-2"/>
                  <c:y val="-4.8889987052649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0000"/>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922-4604-BC68-E51F08893B8B}"/>
                </c:ext>
              </c:extLst>
            </c:dLbl>
            <c:dLbl>
              <c:idx val="4"/>
              <c:delete val="1"/>
              <c:extLst>
                <c:ext xmlns:c15="http://schemas.microsoft.com/office/drawing/2012/chart" uri="{CE6537A1-D6FC-4f65-9D91-7224C49458BB}"/>
                <c:ext xmlns:c16="http://schemas.microsoft.com/office/drawing/2014/chart" uri="{C3380CC4-5D6E-409C-BE32-E72D297353CC}">
                  <c16:uniqueId val="{0000001A-2922-4604-BC68-E51F08893B8B}"/>
                </c:ext>
              </c:extLst>
            </c:dLbl>
            <c:dLbl>
              <c:idx val="5"/>
              <c:delete val="1"/>
              <c:extLst>
                <c:ext xmlns:c15="http://schemas.microsoft.com/office/drawing/2012/chart" uri="{CE6537A1-D6FC-4f65-9D91-7224C49458BB}"/>
                <c:ext xmlns:c16="http://schemas.microsoft.com/office/drawing/2014/chart" uri="{C3380CC4-5D6E-409C-BE32-E72D297353CC}">
                  <c16:uniqueId val="{0000001B-2922-4604-BC68-E51F08893B8B}"/>
                </c:ext>
              </c:extLst>
            </c:dLbl>
            <c:dLbl>
              <c:idx val="6"/>
              <c:delete val="1"/>
              <c:extLst>
                <c:ext xmlns:c15="http://schemas.microsoft.com/office/drawing/2012/chart" uri="{CE6537A1-D6FC-4f65-9D91-7224C49458BB}"/>
                <c:ext xmlns:c16="http://schemas.microsoft.com/office/drawing/2014/chart" uri="{C3380CC4-5D6E-409C-BE32-E72D297353CC}">
                  <c16:uniqueId val="{0000001C-2922-4604-BC68-E51F08893B8B}"/>
                </c:ext>
              </c:extLst>
            </c:dLbl>
            <c:dLbl>
              <c:idx val="7"/>
              <c:delete val="1"/>
              <c:extLst>
                <c:ext xmlns:c15="http://schemas.microsoft.com/office/drawing/2012/chart" uri="{CE6537A1-D6FC-4f65-9D91-7224C49458BB}"/>
                <c:ext xmlns:c16="http://schemas.microsoft.com/office/drawing/2014/chart" uri="{C3380CC4-5D6E-409C-BE32-E72D297353CC}">
                  <c16:uniqueId val="{0000001D-2922-4604-BC68-E51F08893B8B}"/>
                </c:ext>
              </c:extLst>
            </c:dLbl>
            <c:dLbl>
              <c:idx val="8"/>
              <c:delete val="1"/>
              <c:extLst>
                <c:ext xmlns:c15="http://schemas.microsoft.com/office/drawing/2012/chart" uri="{CE6537A1-D6FC-4f65-9D91-7224C49458BB}"/>
                <c:ext xmlns:c16="http://schemas.microsoft.com/office/drawing/2014/chart" uri="{C3380CC4-5D6E-409C-BE32-E72D297353CC}">
                  <c16:uniqueId val="{0000001E-2922-4604-BC68-E51F08893B8B}"/>
                </c:ext>
              </c:extLst>
            </c:dLbl>
            <c:dLbl>
              <c:idx val="9"/>
              <c:delete val="1"/>
              <c:extLst>
                <c:ext xmlns:c15="http://schemas.microsoft.com/office/drawing/2012/chart" uri="{CE6537A1-D6FC-4f65-9D91-7224C49458BB}"/>
                <c:ext xmlns:c16="http://schemas.microsoft.com/office/drawing/2014/chart" uri="{C3380CC4-5D6E-409C-BE32-E72D297353CC}">
                  <c16:uniqueId val="{0000001F-2922-4604-BC68-E51F08893B8B}"/>
                </c:ext>
              </c:extLst>
            </c:dLbl>
            <c:dLbl>
              <c:idx val="10"/>
              <c:delete val="1"/>
              <c:extLst>
                <c:ext xmlns:c15="http://schemas.microsoft.com/office/drawing/2012/chart" uri="{CE6537A1-D6FC-4f65-9D91-7224C49458BB}"/>
                <c:ext xmlns:c16="http://schemas.microsoft.com/office/drawing/2014/chart" uri="{C3380CC4-5D6E-409C-BE32-E72D297353CC}">
                  <c16:uniqueId val="{00000020-2922-4604-BC68-E51F08893B8B}"/>
                </c:ext>
              </c:extLst>
            </c:dLbl>
            <c:dLbl>
              <c:idx val="11"/>
              <c:delete val="1"/>
              <c:extLst>
                <c:ext xmlns:c15="http://schemas.microsoft.com/office/drawing/2012/chart" uri="{CE6537A1-D6FC-4f65-9D91-7224C49458BB}"/>
                <c:ext xmlns:c16="http://schemas.microsoft.com/office/drawing/2014/chart" uri="{C3380CC4-5D6E-409C-BE32-E72D297353CC}">
                  <c16:uniqueId val="{00000021-2922-4604-BC68-E51F08893B8B}"/>
                </c:ext>
              </c:extLst>
            </c:dLbl>
            <c:dLbl>
              <c:idx val="12"/>
              <c:delete val="1"/>
              <c:extLst>
                <c:ext xmlns:c15="http://schemas.microsoft.com/office/drawing/2012/chart" uri="{CE6537A1-D6FC-4f65-9D91-7224C49458BB}"/>
                <c:ext xmlns:c16="http://schemas.microsoft.com/office/drawing/2014/chart" uri="{C3380CC4-5D6E-409C-BE32-E72D297353CC}">
                  <c16:uniqueId val="{00000022-2922-4604-BC68-E51F08893B8B}"/>
                </c:ext>
              </c:extLst>
            </c:dLbl>
            <c:dLbl>
              <c:idx val="13"/>
              <c:delete val="1"/>
              <c:extLst>
                <c:ext xmlns:c15="http://schemas.microsoft.com/office/drawing/2012/chart" uri="{CE6537A1-D6FC-4f65-9D91-7224C49458BB}"/>
                <c:ext xmlns:c16="http://schemas.microsoft.com/office/drawing/2014/chart" uri="{C3380CC4-5D6E-409C-BE32-E72D297353CC}">
                  <c16:uniqueId val="{00000023-2922-4604-BC68-E51F08893B8B}"/>
                </c:ext>
              </c:extLst>
            </c:dLbl>
            <c:dLbl>
              <c:idx val="14"/>
              <c:delete val="1"/>
              <c:extLst>
                <c:ext xmlns:c15="http://schemas.microsoft.com/office/drawing/2012/chart" uri="{CE6537A1-D6FC-4f65-9D91-7224C49458BB}"/>
                <c:ext xmlns:c16="http://schemas.microsoft.com/office/drawing/2014/chart" uri="{C3380CC4-5D6E-409C-BE32-E72D297353CC}">
                  <c16:uniqueId val="{00000024-2922-4604-BC68-E51F08893B8B}"/>
                </c:ext>
              </c:extLst>
            </c:dLbl>
            <c:dLbl>
              <c:idx val="15"/>
              <c:delete val="1"/>
              <c:extLst>
                <c:ext xmlns:c15="http://schemas.microsoft.com/office/drawing/2012/chart" uri="{CE6537A1-D6FC-4f65-9D91-7224C49458BB}"/>
                <c:ext xmlns:c16="http://schemas.microsoft.com/office/drawing/2014/chart" uri="{C3380CC4-5D6E-409C-BE32-E72D297353CC}">
                  <c16:uniqueId val="{00000025-2922-4604-BC68-E51F08893B8B}"/>
                </c:ext>
              </c:extLst>
            </c:dLbl>
            <c:dLbl>
              <c:idx val="16"/>
              <c:delete val="1"/>
              <c:extLst>
                <c:ext xmlns:c15="http://schemas.microsoft.com/office/drawing/2012/chart" uri="{CE6537A1-D6FC-4f65-9D91-7224C49458BB}"/>
                <c:ext xmlns:c16="http://schemas.microsoft.com/office/drawing/2014/chart" uri="{C3380CC4-5D6E-409C-BE32-E72D297353CC}">
                  <c16:uniqueId val="{00000026-2922-4604-BC68-E51F08893B8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 + 13'!$D$5:$T$5</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12 + 13'!$D$11:$T$11</c:f>
              <c:numCache>
                <c:formatCode>_-* #\ ##0.0\ _€_-;\-* #\ ##0.0\ _€_-;_-* "-"??\ _€_-;_-@_-</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val>
          <c:smooth val="0"/>
          <c:extLst>
            <c:ext xmlns:c16="http://schemas.microsoft.com/office/drawing/2014/chart" uri="{C3380CC4-5D6E-409C-BE32-E72D297353CC}">
              <c16:uniqueId val="{00000027-2922-4604-BC68-E51F08893B8B}"/>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0"/>
          <c:min val="-9"/>
        </c:scaling>
        <c:delete val="0"/>
        <c:axPos val="l"/>
        <c:majorGridlines>
          <c:spPr>
            <a:ln w="3175" cap="flat" cmpd="sng" algn="ctr">
              <a:solidFill>
                <a:srgbClr val="676868">
                  <a:alpha val="24706"/>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2"/>
      </c:valAx>
      <c:spPr>
        <a:noFill/>
        <a:ln>
          <a:noFill/>
        </a:ln>
        <a:effectLst/>
      </c:spPr>
    </c:plotArea>
    <c:legend>
      <c:legendPos val="r"/>
      <c:legendEntry>
        <c:idx val="0"/>
        <c:delete val="1"/>
      </c:legendEntry>
      <c:legendEntry>
        <c:idx val="1"/>
        <c:delete val="1"/>
      </c:legendEntry>
      <c:legendEntry>
        <c:idx val="2"/>
        <c:delete val="1"/>
      </c:legendEntry>
      <c:layout>
        <c:manualLayout>
          <c:xMode val="edge"/>
          <c:yMode val="edge"/>
          <c:x val="0.27360469485105549"/>
          <c:y val="0.4685173800887536"/>
          <c:w val="0.36669628755033379"/>
          <c:h val="0.1871273683274197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4"/>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14'!$D$6</c:f>
              <c:strCache>
                <c:ptCount val="1"/>
                <c:pt idx="0">
                  <c:v>makroekonomické ukazovatele</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14'!$E$5</c:f>
              <c:numCache>
                <c:formatCode>General</c:formatCode>
                <c:ptCount val="1"/>
                <c:pt idx="0">
                  <c:v>2024</c:v>
                </c:pt>
              </c:numCache>
            </c:numRef>
          </c:cat>
          <c:val>
            <c:numRef>
              <c:f>'Graf 14'!$E$6</c:f>
              <c:numCache>
                <c:formatCode>0.0</c:formatCode>
                <c:ptCount val="1"/>
                <c:pt idx="0">
                  <c:v>5.9985437089056406</c:v>
                </c:pt>
              </c:numCache>
            </c:numRef>
          </c:val>
          <c:extLst>
            <c:ext xmlns:c16="http://schemas.microsoft.com/office/drawing/2014/chart" uri="{C3380CC4-5D6E-409C-BE32-E72D297353CC}">
              <c16:uniqueId val="{00000000-6C1D-4FA1-9B49-F4C69CE5BC6F}"/>
            </c:ext>
          </c:extLst>
        </c:ser>
        <c:ser>
          <c:idx val="1"/>
          <c:order val="1"/>
          <c:tx>
            <c:strRef>
              <c:f>'Graf 14'!$D$7</c:f>
              <c:strCache>
                <c:ptCount val="1"/>
                <c:pt idx="0">
                  <c:v>efektívna daňová sadzba</c:v>
                </c:pt>
              </c:strCache>
            </c:strRef>
          </c:tx>
          <c:spPr>
            <a:solidFill>
              <a:srgbClr val="5B9BD5"/>
            </a:solidFill>
          </c:spPr>
          <c:invertIfNegative val="0"/>
          <c:cat>
            <c:numRef>
              <c:f>'Graf 14'!$E$5</c:f>
              <c:numCache>
                <c:formatCode>General</c:formatCode>
                <c:ptCount val="1"/>
                <c:pt idx="0">
                  <c:v>2024</c:v>
                </c:pt>
              </c:numCache>
            </c:numRef>
          </c:cat>
          <c:val>
            <c:numRef>
              <c:f>'Graf 14'!$E$7</c:f>
              <c:numCache>
                <c:formatCode>0.0</c:formatCode>
                <c:ptCount val="1"/>
                <c:pt idx="0">
                  <c:v>-0.59592825345522826</c:v>
                </c:pt>
              </c:numCache>
            </c:numRef>
          </c:val>
          <c:extLst>
            <c:ext xmlns:c16="http://schemas.microsoft.com/office/drawing/2014/chart" uri="{C3380CC4-5D6E-409C-BE32-E72D297353CC}">
              <c16:uniqueId val="{00000001-6C1D-4FA1-9B49-F4C69CE5BC6F}"/>
            </c:ext>
          </c:extLst>
        </c:ser>
        <c:ser>
          <c:idx val="8"/>
          <c:order val="2"/>
          <c:tx>
            <c:strRef>
              <c:f>'Graf 14'!$D$8</c:f>
              <c:strCache>
                <c:ptCount val="1"/>
                <c:pt idx="0">
                  <c:v>legislatíva</c:v>
                </c:pt>
              </c:strCache>
            </c:strRef>
          </c:tx>
          <c:spPr>
            <a:solidFill>
              <a:sysClr val="window" lastClr="FFFFFF">
                <a:lumMod val="50000"/>
              </a:sysClr>
            </a:solidFill>
          </c:spPr>
          <c:invertIfNegative val="0"/>
          <c:dLbls>
            <c:dLbl>
              <c:idx val="0"/>
              <c:layout>
                <c:manualLayout>
                  <c:x val="4.5929013755799844E-2"/>
                  <c:y val="-2.7177459858229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1D-4FA1-9B49-F4C69CE5BC6F}"/>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14'!$E$5</c:f>
              <c:numCache>
                <c:formatCode>General</c:formatCode>
                <c:ptCount val="1"/>
                <c:pt idx="0">
                  <c:v>2024</c:v>
                </c:pt>
              </c:numCache>
            </c:numRef>
          </c:cat>
          <c:val>
            <c:numRef>
              <c:f>'Graf 14'!$E$8</c:f>
              <c:numCache>
                <c:formatCode>0.0</c:formatCode>
                <c:ptCount val="1"/>
                <c:pt idx="0">
                  <c:v>4.0592936522718972</c:v>
                </c:pt>
              </c:numCache>
            </c:numRef>
          </c:val>
          <c:extLst>
            <c:ext xmlns:c16="http://schemas.microsoft.com/office/drawing/2014/chart" uri="{C3380CC4-5D6E-409C-BE32-E72D297353CC}">
              <c16:uniqueId val="{00000003-6C1D-4FA1-9B49-F4C69CE5BC6F}"/>
            </c:ext>
          </c:extLst>
        </c:ser>
        <c:ser>
          <c:idx val="3"/>
          <c:order val="3"/>
          <c:tx>
            <c:strRef>
              <c:f>'Graf 14'!$D$9</c:f>
              <c:strCache>
                <c:ptCount val="1"/>
                <c:pt idx="0">
                  <c:v>jednorazové faktory</c:v>
                </c:pt>
              </c:strCache>
            </c:strRef>
          </c:tx>
          <c:spPr>
            <a:solidFill>
              <a:srgbClr val="2C9ADC">
                <a:lumMod val="20000"/>
                <a:lumOff val="80000"/>
              </a:srgbClr>
            </a:solidFill>
          </c:spPr>
          <c:invertIfNegative val="0"/>
          <c:cat>
            <c:numRef>
              <c:f>'Graf 14'!$E$5</c:f>
              <c:numCache>
                <c:formatCode>General</c:formatCode>
                <c:ptCount val="1"/>
                <c:pt idx="0">
                  <c:v>2024</c:v>
                </c:pt>
              </c:numCache>
            </c:numRef>
          </c:cat>
          <c:val>
            <c:numRef>
              <c:f>'Graf 14'!$E$9</c:f>
              <c:numCache>
                <c:formatCode>0.0</c:formatCode>
                <c:ptCount val="1"/>
                <c:pt idx="0">
                  <c:v>-0.12160119024468649</c:v>
                </c:pt>
              </c:numCache>
            </c:numRef>
          </c:val>
          <c:extLst>
            <c:ext xmlns:c16="http://schemas.microsoft.com/office/drawing/2014/chart" uri="{C3380CC4-5D6E-409C-BE32-E72D297353CC}">
              <c16:uniqueId val="{00000004-6C1D-4FA1-9B49-F4C69CE5BC6F}"/>
            </c:ext>
          </c:extLst>
        </c:ser>
        <c:ser>
          <c:idx val="6"/>
          <c:order val="4"/>
          <c:tx>
            <c:strRef>
              <c:f>'Graf 14'!$D$10</c:f>
              <c:strCache>
                <c:ptCount val="1"/>
                <c:pt idx="0">
                  <c:v>ostatné faktory</c:v>
                </c:pt>
              </c:strCache>
            </c:strRef>
          </c:tx>
          <c:spPr>
            <a:solidFill>
              <a:sysClr val="windowText" lastClr="000000">
                <a:lumMod val="65000"/>
                <a:lumOff val="35000"/>
              </a:sysClr>
            </a:solidFill>
          </c:spPr>
          <c:invertIfNegative val="0"/>
          <c:cat>
            <c:numRef>
              <c:f>'Graf 14'!$E$5</c:f>
              <c:numCache>
                <c:formatCode>General</c:formatCode>
                <c:ptCount val="1"/>
                <c:pt idx="0">
                  <c:v>2024</c:v>
                </c:pt>
              </c:numCache>
            </c:numRef>
          </c:cat>
          <c:val>
            <c:numRef>
              <c:f>'Graf 14'!$E$10</c:f>
              <c:numCache>
                <c:formatCode>0.0</c:formatCode>
                <c:ptCount val="1"/>
                <c:pt idx="0">
                  <c:v>-0.89369665857875313</c:v>
                </c:pt>
              </c:numCache>
            </c:numRef>
          </c:val>
          <c:extLst>
            <c:ext xmlns:c16="http://schemas.microsoft.com/office/drawing/2014/chart" uri="{C3380CC4-5D6E-409C-BE32-E72D297353CC}">
              <c16:uniqueId val="{00000005-6C1D-4FA1-9B49-F4C69CE5BC6F}"/>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14'!$D$11</c:f>
              <c:strCache>
                <c:ptCount val="1"/>
                <c:pt idx="0">
                  <c:v>Spolu</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4.7472236654567561E-2"/>
                  <c:y val="-0.163209868003572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1D-4FA1-9B49-F4C69CE5BC6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14'!$E$5</c:f>
              <c:numCache>
                <c:formatCode>General</c:formatCode>
                <c:ptCount val="1"/>
                <c:pt idx="0">
                  <c:v>2024</c:v>
                </c:pt>
              </c:numCache>
            </c:numRef>
          </c:cat>
          <c:val>
            <c:numRef>
              <c:f>'Graf 14'!$E$11</c:f>
              <c:numCache>
                <c:formatCode>0.0</c:formatCode>
                <c:ptCount val="1"/>
                <c:pt idx="0">
                  <c:v>8.4466112588988693</c:v>
                </c:pt>
              </c:numCache>
            </c:numRef>
          </c:val>
          <c:smooth val="0"/>
          <c:extLst>
            <c:ext xmlns:c16="http://schemas.microsoft.com/office/drawing/2014/chart" uri="{C3380CC4-5D6E-409C-BE32-E72D297353CC}">
              <c16:uniqueId val="{00000007-6C1D-4FA1-9B49-F4C69CE5BC6F}"/>
            </c:ext>
          </c:extLst>
        </c:ser>
        <c:ser>
          <c:idx val="4"/>
          <c:order val="6"/>
          <c:tx>
            <c:strRef>
              <c:f>'Graf 14'!$D$12</c:f>
              <c:strCache>
                <c:ptCount val="1"/>
                <c:pt idx="0">
                  <c:v>Rast HDP</c:v>
                </c:pt>
              </c:strCache>
            </c:strRef>
          </c:tx>
          <c:spPr>
            <a:ln w="19050">
              <a:noFill/>
            </a:ln>
          </c:spPr>
          <c:marker>
            <c:symbol val="dash"/>
            <c:size val="14"/>
            <c:spPr>
              <a:solidFill>
                <a:srgbClr val="FF0000"/>
              </a:solidFill>
              <a:ln>
                <a:noFill/>
              </a:ln>
            </c:spPr>
          </c:marker>
          <c:dLbls>
            <c:dLbl>
              <c:idx val="0"/>
              <c:layout>
                <c:manualLayout>
                  <c:x val="9.4409639386921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0B-4611-8D35-E865950FB0B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14'!$E$5</c:f>
              <c:numCache>
                <c:formatCode>General</c:formatCode>
                <c:ptCount val="1"/>
                <c:pt idx="0">
                  <c:v>2024</c:v>
                </c:pt>
              </c:numCache>
            </c:numRef>
          </c:cat>
          <c:val>
            <c:numRef>
              <c:f>'Graf 14'!$E$12</c:f>
              <c:numCache>
                <c:formatCode>General</c:formatCode>
                <c:ptCount val="1"/>
                <c:pt idx="0">
                  <c:v>6.8</c:v>
                </c:pt>
              </c:numCache>
            </c:numRef>
          </c:val>
          <c:smooth val="0"/>
          <c:extLst>
            <c:ext xmlns:c16="http://schemas.microsoft.com/office/drawing/2014/chart" uri="{C3380CC4-5D6E-409C-BE32-E72D297353CC}">
              <c16:uniqueId val="{00000000-5F0B-4611-8D35-E865950FB0B7}"/>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32855197432475708"/>
          <c:h val="0.96671180328953499"/>
        </c:manualLayout>
      </c:layout>
      <c:overlay val="1"/>
    </c:legend>
    <c:plotVisOnly val="1"/>
    <c:dispBlanksAs val="gap"/>
    <c:showDLblsOverMax val="0"/>
  </c:chart>
  <c:spPr>
    <a:noFill/>
    <a:ln>
      <a:noFill/>
    </a:ln>
  </c:spPr>
  <c:txPr>
    <a:bodyPr/>
    <a:lstStyle/>
    <a:p>
      <a:pPr>
        <a:defRPr sz="10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14'!$I$6</c:f>
              <c:strCache>
                <c:ptCount val="1"/>
                <c:pt idx="0">
                  <c:v>macro</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14'!$J$5</c:f>
              <c:numCache>
                <c:formatCode>General</c:formatCode>
                <c:ptCount val="1"/>
                <c:pt idx="0">
                  <c:v>2024</c:v>
                </c:pt>
              </c:numCache>
            </c:numRef>
          </c:cat>
          <c:val>
            <c:numRef>
              <c:f>'Graf 14'!$J$6</c:f>
              <c:numCache>
                <c:formatCode>0.0</c:formatCode>
                <c:ptCount val="1"/>
                <c:pt idx="0">
                  <c:v>5.9985437089056406</c:v>
                </c:pt>
              </c:numCache>
            </c:numRef>
          </c:val>
          <c:extLst>
            <c:ext xmlns:c16="http://schemas.microsoft.com/office/drawing/2014/chart" uri="{C3380CC4-5D6E-409C-BE32-E72D297353CC}">
              <c16:uniqueId val="{00000013-3998-4087-8821-0C0BA255F9C2}"/>
            </c:ext>
          </c:extLst>
        </c:ser>
        <c:ser>
          <c:idx val="1"/>
          <c:order val="1"/>
          <c:tx>
            <c:strRef>
              <c:f>'Graf 14'!$I$7</c:f>
              <c:strCache>
                <c:ptCount val="1"/>
                <c:pt idx="0">
                  <c:v>ETR</c:v>
                </c:pt>
              </c:strCache>
            </c:strRef>
          </c:tx>
          <c:spPr>
            <a:solidFill>
              <a:srgbClr val="5B9BD5"/>
            </a:solidFill>
          </c:spPr>
          <c:invertIfNegative val="0"/>
          <c:cat>
            <c:numRef>
              <c:f>'Graf 14'!$J$5</c:f>
              <c:numCache>
                <c:formatCode>General</c:formatCode>
                <c:ptCount val="1"/>
                <c:pt idx="0">
                  <c:v>2024</c:v>
                </c:pt>
              </c:numCache>
            </c:numRef>
          </c:cat>
          <c:val>
            <c:numRef>
              <c:f>'Graf 14'!$J$7</c:f>
              <c:numCache>
                <c:formatCode>0.0</c:formatCode>
                <c:ptCount val="1"/>
                <c:pt idx="0">
                  <c:v>-0.59592825345522826</c:v>
                </c:pt>
              </c:numCache>
            </c:numRef>
          </c:val>
          <c:extLst>
            <c:ext xmlns:c16="http://schemas.microsoft.com/office/drawing/2014/chart" uri="{C3380CC4-5D6E-409C-BE32-E72D297353CC}">
              <c16:uniqueId val="{00000015-3998-4087-8821-0C0BA255F9C2}"/>
            </c:ext>
          </c:extLst>
        </c:ser>
        <c:ser>
          <c:idx val="8"/>
          <c:order val="2"/>
          <c:tx>
            <c:strRef>
              <c:f>'Graf 14'!$I$8</c:f>
              <c:strCache>
                <c:ptCount val="1"/>
                <c:pt idx="0">
                  <c:v>legisaltion</c:v>
                </c:pt>
              </c:strCache>
            </c:strRef>
          </c:tx>
          <c:spPr>
            <a:solidFill>
              <a:sysClr val="window" lastClr="FFFFFF">
                <a:lumMod val="50000"/>
              </a:sysClr>
            </a:solidFill>
          </c:spPr>
          <c:invertIfNegative val="0"/>
          <c:dLbls>
            <c:dLbl>
              <c:idx val="0"/>
              <c:layout>
                <c:manualLayout>
                  <c:x val="4.5929013755799844E-2"/>
                  <c:y val="-2.7177459858229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98-4087-8821-0C0BA255F9C2}"/>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14'!$J$5</c:f>
              <c:numCache>
                <c:formatCode>General</c:formatCode>
                <c:ptCount val="1"/>
                <c:pt idx="0">
                  <c:v>2024</c:v>
                </c:pt>
              </c:numCache>
            </c:numRef>
          </c:cat>
          <c:val>
            <c:numRef>
              <c:f>'Graf 14'!$J$8</c:f>
              <c:numCache>
                <c:formatCode>0.0</c:formatCode>
                <c:ptCount val="1"/>
                <c:pt idx="0">
                  <c:v>4.0592936522718972</c:v>
                </c:pt>
              </c:numCache>
            </c:numRef>
          </c:val>
          <c:extLst>
            <c:ext xmlns:c16="http://schemas.microsoft.com/office/drawing/2014/chart" uri="{C3380CC4-5D6E-409C-BE32-E72D297353CC}">
              <c16:uniqueId val="{00000018-3998-4087-8821-0C0BA255F9C2}"/>
            </c:ext>
          </c:extLst>
        </c:ser>
        <c:ser>
          <c:idx val="3"/>
          <c:order val="3"/>
          <c:tx>
            <c:strRef>
              <c:f>'Graf 14'!$I$9</c:f>
              <c:strCache>
                <c:ptCount val="1"/>
                <c:pt idx="0">
                  <c:v>one-offs</c:v>
                </c:pt>
              </c:strCache>
            </c:strRef>
          </c:tx>
          <c:spPr>
            <a:solidFill>
              <a:srgbClr val="2C9ADC">
                <a:lumMod val="20000"/>
                <a:lumOff val="80000"/>
              </a:srgbClr>
            </a:solidFill>
          </c:spPr>
          <c:invertIfNegative val="0"/>
          <c:cat>
            <c:numRef>
              <c:f>'Graf 14'!$J$5</c:f>
              <c:numCache>
                <c:formatCode>General</c:formatCode>
                <c:ptCount val="1"/>
                <c:pt idx="0">
                  <c:v>2024</c:v>
                </c:pt>
              </c:numCache>
            </c:numRef>
          </c:cat>
          <c:val>
            <c:numRef>
              <c:f>'Graf 14'!$J$9</c:f>
              <c:numCache>
                <c:formatCode>0.0</c:formatCode>
                <c:ptCount val="1"/>
                <c:pt idx="0">
                  <c:v>-0.12160119024468649</c:v>
                </c:pt>
              </c:numCache>
            </c:numRef>
          </c:val>
          <c:extLst>
            <c:ext xmlns:c16="http://schemas.microsoft.com/office/drawing/2014/chart" uri="{C3380CC4-5D6E-409C-BE32-E72D297353CC}">
              <c16:uniqueId val="{0000001A-3998-4087-8821-0C0BA255F9C2}"/>
            </c:ext>
          </c:extLst>
        </c:ser>
        <c:ser>
          <c:idx val="6"/>
          <c:order val="4"/>
          <c:tx>
            <c:strRef>
              <c:f>'Graf 14'!$I$10</c:f>
              <c:strCache>
                <c:ptCount val="1"/>
                <c:pt idx="0">
                  <c:v>other</c:v>
                </c:pt>
              </c:strCache>
            </c:strRef>
          </c:tx>
          <c:spPr>
            <a:solidFill>
              <a:sysClr val="windowText" lastClr="000000">
                <a:lumMod val="65000"/>
                <a:lumOff val="35000"/>
              </a:sysClr>
            </a:solidFill>
          </c:spPr>
          <c:invertIfNegative val="0"/>
          <c:cat>
            <c:numRef>
              <c:f>'Graf 14'!$J$5</c:f>
              <c:numCache>
                <c:formatCode>General</c:formatCode>
                <c:ptCount val="1"/>
                <c:pt idx="0">
                  <c:v>2024</c:v>
                </c:pt>
              </c:numCache>
            </c:numRef>
          </c:cat>
          <c:val>
            <c:numRef>
              <c:f>'Graf 14'!$J$10</c:f>
              <c:numCache>
                <c:formatCode>0.0</c:formatCode>
                <c:ptCount val="1"/>
                <c:pt idx="0">
                  <c:v>-0.89369665857875313</c:v>
                </c:pt>
              </c:numCache>
            </c:numRef>
          </c:val>
          <c:extLst>
            <c:ext xmlns:c16="http://schemas.microsoft.com/office/drawing/2014/chart" uri="{C3380CC4-5D6E-409C-BE32-E72D297353CC}">
              <c16:uniqueId val="{0000001C-3998-4087-8821-0C0BA255F9C2}"/>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14'!$I$11</c:f>
              <c:strCache>
                <c:ptCount val="1"/>
                <c:pt idx="0">
                  <c:v>Total</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4.7472236654567561E-2"/>
                  <c:y val="-0.163209868003572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998-4087-8821-0C0BA255F9C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14'!$J$5</c:f>
              <c:numCache>
                <c:formatCode>General</c:formatCode>
                <c:ptCount val="1"/>
                <c:pt idx="0">
                  <c:v>2024</c:v>
                </c:pt>
              </c:numCache>
            </c:numRef>
          </c:cat>
          <c:val>
            <c:numRef>
              <c:f>'Graf 14'!$J$11</c:f>
              <c:numCache>
                <c:formatCode>0.0</c:formatCode>
                <c:ptCount val="1"/>
                <c:pt idx="0">
                  <c:v>8.4466112588988693</c:v>
                </c:pt>
              </c:numCache>
            </c:numRef>
          </c:val>
          <c:smooth val="0"/>
          <c:extLst>
            <c:ext xmlns:c16="http://schemas.microsoft.com/office/drawing/2014/chart" uri="{C3380CC4-5D6E-409C-BE32-E72D297353CC}">
              <c16:uniqueId val="{0000001F-3998-4087-8821-0C0BA255F9C2}"/>
            </c:ext>
          </c:extLst>
        </c:ser>
        <c:ser>
          <c:idx val="4"/>
          <c:order val="6"/>
          <c:tx>
            <c:strRef>
              <c:f>'Graf 14'!$I$12</c:f>
              <c:strCache>
                <c:ptCount val="1"/>
                <c:pt idx="0">
                  <c:v>GDP</c:v>
                </c:pt>
              </c:strCache>
            </c:strRef>
          </c:tx>
          <c:spPr>
            <a:ln w="19050">
              <a:noFill/>
            </a:ln>
          </c:spPr>
          <c:marker>
            <c:symbol val="dash"/>
            <c:size val="14"/>
            <c:spPr>
              <a:solidFill>
                <a:srgbClr val="FF0000"/>
              </a:solidFill>
              <a:ln>
                <a:noFill/>
              </a:ln>
            </c:spPr>
          </c:marker>
          <c:dLbls>
            <c:dLbl>
              <c:idx val="0"/>
              <c:layout>
                <c:manualLayout>
                  <c:x val="9.4409639386921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998-4087-8821-0C0BA255F9C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14'!$J$5</c:f>
              <c:numCache>
                <c:formatCode>General</c:formatCode>
                <c:ptCount val="1"/>
                <c:pt idx="0">
                  <c:v>2024</c:v>
                </c:pt>
              </c:numCache>
            </c:numRef>
          </c:cat>
          <c:val>
            <c:numRef>
              <c:f>'Graf 14'!$J$12</c:f>
              <c:numCache>
                <c:formatCode>General</c:formatCode>
                <c:ptCount val="1"/>
                <c:pt idx="0">
                  <c:v>6.8</c:v>
                </c:pt>
              </c:numCache>
            </c:numRef>
          </c:val>
          <c:smooth val="0"/>
          <c:extLst>
            <c:ext xmlns:c16="http://schemas.microsoft.com/office/drawing/2014/chart" uri="{C3380CC4-5D6E-409C-BE32-E72D297353CC}">
              <c16:uniqueId val="{00000022-3998-4087-8821-0C0BA255F9C2}"/>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spPr>
        <a:noFill/>
        <a:ln>
          <a:noFill/>
        </a:ln>
      </c:spPr>
    </c:plotArea>
    <c:legend>
      <c:legendPos val="r"/>
      <c:layout>
        <c:manualLayout>
          <c:xMode val="edge"/>
          <c:yMode val="edge"/>
          <c:x val="0.65939608059963983"/>
          <c:y val="1.0537709335005684E-2"/>
          <c:w val="0.29617394844626033"/>
          <c:h val="0.96671180328953499"/>
        </c:manualLayout>
      </c:layout>
      <c:overlay val="1"/>
    </c:legend>
    <c:plotVisOnly val="1"/>
    <c:dispBlanksAs val="gap"/>
    <c:showDLblsOverMax val="0"/>
  </c:chart>
  <c:spPr>
    <a:noFill/>
    <a:ln>
      <a:noFill/>
    </a:ln>
  </c:spPr>
  <c:txPr>
    <a:bodyPr/>
    <a:lstStyle/>
    <a:p>
      <a:pPr>
        <a:defRPr sz="10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16625570418433E-2"/>
          <c:y val="3.6459067999439432E-2"/>
          <c:w val="0.90940682262994177"/>
          <c:h val="0.73820209973753281"/>
        </c:manualLayout>
      </c:layout>
      <c:lineChart>
        <c:grouping val="standard"/>
        <c:varyColors val="0"/>
        <c:ser>
          <c:idx val="1"/>
          <c:order val="0"/>
          <c:tx>
            <c:strRef>
              <c:f>'Graf 15'!$B$5</c:f>
              <c:strCache>
                <c:ptCount val="1"/>
                <c:pt idx="0">
                  <c:v>Efektívna daňová sadzba DPH</c:v>
                </c:pt>
              </c:strCache>
            </c:strRef>
          </c:tx>
          <c:spPr>
            <a:ln w="19050" cap="rnd">
              <a:solidFill>
                <a:srgbClr val="00B0F0"/>
              </a:solidFill>
              <a:prstDash val="sysDash"/>
              <a:round/>
            </a:ln>
            <a:effectLst/>
          </c:spPr>
          <c:marker>
            <c:symbol val="none"/>
          </c:marker>
          <c:dLbls>
            <c:dLbl>
              <c:idx val="0"/>
              <c:layout>
                <c:manualLayout>
                  <c:x val="-2.0449722130678555E-2"/>
                  <c:y val="-0.19711305606948903"/>
                </c:manualLayout>
              </c:layout>
              <c:tx>
                <c:rich>
                  <a:bodyPr/>
                  <a:lstStyle/>
                  <a:p>
                    <a:r>
                      <a:rPr lang="en-US"/>
                      <a:t>1Q14:</a:t>
                    </a:r>
                    <a:fld id="{28E9564F-A1AC-4D58-B57A-06F4FC50EE91}"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902-4191-BE5C-BE0624B7D3F4}"/>
                </c:ext>
              </c:extLst>
            </c:dLbl>
            <c:dLbl>
              <c:idx val="30"/>
              <c:layout>
                <c:manualLayout>
                  <c:x val="-0.31356240600373791"/>
                  <c:y val="-4.0582099779012434E-2"/>
                </c:manualLayout>
              </c:layout>
              <c:tx>
                <c:rich>
                  <a:bodyPr/>
                  <a:lstStyle/>
                  <a:p>
                    <a:r>
                      <a:rPr lang="en-US"/>
                      <a:t>3Q21:</a:t>
                    </a:r>
                    <a:fld id="{AF20DAEA-9093-4FAF-BB6E-EC148D01BBC8}"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20384964677264739"/>
                      <c:h val="8.3918213145952672E-2"/>
                    </c:manualLayout>
                  </c15:layout>
                  <c15:dlblFieldTable/>
                  <c15:showDataLabelsRange val="0"/>
                </c:ext>
                <c:ext xmlns:c16="http://schemas.microsoft.com/office/drawing/2014/chart" uri="{C3380CC4-5D6E-409C-BE32-E72D297353CC}">
                  <c16:uniqueId val="{00000000-3902-4191-BE5C-BE0624B7D3F4}"/>
                </c:ext>
              </c:extLst>
            </c:dLbl>
            <c:dLbl>
              <c:idx val="41"/>
              <c:layout>
                <c:manualLayout>
                  <c:x val="-7.2823285416932795E-2"/>
                  <c:y val="0.10554815278407351"/>
                </c:manualLayout>
              </c:layout>
              <c:tx>
                <c:rich>
                  <a:bodyPr/>
                  <a:lstStyle/>
                  <a:p>
                    <a:r>
                      <a:rPr lang="en-US"/>
                      <a:t>2Q24: </a:t>
                    </a:r>
                    <a:fld id="{0B83A7AB-CCA1-4D63-A7F0-F920549CF9E8}"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21DC-4743-83F4-40AA0522C657}"/>
                </c:ext>
              </c:extLst>
            </c:dLbl>
            <c:spPr>
              <a:noFill/>
              <a:ln>
                <a:solidFill>
                  <a:sysClr val="windowText" lastClr="000000"/>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50000"/>
                        </a:schemeClr>
                      </a:solidFill>
                      <a:round/>
                    </a:ln>
                    <a:effectLst/>
                  </c:spPr>
                </c15:leaderLines>
              </c:ext>
            </c:extLst>
          </c:dLbls>
          <c:cat>
            <c:numRef>
              <c:f>'Graf 15'!$A$31:$A$72</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'Graf 15'!$B$31:$B$72</c:f>
              <c:numCache>
                <c:formatCode>0.00%</c:formatCode>
                <c:ptCount val="42"/>
                <c:pt idx="0">
                  <c:v>0.14231832653303803</c:v>
                </c:pt>
                <c:pt idx="1">
                  <c:v>0.14077244332624914</c:v>
                </c:pt>
                <c:pt idx="2">
                  <c:v>0.13971106752321402</c:v>
                </c:pt>
                <c:pt idx="3">
                  <c:v>0.14351182881835112</c:v>
                </c:pt>
                <c:pt idx="4">
                  <c:v>0.14511489473856948</c:v>
                </c:pt>
                <c:pt idx="5">
                  <c:v>0.14289093859941562</c:v>
                </c:pt>
                <c:pt idx="6">
                  <c:v>0.14497674192045962</c:v>
                </c:pt>
                <c:pt idx="7">
                  <c:v>0.14186032623444864</c:v>
                </c:pt>
                <c:pt idx="8">
                  <c:v>0.14587867059518178</c:v>
                </c:pt>
                <c:pt idx="9">
                  <c:v>0.1493701562636478</c:v>
                </c:pt>
                <c:pt idx="10">
                  <c:v>0.14994294931345625</c:v>
                </c:pt>
                <c:pt idx="11">
                  <c:v>0.15288723932230783</c:v>
                </c:pt>
                <c:pt idx="12">
                  <c:v>0.14937389374529089</c:v>
                </c:pt>
                <c:pt idx="13">
                  <c:v>0.14746398350608703</c:v>
                </c:pt>
                <c:pt idx="14">
                  <c:v>0.15052371991787061</c:v>
                </c:pt>
                <c:pt idx="15">
                  <c:v>0.15907748641115591</c:v>
                </c:pt>
                <c:pt idx="16">
                  <c:v>0.14951557820348477</c:v>
                </c:pt>
                <c:pt idx="17">
                  <c:v>0.1533095152217151</c:v>
                </c:pt>
                <c:pt idx="18">
                  <c:v>0.15065339531299321</c:v>
                </c:pt>
                <c:pt idx="19">
                  <c:v>0.15216771997892384</c:v>
                </c:pt>
                <c:pt idx="20">
                  <c:v>0.1557725285206687</c:v>
                </c:pt>
                <c:pt idx="21">
                  <c:v>0.1544911100245035</c:v>
                </c:pt>
                <c:pt idx="22">
                  <c:v>0.16048996836632637</c:v>
                </c:pt>
                <c:pt idx="23">
                  <c:v>0.16112338663064438</c:v>
                </c:pt>
                <c:pt idx="24">
                  <c:v>0.15618418226956349</c:v>
                </c:pt>
                <c:pt idx="25">
                  <c:v>0.15016286475451132</c:v>
                </c:pt>
                <c:pt idx="26">
                  <c:v>0.16152259744151176</c:v>
                </c:pt>
                <c:pt idx="27">
                  <c:v>0.16021000340344271</c:v>
                </c:pt>
                <c:pt idx="28">
                  <c:v>0.15513640646595686</c:v>
                </c:pt>
                <c:pt idx="29">
                  <c:v>0.1618272605505022</c:v>
                </c:pt>
                <c:pt idx="30">
                  <c:v>0.16508654739280268</c:v>
                </c:pt>
                <c:pt idx="31">
                  <c:v>0.16345894287321561</c:v>
                </c:pt>
                <c:pt idx="32">
                  <c:v>0.16067140746691885</c:v>
                </c:pt>
                <c:pt idx="33">
                  <c:v>0.16316595958283678</c:v>
                </c:pt>
                <c:pt idx="34">
                  <c:v>0.15664572957940265</c:v>
                </c:pt>
                <c:pt idx="35">
                  <c:v>0.15812456431232746</c:v>
                </c:pt>
                <c:pt idx="36">
                  <c:v>0.16240418722334665</c:v>
                </c:pt>
                <c:pt idx="37">
                  <c:v>0.16042799592693552</c:v>
                </c:pt>
                <c:pt idx="38">
                  <c:v>0.15813454935909424</c:v>
                </c:pt>
                <c:pt idx="39">
                  <c:v>0.15845728346166013</c:v>
                </c:pt>
                <c:pt idx="40">
                  <c:v>0.1554179972905505</c:v>
                </c:pt>
                <c:pt idx="41">
                  <c:v>0.15561629409479158</c:v>
                </c:pt>
              </c:numCache>
            </c:numRef>
          </c:val>
          <c:smooth val="0"/>
          <c:extLst>
            <c:ext xmlns:c16="http://schemas.microsoft.com/office/drawing/2014/chart" uri="{C3380CC4-5D6E-409C-BE32-E72D297353CC}">
              <c16:uniqueId val="{00000003-21DC-4743-83F4-40AA0522C657}"/>
            </c:ext>
          </c:extLst>
        </c:ser>
        <c:ser>
          <c:idx val="2"/>
          <c:order val="1"/>
          <c:tx>
            <c:strRef>
              <c:f>'Graf 4'!#REF!</c:f>
              <c:strCache>
                <c:ptCount val="1"/>
                <c:pt idx="0">
                  <c:v>#REF!</c:v>
                </c:pt>
              </c:strCache>
              <c:extLst xmlns:c15="http://schemas.microsoft.com/office/drawing/2012/chart"/>
            </c:strRef>
          </c:tx>
          <c:spPr>
            <a:ln w="28575" cap="rnd">
              <a:solidFill>
                <a:schemeClr val="accent3"/>
              </a:solidFill>
              <a:round/>
            </a:ln>
            <a:effectLst/>
          </c:spPr>
          <c:marker>
            <c:symbol val="none"/>
          </c:marker>
          <c:cat>
            <c:numRef>
              <c:f>'[85]Graf 4X'!$A$28:$A$69</c:f>
              <c:numCache>
                <c:formatCode>General</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'Graf 4'!#REF!</c:f>
              <c:extLst xmlns:c15="http://schemas.microsoft.com/office/drawing/2012/chart"/>
            </c:numRef>
          </c:val>
          <c:smooth val="0"/>
          <c:extLst xmlns:c15="http://schemas.microsoft.com/office/drawing/2012/chart">
            <c:ext xmlns:c16="http://schemas.microsoft.com/office/drawing/2014/chart" uri="{C3380CC4-5D6E-409C-BE32-E72D297353CC}">
              <c16:uniqueId val="{00000004-21DC-4743-83F4-40AA0522C657}"/>
            </c:ext>
          </c:extLst>
        </c:ser>
        <c:dLbls>
          <c:showLegendKey val="0"/>
          <c:showVal val="0"/>
          <c:showCatName val="0"/>
          <c:showSerName val="0"/>
          <c:showPercent val="0"/>
          <c:showBubbleSize val="0"/>
        </c:dLbls>
        <c:smooth val="0"/>
        <c:axId val="971032664"/>
        <c:axId val="971030696"/>
        <c:extLst/>
      </c:lineChart>
      <c:dateAx>
        <c:axId val="971032664"/>
        <c:scaling>
          <c:orientation val="minMax"/>
        </c:scaling>
        <c:delete val="0"/>
        <c:axPos val="b"/>
        <c:numFmt formatCode="m/d/yyyy"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971030696"/>
        <c:crosses val="autoZero"/>
        <c:auto val="1"/>
        <c:lblOffset val="100"/>
        <c:baseTimeUnit val="months"/>
      </c:dateAx>
      <c:valAx>
        <c:axId val="971030696"/>
        <c:scaling>
          <c:orientation val="minMax"/>
          <c:min val="0.13500000000000001"/>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9710326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93744702712424E-2"/>
          <c:y val="3.4511370458547151E-2"/>
          <c:w val="0.90940682262994177"/>
          <c:h val="0.64970723834652166"/>
        </c:manualLayout>
      </c:layout>
      <c:lineChart>
        <c:grouping val="standard"/>
        <c:varyColors val="0"/>
        <c:ser>
          <c:idx val="1"/>
          <c:order val="0"/>
          <c:tx>
            <c:strRef>
              <c:f>'Graf 15'!$B$6</c:f>
              <c:strCache>
                <c:ptCount val="1"/>
                <c:pt idx="0">
                  <c:v>Effective tax rates - VAT</c:v>
                </c:pt>
              </c:strCache>
            </c:strRef>
          </c:tx>
          <c:spPr>
            <a:ln w="19050" cap="rnd">
              <a:solidFill>
                <a:srgbClr val="00B0F0"/>
              </a:solidFill>
              <a:prstDash val="sysDash"/>
              <a:round/>
            </a:ln>
            <a:effectLst/>
          </c:spPr>
          <c:marker>
            <c:symbol val="none"/>
          </c:marker>
          <c:dLbls>
            <c:dLbl>
              <c:idx val="0"/>
              <c:layout>
                <c:manualLayout>
                  <c:x val="-1.0323614142863646E-2"/>
                  <c:y val="-0.23769338081762115"/>
                </c:manualLayout>
              </c:layout>
              <c:tx>
                <c:rich>
                  <a:bodyPr/>
                  <a:lstStyle/>
                  <a:p>
                    <a:r>
                      <a:rPr lang="en-US"/>
                      <a:t>1Q14:</a:t>
                    </a:r>
                    <a:fld id="{0194B8C2-1553-486B-9712-D60D757FDBAF}"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1D7-48DE-A086-B34AA696F955}"/>
                </c:ext>
              </c:extLst>
            </c:dLbl>
            <c:dLbl>
              <c:idx val="30"/>
              <c:layout>
                <c:manualLayout>
                  <c:x val="-0.27529637714303062"/>
                  <c:y val="-5.485231865022025E-2"/>
                </c:manualLayout>
              </c:layout>
              <c:tx>
                <c:rich>
                  <a:bodyPr/>
                  <a:lstStyle/>
                  <a:p>
                    <a:r>
                      <a:rPr lang="en-US"/>
                      <a:t>3Q21:</a:t>
                    </a:r>
                    <a:fld id="{DD7D9969-4659-42BD-9EB3-813FB631015C}"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212700863390134"/>
                      <c:h val="7.6031648300178001E-2"/>
                    </c:manualLayout>
                  </c15:layout>
                  <c15:dlblFieldTable/>
                  <c15:showDataLabelsRange val="0"/>
                </c:ext>
                <c:ext xmlns:c16="http://schemas.microsoft.com/office/drawing/2014/chart" uri="{C3380CC4-5D6E-409C-BE32-E72D297353CC}">
                  <c16:uniqueId val="{00000000-21D7-48DE-A086-B34AA696F955}"/>
                </c:ext>
              </c:extLst>
            </c:dLbl>
            <c:dLbl>
              <c:idx val="41"/>
              <c:layout>
                <c:manualLayout>
                  <c:x val="-3.6756266244112018E-2"/>
                  <c:y val="0.14999445718039886"/>
                </c:manualLayout>
              </c:layout>
              <c:tx>
                <c:rich>
                  <a:bodyPr/>
                  <a:lstStyle/>
                  <a:p>
                    <a:r>
                      <a:rPr lang="en-US"/>
                      <a:t>2Q24:</a:t>
                    </a:r>
                    <a:fld id="{0B83A7AB-CCA1-4D63-A7F0-F920549CF9E8}"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2023772492472703"/>
                      <c:h val="9.7210498052334782E-2"/>
                    </c:manualLayout>
                  </c15:layout>
                  <c15:dlblFieldTable/>
                  <c15:showDataLabelsRange val="0"/>
                </c:ext>
                <c:ext xmlns:c16="http://schemas.microsoft.com/office/drawing/2014/chart" uri="{C3380CC4-5D6E-409C-BE32-E72D297353CC}">
                  <c16:uniqueId val="{00000001-F00A-46A8-AAEB-28E60FE345C8}"/>
                </c:ext>
              </c:extLst>
            </c:dLbl>
            <c:spPr>
              <a:noFill/>
              <a:ln>
                <a:solidFill>
                  <a:sysClr val="windowText" lastClr="000000"/>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50000"/>
                        </a:schemeClr>
                      </a:solidFill>
                      <a:round/>
                    </a:ln>
                    <a:effectLst/>
                  </c:spPr>
                </c15:leaderLines>
              </c:ext>
            </c:extLst>
          </c:dLbls>
          <c:cat>
            <c:numRef>
              <c:f>'Graf 15'!$A$31:$A$72</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'Graf 15'!$B$31:$B$72</c:f>
              <c:numCache>
                <c:formatCode>0.00%</c:formatCode>
                <c:ptCount val="42"/>
                <c:pt idx="0">
                  <c:v>0.14231832653303803</c:v>
                </c:pt>
                <c:pt idx="1">
                  <c:v>0.14077244332624914</c:v>
                </c:pt>
                <c:pt idx="2">
                  <c:v>0.13971106752321402</c:v>
                </c:pt>
                <c:pt idx="3">
                  <c:v>0.14351182881835112</c:v>
                </c:pt>
                <c:pt idx="4">
                  <c:v>0.14511489473856948</c:v>
                </c:pt>
                <c:pt idx="5">
                  <c:v>0.14289093859941562</c:v>
                </c:pt>
                <c:pt idx="6">
                  <c:v>0.14497674192045962</c:v>
                </c:pt>
                <c:pt idx="7">
                  <c:v>0.14186032623444864</c:v>
                </c:pt>
                <c:pt idx="8">
                  <c:v>0.14587867059518178</c:v>
                </c:pt>
                <c:pt idx="9">
                  <c:v>0.1493701562636478</c:v>
                </c:pt>
                <c:pt idx="10">
                  <c:v>0.14994294931345625</c:v>
                </c:pt>
                <c:pt idx="11">
                  <c:v>0.15288723932230783</c:v>
                </c:pt>
                <c:pt idx="12">
                  <c:v>0.14937389374529089</c:v>
                </c:pt>
                <c:pt idx="13">
                  <c:v>0.14746398350608703</c:v>
                </c:pt>
                <c:pt idx="14">
                  <c:v>0.15052371991787061</c:v>
                </c:pt>
                <c:pt idx="15">
                  <c:v>0.15907748641115591</c:v>
                </c:pt>
                <c:pt idx="16">
                  <c:v>0.14951557820348477</c:v>
                </c:pt>
                <c:pt idx="17">
                  <c:v>0.1533095152217151</c:v>
                </c:pt>
                <c:pt idx="18">
                  <c:v>0.15065339531299321</c:v>
                </c:pt>
                <c:pt idx="19">
                  <c:v>0.15216771997892384</c:v>
                </c:pt>
                <c:pt idx="20">
                  <c:v>0.1557725285206687</c:v>
                </c:pt>
                <c:pt idx="21">
                  <c:v>0.1544911100245035</c:v>
                </c:pt>
                <c:pt idx="22">
                  <c:v>0.16048996836632637</c:v>
                </c:pt>
                <c:pt idx="23">
                  <c:v>0.16112338663064438</c:v>
                </c:pt>
                <c:pt idx="24">
                  <c:v>0.15618418226956349</c:v>
                </c:pt>
                <c:pt idx="25">
                  <c:v>0.15016286475451132</c:v>
                </c:pt>
                <c:pt idx="26">
                  <c:v>0.16152259744151176</c:v>
                </c:pt>
                <c:pt idx="27">
                  <c:v>0.16021000340344271</c:v>
                </c:pt>
                <c:pt idx="28">
                  <c:v>0.15513640646595686</c:v>
                </c:pt>
                <c:pt idx="29">
                  <c:v>0.1618272605505022</c:v>
                </c:pt>
                <c:pt idx="30">
                  <c:v>0.16508654739280268</c:v>
                </c:pt>
                <c:pt idx="31">
                  <c:v>0.16345894287321561</c:v>
                </c:pt>
                <c:pt idx="32">
                  <c:v>0.16067140746691885</c:v>
                </c:pt>
                <c:pt idx="33">
                  <c:v>0.16316595958283678</c:v>
                </c:pt>
                <c:pt idx="34">
                  <c:v>0.15664572957940265</c:v>
                </c:pt>
                <c:pt idx="35">
                  <c:v>0.15812456431232746</c:v>
                </c:pt>
                <c:pt idx="36">
                  <c:v>0.16240418722334665</c:v>
                </c:pt>
                <c:pt idx="37">
                  <c:v>0.16042799592693552</c:v>
                </c:pt>
                <c:pt idx="38">
                  <c:v>0.15813454935909424</c:v>
                </c:pt>
                <c:pt idx="39">
                  <c:v>0.15845728346166013</c:v>
                </c:pt>
                <c:pt idx="40">
                  <c:v>0.1554179972905505</c:v>
                </c:pt>
                <c:pt idx="41">
                  <c:v>0.15561629409479158</c:v>
                </c:pt>
              </c:numCache>
            </c:numRef>
          </c:val>
          <c:smooth val="0"/>
          <c:extLst>
            <c:ext xmlns:c16="http://schemas.microsoft.com/office/drawing/2014/chart" uri="{C3380CC4-5D6E-409C-BE32-E72D297353CC}">
              <c16:uniqueId val="{00000002-F00A-46A8-AAEB-28E60FE345C8}"/>
            </c:ext>
          </c:extLst>
        </c:ser>
        <c:ser>
          <c:idx val="2"/>
          <c:order val="1"/>
          <c:tx>
            <c:strRef>
              <c:f>'Graf 4'!#REF!</c:f>
              <c:strCache>
                <c:ptCount val="1"/>
                <c:pt idx="0">
                  <c:v>#REF!</c:v>
                </c:pt>
              </c:strCache>
              <c:extLst xmlns:c15="http://schemas.microsoft.com/office/drawing/2012/chart"/>
            </c:strRef>
          </c:tx>
          <c:spPr>
            <a:ln w="28575" cap="rnd">
              <a:solidFill>
                <a:schemeClr val="accent3"/>
              </a:solidFill>
              <a:round/>
            </a:ln>
            <a:effectLst/>
          </c:spPr>
          <c:marker>
            <c:symbol val="none"/>
          </c:marker>
          <c:cat>
            <c:numRef>
              <c:f>'Graf 15'!$A$31:$A$72</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'Graf 4'!#REF!</c:f>
              <c:extLst xmlns:c15="http://schemas.microsoft.com/office/drawing/2012/chart"/>
            </c:numRef>
          </c:val>
          <c:smooth val="0"/>
          <c:extLst xmlns:c15="http://schemas.microsoft.com/office/drawing/2012/chart">
            <c:ext xmlns:c16="http://schemas.microsoft.com/office/drawing/2014/chart" uri="{C3380CC4-5D6E-409C-BE32-E72D297353CC}">
              <c16:uniqueId val="{00000003-F00A-46A8-AAEB-28E60FE345C8}"/>
            </c:ext>
          </c:extLst>
        </c:ser>
        <c:dLbls>
          <c:showLegendKey val="0"/>
          <c:showVal val="0"/>
          <c:showCatName val="0"/>
          <c:showSerName val="0"/>
          <c:showPercent val="0"/>
          <c:showBubbleSize val="0"/>
        </c:dLbls>
        <c:smooth val="0"/>
        <c:axId val="971032664"/>
        <c:axId val="971030696"/>
        <c:extLst/>
      </c:lineChart>
      <c:dateAx>
        <c:axId val="971032664"/>
        <c:scaling>
          <c:orientation val="minMax"/>
        </c:scaling>
        <c:delete val="0"/>
        <c:axPos val="b"/>
        <c:numFmt formatCode="m/d/yyyy"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971030696"/>
        <c:crosses val="autoZero"/>
        <c:auto val="1"/>
        <c:lblOffset val="100"/>
        <c:baseTimeUnit val="months"/>
      </c:dateAx>
      <c:valAx>
        <c:axId val="971030696"/>
        <c:scaling>
          <c:orientation val="minMax"/>
          <c:min val="0.13500000000000001"/>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9710326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'Graf 16'!$C$27</c:f>
              <c:strCache>
                <c:ptCount val="1"/>
                <c:pt idx="0">
                  <c:v>Aktuálny návrh RVS 2025-2027</c:v>
                </c:pt>
              </c:strCache>
            </c:strRef>
          </c:tx>
          <c:spPr>
            <a:solidFill>
              <a:srgbClr val="2C9ADC"/>
            </a:solidFill>
            <a:ln>
              <a:noFill/>
            </a:ln>
            <a:effectLst/>
          </c:spPr>
          <c:invertIfNegative val="0"/>
          <c:dLbls>
            <c:dLbl>
              <c:idx val="2"/>
              <c:layout>
                <c:manualLayout>
                  <c:x val="0"/>
                  <c:y val="0.1718823794775064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58-4971-8423-22506116700D}"/>
                </c:ext>
              </c:extLst>
            </c:dLbl>
            <c:dLbl>
              <c:idx val="3"/>
              <c:layout>
                <c:manualLayout>
                  <c:x val="0"/>
                  <c:y val="0.2427607667831445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58-4971-8423-2250611670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16'!$D$24:$H$24</c15:sqref>
                  </c15:fullRef>
                </c:ext>
              </c:extLst>
              <c:f>'Graf 16'!$D$24:$G$24</c:f>
              <c:numCache>
                <c:formatCode>General</c:formatCode>
                <c:ptCount val="4"/>
              </c:numCache>
            </c:numRef>
          </c:cat>
          <c:val>
            <c:numRef>
              <c:extLst>
                <c:ext xmlns:c15="http://schemas.microsoft.com/office/drawing/2012/chart" uri="{02D57815-91ED-43cb-92C2-25804820EDAC}">
                  <c15:fullRef>
                    <c15:sqref>'Graf 16'!$D$27:$G$27</c15:sqref>
                  </c15:fullRef>
                </c:ext>
              </c:extLst>
              <c:f>'Graf 16'!$D$27:$G$27</c:f>
              <c:numCache>
                <c:formatCode>0.0%</c:formatCode>
                <c:ptCount val="4"/>
                <c:pt idx="0">
                  <c:v>5.4152328822537177E-2</c:v>
                </c:pt>
                <c:pt idx="1">
                  <c:v>3.6970211705043887E-2</c:v>
                </c:pt>
                <c:pt idx="2">
                  <c:v>1.4160434813417888E-2</c:v>
                </c:pt>
                <c:pt idx="3">
                  <c:v>4.1565060894371841E-2</c:v>
                </c:pt>
              </c:numCache>
            </c:numRef>
          </c:val>
          <c:extLst>
            <c:ext xmlns:c16="http://schemas.microsoft.com/office/drawing/2014/chart" uri="{C3380CC4-5D6E-409C-BE32-E72D297353CC}">
              <c16:uniqueId val="{00000000-6F58-4971-8423-22506116700D}"/>
            </c:ext>
          </c:extLst>
        </c:ser>
        <c:dLbls>
          <c:showLegendKey val="0"/>
          <c:showVal val="0"/>
          <c:showCatName val="0"/>
          <c:showSerName val="0"/>
          <c:showPercent val="0"/>
          <c:showBubbleSize val="0"/>
        </c:dLbls>
        <c:gapWidth val="75"/>
        <c:overlap val="-27"/>
        <c:axId val="136829871"/>
        <c:axId val="122363807"/>
      </c:barChart>
      <c:lineChart>
        <c:grouping val="standard"/>
        <c:varyColors val="0"/>
        <c:ser>
          <c:idx val="0"/>
          <c:order val="0"/>
          <c:tx>
            <c:strRef>
              <c:f>'Graf 16'!$C$26</c:f>
              <c:strCache>
                <c:ptCount val="1"/>
                <c:pt idx="0">
                  <c:v>Limit stanovený v MTP</c:v>
                </c:pt>
              </c:strCache>
            </c:strRef>
          </c:tx>
          <c:spPr>
            <a:ln w="28575" cap="rnd">
              <a:noFill/>
              <a:round/>
            </a:ln>
            <a:effectLst/>
          </c:spPr>
          <c:marker>
            <c:symbol val="dash"/>
            <c:size val="11"/>
            <c:spPr>
              <a:solidFill>
                <a:srgbClr val="FF0000"/>
              </a:solidFill>
              <a:ln w="9525">
                <a:no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16'!$D$25:$G$25</c15:sqref>
                  </c15:fullRef>
                </c:ext>
              </c:extLst>
              <c:f>'Graf 16'!$D$25:$G$25</c:f>
              <c:numCache>
                <c:formatCode>General</c:formatCode>
                <c:ptCount val="4"/>
                <c:pt idx="0">
                  <c:v>2024</c:v>
                </c:pt>
                <c:pt idx="1">
                  <c:v>2025</c:v>
                </c:pt>
                <c:pt idx="2">
                  <c:v>2026</c:v>
                </c:pt>
                <c:pt idx="3">
                  <c:v>2027</c:v>
                </c:pt>
              </c:numCache>
            </c:numRef>
          </c:cat>
          <c:val>
            <c:numRef>
              <c:extLst>
                <c:ext xmlns:c15="http://schemas.microsoft.com/office/drawing/2012/chart" uri="{02D57815-91ED-43cb-92C2-25804820EDAC}">
                  <c15:fullRef>
                    <c15:sqref>'Graf 16'!$D$26:$G$26</c15:sqref>
                  </c15:fullRef>
                </c:ext>
              </c:extLst>
              <c:f>'Graf 16'!$D$26:$G$26</c:f>
              <c:numCache>
                <c:formatCode>0.0%</c:formatCode>
                <c:ptCount val="4"/>
                <c:pt idx="1">
                  <c:v>3.8494451594725254E-2</c:v>
                </c:pt>
                <c:pt idx="2">
                  <c:v>8.5120000000000005E-3</c:v>
                </c:pt>
                <c:pt idx="3">
                  <c:v>1.61371337605461E-2</c:v>
                </c:pt>
              </c:numCache>
            </c:numRef>
          </c:val>
          <c:smooth val="0"/>
          <c:extLst>
            <c:ext xmlns:c16="http://schemas.microsoft.com/office/drawing/2014/chart" uri="{C3380CC4-5D6E-409C-BE32-E72D297353CC}">
              <c16:uniqueId val="{00000001-6F58-4971-8423-22506116700D}"/>
            </c:ext>
          </c:extLst>
        </c:ser>
        <c:dLbls>
          <c:showLegendKey val="0"/>
          <c:showVal val="0"/>
          <c:showCatName val="0"/>
          <c:showSerName val="0"/>
          <c:showPercent val="0"/>
          <c:showBubbleSize val="0"/>
        </c:dLbls>
        <c:marker val="1"/>
        <c:smooth val="0"/>
        <c:axId val="136829871"/>
        <c:axId val="122363807"/>
      </c:lineChart>
      <c:catAx>
        <c:axId val="136829871"/>
        <c:scaling>
          <c:orientation val="minMax"/>
        </c:scaling>
        <c:delete val="0"/>
        <c:axPos val="b"/>
        <c:numFmt formatCode="General" sourceLinked="1"/>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22363807"/>
        <c:crosses val="autoZero"/>
        <c:auto val="1"/>
        <c:lblAlgn val="ctr"/>
        <c:lblOffset val="100"/>
        <c:noMultiLvlLbl val="0"/>
      </c:catAx>
      <c:valAx>
        <c:axId val="122363807"/>
        <c:scaling>
          <c:orientation val="minMax"/>
        </c:scaling>
        <c:delete val="0"/>
        <c:axPos val="l"/>
        <c:majorGridlines>
          <c:spPr>
            <a:ln w="3175" cap="flat" cmpd="sng" algn="ctr">
              <a:solidFill>
                <a:schemeClr val="bg1">
                  <a:lumMod val="85000"/>
                </a:schemeClr>
              </a:solidFill>
              <a:prstDash val="sys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36829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'Graf 16'!$H$27</c:f>
              <c:strCache>
                <c:ptCount val="1"/>
                <c:pt idx="0">
                  <c:v>Draft budget 2025-2027</c:v>
                </c:pt>
              </c:strCache>
            </c:strRef>
          </c:tx>
          <c:spPr>
            <a:solidFill>
              <a:srgbClr val="2C9ADC"/>
            </a:solidFill>
            <a:ln>
              <a:noFill/>
            </a:ln>
            <a:effectLst/>
          </c:spPr>
          <c:invertIfNegative val="0"/>
          <c:dLbls>
            <c:dLbl>
              <c:idx val="2"/>
              <c:layout>
                <c:manualLayout>
                  <c:x val="0"/>
                  <c:y val="0.1718823794775064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2-4D00-B0E9-2CB66D70DE99}"/>
                </c:ext>
              </c:extLst>
            </c:dLbl>
            <c:dLbl>
              <c:idx val="3"/>
              <c:layout>
                <c:manualLayout>
                  <c:x val="0"/>
                  <c:y val="0.2427607667831445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A2-4D00-B0E9-2CB66D70DE9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16'!$D$25:$G$25</c:f>
              <c:numCache>
                <c:formatCode>General</c:formatCode>
                <c:ptCount val="4"/>
                <c:pt idx="0">
                  <c:v>2024</c:v>
                </c:pt>
                <c:pt idx="1">
                  <c:v>2025</c:v>
                </c:pt>
                <c:pt idx="2">
                  <c:v>2026</c:v>
                </c:pt>
                <c:pt idx="3">
                  <c:v>2027</c:v>
                </c:pt>
              </c:numCache>
            </c:numRef>
          </c:cat>
          <c:val>
            <c:numRef>
              <c:f>'Graf 16'!$D$27:$G$27</c:f>
              <c:numCache>
                <c:formatCode>0.0%</c:formatCode>
                <c:ptCount val="4"/>
                <c:pt idx="0">
                  <c:v>5.4152328822537177E-2</c:v>
                </c:pt>
                <c:pt idx="1">
                  <c:v>3.6970211705043887E-2</c:v>
                </c:pt>
                <c:pt idx="2">
                  <c:v>1.4160434813417888E-2</c:v>
                </c:pt>
                <c:pt idx="3">
                  <c:v>4.1565060894371841E-2</c:v>
                </c:pt>
              </c:numCache>
            </c:numRef>
          </c:val>
          <c:extLst>
            <c:ext xmlns:c16="http://schemas.microsoft.com/office/drawing/2014/chart" uri="{C3380CC4-5D6E-409C-BE32-E72D297353CC}">
              <c16:uniqueId val="{00000002-1DA2-4D00-B0E9-2CB66D70DE99}"/>
            </c:ext>
          </c:extLst>
        </c:ser>
        <c:dLbls>
          <c:showLegendKey val="0"/>
          <c:showVal val="0"/>
          <c:showCatName val="0"/>
          <c:showSerName val="0"/>
          <c:showPercent val="0"/>
          <c:showBubbleSize val="0"/>
        </c:dLbls>
        <c:gapWidth val="75"/>
        <c:overlap val="-27"/>
        <c:axId val="136829871"/>
        <c:axId val="122363807"/>
      </c:barChart>
      <c:lineChart>
        <c:grouping val="standard"/>
        <c:varyColors val="0"/>
        <c:ser>
          <c:idx val="0"/>
          <c:order val="0"/>
          <c:tx>
            <c:strRef>
              <c:f>'Graf 16'!$H$26</c:f>
              <c:strCache>
                <c:ptCount val="1"/>
                <c:pt idx="0">
                  <c:v>Ceilings set in the MTP</c:v>
                </c:pt>
              </c:strCache>
            </c:strRef>
          </c:tx>
          <c:spPr>
            <a:ln w="28575" cap="rnd">
              <a:noFill/>
              <a:round/>
            </a:ln>
            <a:effectLst/>
          </c:spPr>
          <c:marker>
            <c:symbol val="dash"/>
            <c:size val="11"/>
            <c:spPr>
              <a:solidFill>
                <a:srgbClr val="FF0000"/>
              </a:solidFill>
              <a:ln w="9525">
                <a:no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FF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16'!$D$25:$G$25</c:f>
              <c:numCache>
                <c:formatCode>General</c:formatCode>
                <c:ptCount val="4"/>
                <c:pt idx="0">
                  <c:v>2024</c:v>
                </c:pt>
                <c:pt idx="1">
                  <c:v>2025</c:v>
                </c:pt>
                <c:pt idx="2">
                  <c:v>2026</c:v>
                </c:pt>
                <c:pt idx="3">
                  <c:v>2027</c:v>
                </c:pt>
              </c:numCache>
            </c:numRef>
          </c:cat>
          <c:val>
            <c:numRef>
              <c:f>'Graf 16'!$D$26:$G$26</c:f>
              <c:numCache>
                <c:formatCode>0.0%</c:formatCode>
                <c:ptCount val="4"/>
                <c:pt idx="1">
                  <c:v>3.8494451594725254E-2</c:v>
                </c:pt>
                <c:pt idx="2">
                  <c:v>8.5120000000000005E-3</c:v>
                </c:pt>
                <c:pt idx="3">
                  <c:v>1.61371337605461E-2</c:v>
                </c:pt>
              </c:numCache>
            </c:numRef>
          </c:val>
          <c:smooth val="0"/>
          <c:extLst>
            <c:ext xmlns:c16="http://schemas.microsoft.com/office/drawing/2014/chart" uri="{C3380CC4-5D6E-409C-BE32-E72D297353CC}">
              <c16:uniqueId val="{00000003-1DA2-4D00-B0E9-2CB66D70DE99}"/>
            </c:ext>
          </c:extLst>
        </c:ser>
        <c:dLbls>
          <c:showLegendKey val="0"/>
          <c:showVal val="0"/>
          <c:showCatName val="0"/>
          <c:showSerName val="0"/>
          <c:showPercent val="0"/>
          <c:showBubbleSize val="0"/>
        </c:dLbls>
        <c:marker val="1"/>
        <c:smooth val="0"/>
        <c:axId val="136829871"/>
        <c:axId val="122363807"/>
      </c:lineChart>
      <c:catAx>
        <c:axId val="136829871"/>
        <c:scaling>
          <c:orientation val="minMax"/>
        </c:scaling>
        <c:delete val="0"/>
        <c:axPos val="b"/>
        <c:numFmt formatCode="General" sourceLinked="1"/>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22363807"/>
        <c:crosses val="autoZero"/>
        <c:auto val="1"/>
        <c:lblAlgn val="ctr"/>
        <c:lblOffset val="100"/>
        <c:noMultiLvlLbl val="0"/>
      </c:catAx>
      <c:valAx>
        <c:axId val="122363807"/>
        <c:scaling>
          <c:orientation val="minMax"/>
        </c:scaling>
        <c:delete val="0"/>
        <c:axPos val="l"/>
        <c:majorGridlines>
          <c:spPr>
            <a:ln w="3175" cap="flat" cmpd="sng" algn="ctr">
              <a:solidFill>
                <a:schemeClr val="bg1">
                  <a:lumMod val="85000"/>
                </a:schemeClr>
              </a:solidFill>
              <a:prstDash val="sys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36829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88704022516411E-2"/>
          <c:y val="4.7206471713287422E-2"/>
          <c:w val="0.92891214157561719"/>
          <c:h val="0.73871268593672912"/>
        </c:manualLayout>
      </c:layout>
      <c:areaChart>
        <c:grouping val="stacked"/>
        <c:varyColors val="0"/>
        <c:ser>
          <c:idx val="1"/>
          <c:order val="1"/>
          <c:tx>
            <c:strRef>
              <c:f>'Graf 17'!$A$31</c:f>
              <c:strCache>
                <c:ptCount val="1"/>
                <c:pt idx="0">
                  <c:v>Čistý dlh VS</c:v>
                </c:pt>
              </c:strCache>
            </c:strRef>
          </c:tx>
          <c:spPr>
            <a:solidFill>
              <a:schemeClr val="accent1">
                <a:lumMod val="50000"/>
              </a:schemeClr>
            </a:solidFill>
            <a:ln w="19050">
              <a:noFill/>
            </a:ln>
            <a:effectLst/>
          </c:spPr>
          <c:val>
            <c:numRef>
              <c:f>'Graf 17'!$J$31:$U$31</c:f>
              <c:numCache>
                <c:formatCode>0.0</c:formatCode>
                <c:ptCount val="12"/>
                <c:pt idx="0">
                  <c:v>46.928444657557399</c:v>
                </c:pt>
                <c:pt idx="1">
                  <c:v>45.741709297628958</c:v>
                </c:pt>
                <c:pt idx="2">
                  <c:v>43.330589179314366</c:v>
                </c:pt>
                <c:pt idx="3">
                  <c:v>43.083368211118753</c:v>
                </c:pt>
                <c:pt idx="4">
                  <c:v>48.981339017218964</c:v>
                </c:pt>
                <c:pt idx="5">
                  <c:v>49.750366970085672</c:v>
                </c:pt>
                <c:pt idx="6">
                  <c:v>47.706365967141735</c:v>
                </c:pt>
                <c:pt idx="7">
                  <c:v>48.287756173939364</c:v>
                </c:pt>
                <c:pt idx="8">
                  <c:v>50.079444382888994</c:v>
                </c:pt>
                <c:pt idx="9">
                  <c:v>53.353420990475264</c:v>
                </c:pt>
                <c:pt idx="10">
                  <c:v>55.302398327740008</c:v>
                </c:pt>
                <c:pt idx="11">
                  <c:v>57.869868088590771</c:v>
                </c:pt>
              </c:numCache>
            </c:numRef>
          </c:val>
          <c:extLst>
            <c:ext xmlns:c16="http://schemas.microsoft.com/office/drawing/2014/chart" uri="{C3380CC4-5D6E-409C-BE32-E72D297353CC}">
              <c16:uniqueId val="{00000001-088A-412F-AB80-8F7BA9A4EF20}"/>
            </c:ext>
          </c:extLst>
        </c:ser>
        <c:ser>
          <c:idx val="2"/>
          <c:order val="2"/>
          <c:tx>
            <c:strRef>
              <c:f>'Graf 17'!$A$32</c:f>
              <c:strCache>
                <c:ptCount val="1"/>
                <c:pt idx="0">
                  <c:v>Likvidné finančné aktíva (LFA)</c:v>
                </c:pt>
              </c:strCache>
            </c:strRef>
          </c:tx>
          <c:spPr>
            <a:solidFill>
              <a:schemeClr val="accent1">
                <a:lumMod val="40000"/>
                <a:lumOff val="60000"/>
              </a:schemeClr>
            </a:solidFill>
            <a:ln>
              <a:noFill/>
            </a:ln>
            <a:effectLst/>
          </c:spPr>
          <c:val>
            <c:numRef>
              <c:f>'Graf 17'!$J$32:$U$32</c:f>
              <c:numCache>
                <c:formatCode>0.0</c:formatCode>
                <c:ptCount val="12"/>
                <c:pt idx="0">
                  <c:v>5.3464461545574054</c:v>
                </c:pt>
                <c:pt idx="1">
                  <c:v>5.7198618583088319</c:v>
                </c:pt>
                <c:pt idx="2">
                  <c:v>6.0774616498550884</c:v>
                </c:pt>
                <c:pt idx="3">
                  <c:v>4.8947506301352064</c:v>
                </c:pt>
                <c:pt idx="4">
                  <c:v>9.9711409413281373</c:v>
                </c:pt>
                <c:pt idx="5">
                  <c:v>11.446308396206327</c:v>
                </c:pt>
                <c:pt idx="6">
                  <c:v>10.145130531401115</c:v>
                </c:pt>
                <c:pt idx="7">
                  <c:v>7.7569279324682725</c:v>
                </c:pt>
                <c:pt idx="8">
                  <c:v>8.8067947319014692</c:v>
                </c:pt>
                <c:pt idx="9">
                  <c:v>6.2102959281634753</c:v>
                </c:pt>
                <c:pt idx="10">
                  <c:v>6.4174023580472763</c:v>
                </c:pt>
                <c:pt idx="11">
                  <c:v>7.9064550236084088</c:v>
                </c:pt>
              </c:numCache>
            </c:numRef>
          </c:val>
          <c:extLst>
            <c:ext xmlns:c16="http://schemas.microsoft.com/office/drawing/2014/chart" uri="{C3380CC4-5D6E-409C-BE32-E72D297353CC}">
              <c16:uniqueId val="{00000002-088A-412F-AB80-8F7BA9A4EF20}"/>
            </c:ext>
          </c:extLst>
        </c:ser>
        <c:dLbls>
          <c:showLegendKey val="0"/>
          <c:showVal val="0"/>
          <c:showCatName val="0"/>
          <c:showSerName val="0"/>
          <c:showPercent val="0"/>
          <c:showBubbleSize val="0"/>
        </c:dLbls>
        <c:axId val="1081565536"/>
        <c:axId val="1081566848"/>
      </c:areaChart>
      <c:lineChart>
        <c:grouping val="standard"/>
        <c:varyColors val="0"/>
        <c:ser>
          <c:idx val="0"/>
          <c:order val="0"/>
          <c:tx>
            <c:strRef>
              <c:f>'Graf 17'!$A$30</c:f>
              <c:strCache>
                <c:ptCount val="1"/>
                <c:pt idx="0">
                  <c:v>Hrubý dlh VS</c:v>
                </c:pt>
              </c:strCache>
            </c:strRef>
          </c:tx>
          <c:spPr>
            <a:ln w="28575"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17'!$J$30:$U$30</c:f>
              <c:numCache>
                <c:formatCode>0.0</c:formatCode>
                <c:ptCount val="12"/>
                <c:pt idx="0">
                  <c:v>52.274890812114805</c:v>
                </c:pt>
                <c:pt idx="1">
                  <c:v>51.46157115593779</c:v>
                </c:pt>
                <c:pt idx="2">
                  <c:v>49.408050829169454</c:v>
                </c:pt>
                <c:pt idx="3">
                  <c:v>47.978118841253959</c:v>
                </c:pt>
                <c:pt idx="4">
                  <c:v>58.952479958547102</c:v>
                </c:pt>
                <c:pt idx="5">
                  <c:v>61.196675366291998</c:v>
                </c:pt>
                <c:pt idx="6">
                  <c:v>57.851496498542851</c:v>
                </c:pt>
                <c:pt idx="7">
                  <c:v>56.044684106407637</c:v>
                </c:pt>
                <c:pt idx="8">
                  <c:v>58.886239114790463</c:v>
                </c:pt>
                <c:pt idx="9">
                  <c:v>59.56371691863874</c:v>
                </c:pt>
                <c:pt idx="10">
                  <c:v>61.719800685787284</c:v>
                </c:pt>
                <c:pt idx="11">
                  <c:v>65.776323112199179</c:v>
                </c:pt>
              </c:numCache>
            </c:numRef>
          </c:val>
          <c:smooth val="0"/>
          <c:extLst>
            <c:ext xmlns:c16="http://schemas.microsoft.com/office/drawing/2014/chart" uri="{C3380CC4-5D6E-409C-BE32-E72D297353CC}">
              <c16:uniqueId val="{00000000-088A-412F-AB80-8F7BA9A4EF20}"/>
            </c:ext>
          </c:extLst>
        </c:ser>
        <c:ser>
          <c:idx val="3"/>
          <c:order val="3"/>
          <c:tx>
            <c:strRef>
              <c:f>'Graf 17'!$A$33</c:f>
              <c:strCache>
                <c:ptCount val="1"/>
                <c:pt idx="0">
                  <c:v>Horné a spodné sankčné pásma hrubého dlhu</c:v>
                </c:pt>
              </c:strCache>
            </c:strRef>
          </c:tx>
          <c:spPr>
            <a:ln w="19050" cap="rnd">
              <a:solidFill>
                <a:srgbClr val="FF7575"/>
              </a:solidFill>
              <a:prstDash val="solid"/>
              <a:round/>
            </a:ln>
            <a:effectLst/>
          </c:spPr>
          <c:marker>
            <c:symbol val="none"/>
          </c:marker>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17'!$J$33:$U$33</c:f>
              <c:numCache>
                <c:formatCode>0</c:formatCode>
                <c:ptCount val="12"/>
                <c:pt idx="0">
                  <c:v>60</c:v>
                </c:pt>
                <c:pt idx="1">
                  <c:v>60</c:v>
                </c:pt>
                <c:pt idx="2">
                  <c:v>59</c:v>
                </c:pt>
                <c:pt idx="3">
                  <c:v>58</c:v>
                </c:pt>
                <c:pt idx="4">
                  <c:v>57</c:v>
                </c:pt>
                <c:pt idx="5">
                  <c:v>56</c:v>
                </c:pt>
                <c:pt idx="6">
                  <c:v>55</c:v>
                </c:pt>
                <c:pt idx="7">
                  <c:v>54</c:v>
                </c:pt>
                <c:pt idx="8">
                  <c:v>53</c:v>
                </c:pt>
                <c:pt idx="9">
                  <c:v>52</c:v>
                </c:pt>
                <c:pt idx="10">
                  <c:v>51</c:v>
                </c:pt>
                <c:pt idx="11">
                  <c:v>50</c:v>
                </c:pt>
              </c:numCache>
            </c:numRef>
          </c:val>
          <c:smooth val="0"/>
          <c:extLst>
            <c:ext xmlns:c16="http://schemas.microsoft.com/office/drawing/2014/chart" uri="{C3380CC4-5D6E-409C-BE32-E72D297353CC}">
              <c16:uniqueId val="{00000003-088A-412F-AB80-8F7BA9A4EF20}"/>
            </c:ext>
          </c:extLst>
        </c:ser>
        <c:ser>
          <c:idx val="4"/>
          <c:order val="4"/>
          <c:tx>
            <c:strRef>
              <c:f>'Graf 17'!$A$35</c:f>
              <c:strCache>
                <c:ptCount val="1"/>
                <c:pt idx="0">
                  <c:v>Hrubý dlh v scenári rozpočtových cieľov deficitov</c:v>
                </c:pt>
              </c:strCache>
            </c:strRef>
          </c:tx>
          <c:spPr>
            <a:ln w="19050" cap="rnd">
              <a:solidFill>
                <a:srgbClr val="FF0000"/>
              </a:solidFill>
              <a:prstDash val="solid"/>
              <a:round/>
            </a:ln>
            <a:effectLst/>
          </c:spPr>
          <c:marker>
            <c:symbol val="none"/>
          </c:marker>
          <c:dLbls>
            <c:dLbl>
              <c:idx val="9"/>
              <c:delete val="1"/>
              <c:extLst>
                <c:ext xmlns:c15="http://schemas.microsoft.com/office/drawing/2012/chart" uri="{CE6537A1-D6FC-4f65-9D91-7224C49458BB}"/>
                <c:ext xmlns:c16="http://schemas.microsoft.com/office/drawing/2014/chart" uri="{C3380CC4-5D6E-409C-BE32-E72D297353CC}">
                  <c16:uniqueId val="{00000000-AA9A-45F8-B829-ED4E42C72047}"/>
                </c:ext>
              </c:extLst>
            </c:dLbl>
            <c:dLbl>
              <c:idx val="10"/>
              <c:layout>
                <c:manualLayout>
                  <c:x val="-3.5243720398935856E-2"/>
                  <c:y val="3.2380505744124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9A-45F8-B829-ED4E42C72047}"/>
                </c:ext>
              </c:extLst>
            </c:dLbl>
            <c:dLbl>
              <c:idx val="11"/>
              <c:layout>
                <c:manualLayout>
                  <c:x val="-3.5243720398935856E-2"/>
                  <c:y val="3.2380505744124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9A-45F8-B829-ED4E42C72047}"/>
                </c:ext>
              </c:extLst>
            </c:dLbl>
            <c:dLbl>
              <c:idx val="16"/>
              <c:delete val="1"/>
              <c:extLst>
                <c:ext xmlns:c15="http://schemas.microsoft.com/office/drawing/2012/chart" uri="{CE6537A1-D6FC-4f65-9D91-7224C49458BB}"/>
                <c:ext xmlns:c16="http://schemas.microsoft.com/office/drawing/2014/chart" uri="{C3380CC4-5D6E-409C-BE32-E72D297353CC}">
                  <c16:uniqueId val="{00000006-088A-412F-AB80-8F7BA9A4EF20}"/>
                </c:ext>
              </c:extLst>
            </c:dLbl>
            <c:dLbl>
              <c:idx val="18"/>
              <c:layout>
                <c:manualLayout>
                  <c:x val="-4.2876194767701631E-2"/>
                  <c:y val="3.686396291064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8A-412F-AB80-8F7BA9A4EF20}"/>
                </c:ext>
              </c:extLst>
            </c:dLbl>
            <c:numFmt formatCode="#,##0.0" sourceLinked="0"/>
            <c:spPr>
              <a:noFill/>
              <a:ln>
                <a:noFill/>
              </a:ln>
              <a:effectLst/>
            </c:spPr>
            <c:txPr>
              <a:bodyPr rot="0" spcFirstLastPara="1" vertOverflow="ellipsis" vert="horz" wrap="square" anchor="ctr" anchorCtr="1"/>
              <a:lstStyle/>
              <a:p>
                <a:pPr>
                  <a:defRPr sz="800" b="1" i="0" u="none" strike="noStrike" kern="1200" baseline="0">
                    <a:solidFill>
                      <a:srgbClr val="FF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17'!$J$35:$U$35</c:f>
              <c:numCache>
                <c:formatCode>0</c:formatCode>
                <c:ptCount val="12"/>
                <c:pt idx="0">
                  <c:v>#N/A</c:v>
                </c:pt>
                <c:pt idx="1">
                  <c:v>#N/A</c:v>
                </c:pt>
                <c:pt idx="2">
                  <c:v>#N/A</c:v>
                </c:pt>
                <c:pt idx="3">
                  <c:v>#N/A</c:v>
                </c:pt>
                <c:pt idx="4">
                  <c:v>#N/A</c:v>
                </c:pt>
                <c:pt idx="5">
                  <c:v>#N/A</c:v>
                </c:pt>
                <c:pt idx="6">
                  <c:v>#N/A</c:v>
                </c:pt>
                <c:pt idx="7">
                  <c:v>#N/A</c:v>
                </c:pt>
                <c:pt idx="9" formatCode="0.0">
                  <c:v>59.563716918638733</c:v>
                </c:pt>
                <c:pt idx="10" formatCode="0.0">
                  <c:v>60.362075132986902</c:v>
                </c:pt>
                <c:pt idx="11" formatCode="0.0">
                  <c:v>60.518298427340142</c:v>
                </c:pt>
              </c:numCache>
            </c:numRef>
          </c:val>
          <c:smooth val="0"/>
          <c:extLst>
            <c:ext xmlns:c16="http://schemas.microsoft.com/office/drawing/2014/chart" uri="{C3380CC4-5D6E-409C-BE32-E72D297353CC}">
              <c16:uniqueId val="{00000004-088A-412F-AB80-8F7BA9A4EF20}"/>
            </c:ext>
          </c:extLst>
        </c:ser>
        <c:ser>
          <c:idx val="5"/>
          <c:order val="5"/>
          <c:tx>
            <c:strRef>
              <c:f>'Graf 17'!$A$36</c:f>
              <c:strCache>
                <c:ptCount val="1"/>
                <c:pt idx="0">
                  <c:v>Čistý dlh v scenári rozpočtových cieľov deficitov</c:v>
                </c:pt>
              </c:strCache>
            </c:strRef>
          </c:tx>
          <c:spPr>
            <a:ln w="19050" cap="rnd">
              <a:solidFill>
                <a:schemeClr val="bg1">
                  <a:lumMod val="75000"/>
                </a:schemeClr>
              </a:solidFill>
              <a:prstDash val="solid"/>
              <a:round/>
            </a:ln>
            <a:effectLst/>
          </c:spPr>
          <c:marker>
            <c:symbol val="none"/>
          </c:marker>
          <c:dLbls>
            <c:dLbl>
              <c:idx val="10"/>
              <c:layout>
                <c:manualLayout>
                  <c:x val="-2.8528373938843703E-2"/>
                  <c:y val="2.681331448458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9A-45F8-B829-ED4E42C72047}"/>
                </c:ext>
              </c:extLst>
            </c:dLbl>
            <c:dLbl>
              <c:idx val="11"/>
              <c:layout>
                <c:manualLayout>
                  <c:x val="-5.2302018887880122E-2"/>
                  <c:y val="3.06437879823870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9A-45F8-B829-ED4E42C720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17'!$J$36:$U$36</c:f>
              <c:numCache>
                <c:formatCode>0</c:formatCode>
                <c:ptCount val="12"/>
                <c:pt idx="0">
                  <c:v>#N/A</c:v>
                </c:pt>
                <c:pt idx="1">
                  <c:v>#N/A</c:v>
                </c:pt>
                <c:pt idx="2">
                  <c:v>#N/A</c:v>
                </c:pt>
                <c:pt idx="3">
                  <c:v>#N/A</c:v>
                </c:pt>
                <c:pt idx="4">
                  <c:v>#N/A</c:v>
                </c:pt>
                <c:pt idx="5">
                  <c:v>#N/A</c:v>
                </c:pt>
                <c:pt idx="6">
                  <c:v>#N/A</c:v>
                </c:pt>
                <c:pt idx="7">
                  <c:v>#N/A</c:v>
                </c:pt>
                <c:pt idx="9" formatCode="0.0">
                  <c:v>53.353421339399752</c:v>
                </c:pt>
                <c:pt idx="10" formatCode="0.0">
                  <c:v>54.862056945499873</c:v>
                </c:pt>
                <c:pt idx="11" formatCode="0.0">
                  <c:v>55.309097807959851</c:v>
                </c:pt>
              </c:numCache>
            </c:numRef>
          </c:val>
          <c:smooth val="0"/>
          <c:extLst>
            <c:ext xmlns:c16="http://schemas.microsoft.com/office/drawing/2014/chart" uri="{C3380CC4-5D6E-409C-BE32-E72D297353CC}">
              <c16:uniqueId val="{00000005-088A-412F-AB80-8F7BA9A4EF20}"/>
            </c:ext>
          </c:extLst>
        </c:ser>
        <c:ser>
          <c:idx val="6"/>
          <c:order val="6"/>
          <c:spPr>
            <a:ln w="19050" cap="rnd">
              <a:solidFill>
                <a:srgbClr val="FF7575"/>
              </a:solidFill>
              <a:prstDash val="sysDash"/>
              <a:round/>
            </a:ln>
            <a:effectLst/>
          </c:spPr>
          <c:marker>
            <c:symbol val="none"/>
          </c:marker>
          <c:val>
            <c:numRef>
              <c:f>'Graf 17'!$J$34:$U$34</c:f>
              <c:numCache>
                <c:formatCode>General</c:formatCode>
                <c:ptCount val="12"/>
                <c:pt idx="0">
                  <c:v>50</c:v>
                </c:pt>
                <c:pt idx="1">
                  <c:v>50</c:v>
                </c:pt>
                <c:pt idx="2">
                  <c:v>49</c:v>
                </c:pt>
                <c:pt idx="3">
                  <c:v>48</c:v>
                </c:pt>
                <c:pt idx="4">
                  <c:v>47</c:v>
                </c:pt>
                <c:pt idx="5">
                  <c:v>46</c:v>
                </c:pt>
                <c:pt idx="6">
                  <c:v>45</c:v>
                </c:pt>
                <c:pt idx="7">
                  <c:v>44</c:v>
                </c:pt>
                <c:pt idx="8">
                  <c:v>43</c:v>
                </c:pt>
                <c:pt idx="9">
                  <c:v>42</c:v>
                </c:pt>
                <c:pt idx="10">
                  <c:v>41</c:v>
                </c:pt>
                <c:pt idx="11">
                  <c:v>40</c:v>
                </c:pt>
              </c:numCache>
            </c:numRef>
          </c:val>
          <c:smooth val="0"/>
          <c:extLst>
            <c:ext xmlns:c16="http://schemas.microsoft.com/office/drawing/2014/chart" uri="{C3380CC4-5D6E-409C-BE32-E72D297353CC}">
              <c16:uniqueId val="{00000003-AA9A-45F8-B829-ED4E42C72047}"/>
            </c:ext>
          </c:extLst>
        </c:ser>
        <c:dLbls>
          <c:showLegendKey val="0"/>
          <c:showVal val="0"/>
          <c:showCatName val="0"/>
          <c:showSerName val="0"/>
          <c:showPercent val="0"/>
          <c:showBubbleSize val="0"/>
        </c:dLbls>
        <c:marker val="1"/>
        <c:smooth val="0"/>
        <c:axId val="1081565536"/>
        <c:axId val="1081566848"/>
      </c:lineChart>
      <c:catAx>
        <c:axId val="1081565536"/>
        <c:scaling>
          <c:orientation val="minMax"/>
        </c:scaling>
        <c:delete val="0"/>
        <c:axPos val="b"/>
        <c:numFmt formatCode="General" sourceLinked="0"/>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6848"/>
        <c:crosses val="autoZero"/>
        <c:auto val="1"/>
        <c:lblAlgn val="ctr"/>
        <c:lblOffset val="100"/>
        <c:noMultiLvlLbl val="0"/>
      </c:catAx>
      <c:valAx>
        <c:axId val="1081566848"/>
        <c:scaling>
          <c:orientation val="minMax"/>
          <c:max val="70"/>
          <c:min val="30"/>
        </c:scaling>
        <c:delete val="0"/>
        <c:axPos val="l"/>
        <c:majorGridlines>
          <c:spPr>
            <a:ln w="3175" cap="flat" cmpd="sng" algn="ctr">
              <a:solidFill>
                <a:schemeClr val="bg1">
                  <a:lumMod val="50000"/>
                  <a:alpha val="25000"/>
                </a:scheme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5536"/>
        <c:crosses val="autoZero"/>
        <c:crossBetween val="between"/>
      </c:valAx>
      <c:spPr>
        <a:noFill/>
        <a:ln>
          <a:noFill/>
        </a:ln>
        <a:effectLst/>
      </c:spPr>
    </c:plotArea>
    <c:legend>
      <c:legendPos val="b"/>
      <c:legendEntry>
        <c:idx val="6"/>
        <c:delete val="1"/>
      </c:legendEntry>
      <c:layout>
        <c:manualLayout>
          <c:xMode val="edge"/>
          <c:yMode val="edge"/>
          <c:x val="3.3413998133845066E-3"/>
          <c:y val="0.86812071842792538"/>
          <c:w val="0.99665858612330471"/>
          <c:h val="0.1318792815720745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88704022516411E-2"/>
          <c:y val="4.7206471713287422E-2"/>
          <c:w val="0.92891214157561719"/>
          <c:h val="0.73871268593672912"/>
        </c:manualLayout>
      </c:layout>
      <c:areaChart>
        <c:grouping val="stacked"/>
        <c:varyColors val="0"/>
        <c:ser>
          <c:idx val="1"/>
          <c:order val="1"/>
          <c:tx>
            <c:strRef>
              <c:f>'Graf 17'!$V$31</c:f>
              <c:strCache>
                <c:ptCount val="1"/>
                <c:pt idx="0">
                  <c:v>Net debt</c:v>
                </c:pt>
              </c:strCache>
            </c:strRef>
          </c:tx>
          <c:spPr>
            <a:solidFill>
              <a:schemeClr val="accent1">
                <a:lumMod val="50000"/>
              </a:schemeClr>
            </a:solidFill>
            <a:ln w="19050">
              <a:noFill/>
            </a:ln>
            <a:effectLst/>
          </c:spPr>
          <c:val>
            <c:numRef>
              <c:f>'Graf 17'!$J$31:$U$31</c:f>
              <c:numCache>
                <c:formatCode>0.0</c:formatCode>
                <c:ptCount val="12"/>
                <c:pt idx="0">
                  <c:v>46.928444657557399</c:v>
                </c:pt>
                <c:pt idx="1">
                  <c:v>45.741709297628958</c:v>
                </c:pt>
                <c:pt idx="2">
                  <c:v>43.330589179314366</c:v>
                </c:pt>
                <c:pt idx="3">
                  <c:v>43.083368211118753</c:v>
                </c:pt>
                <c:pt idx="4">
                  <c:v>48.981339017218964</c:v>
                </c:pt>
                <c:pt idx="5">
                  <c:v>49.750366970085672</c:v>
                </c:pt>
                <c:pt idx="6">
                  <c:v>47.706365967141735</c:v>
                </c:pt>
                <c:pt idx="7">
                  <c:v>48.287756173939364</c:v>
                </c:pt>
                <c:pt idx="8">
                  <c:v>50.079444382888994</c:v>
                </c:pt>
                <c:pt idx="9">
                  <c:v>53.353420990475264</c:v>
                </c:pt>
                <c:pt idx="10">
                  <c:v>55.302398327740008</c:v>
                </c:pt>
                <c:pt idx="11">
                  <c:v>57.869868088590771</c:v>
                </c:pt>
              </c:numCache>
            </c:numRef>
          </c:val>
          <c:extLst>
            <c:ext xmlns:c16="http://schemas.microsoft.com/office/drawing/2014/chart" uri="{C3380CC4-5D6E-409C-BE32-E72D297353CC}">
              <c16:uniqueId val="{00000000-26C9-491C-8820-1D364B0A1FC8}"/>
            </c:ext>
          </c:extLst>
        </c:ser>
        <c:ser>
          <c:idx val="2"/>
          <c:order val="2"/>
          <c:tx>
            <c:strRef>
              <c:f>'Graf 17'!$V$32</c:f>
              <c:strCache>
                <c:ptCount val="1"/>
                <c:pt idx="0">
                  <c:v>Liquid financial assests</c:v>
                </c:pt>
              </c:strCache>
            </c:strRef>
          </c:tx>
          <c:spPr>
            <a:solidFill>
              <a:schemeClr val="accent1">
                <a:lumMod val="40000"/>
                <a:lumOff val="60000"/>
              </a:schemeClr>
            </a:solidFill>
            <a:ln>
              <a:noFill/>
            </a:ln>
            <a:effectLst/>
          </c:spPr>
          <c:val>
            <c:numRef>
              <c:f>'Graf 17'!$J$32:$U$32</c:f>
              <c:numCache>
                <c:formatCode>0.0</c:formatCode>
                <c:ptCount val="12"/>
                <c:pt idx="0">
                  <c:v>5.3464461545574054</c:v>
                </c:pt>
                <c:pt idx="1">
                  <c:v>5.7198618583088319</c:v>
                </c:pt>
                <c:pt idx="2">
                  <c:v>6.0774616498550884</c:v>
                </c:pt>
                <c:pt idx="3">
                  <c:v>4.8947506301352064</c:v>
                </c:pt>
                <c:pt idx="4">
                  <c:v>9.9711409413281373</c:v>
                </c:pt>
                <c:pt idx="5">
                  <c:v>11.446308396206327</c:v>
                </c:pt>
                <c:pt idx="6">
                  <c:v>10.145130531401115</c:v>
                </c:pt>
                <c:pt idx="7">
                  <c:v>7.7569279324682725</c:v>
                </c:pt>
                <c:pt idx="8">
                  <c:v>8.8067947319014692</c:v>
                </c:pt>
                <c:pt idx="9">
                  <c:v>6.2102959281634753</c:v>
                </c:pt>
                <c:pt idx="10">
                  <c:v>6.4174023580472763</c:v>
                </c:pt>
                <c:pt idx="11">
                  <c:v>7.9064550236084088</c:v>
                </c:pt>
              </c:numCache>
            </c:numRef>
          </c:val>
          <c:extLst>
            <c:ext xmlns:c16="http://schemas.microsoft.com/office/drawing/2014/chart" uri="{C3380CC4-5D6E-409C-BE32-E72D297353CC}">
              <c16:uniqueId val="{00000001-26C9-491C-8820-1D364B0A1FC8}"/>
            </c:ext>
          </c:extLst>
        </c:ser>
        <c:dLbls>
          <c:showLegendKey val="0"/>
          <c:showVal val="0"/>
          <c:showCatName val="0"/>
          <c:showSerName val="0"/>
          <c:showPercent val="0"/>
          <c:showBubbleSize val="0"/>
        </c:dLbls>
        <c:axId val="1081565536"/>
        <c:axId val="1081566848"/>
      </c:areaChart>
      <c:lineChart>
        <c:grouping val="standard"/>
        <c:varyColors val="0"/>
        <c:ser>
          <c:idx val="0"/>
          <c:order val="0"/>
          <c:tx>
            <c:strRef>
              <c:f>'Graf 17'!$V$30</c:f>
              <c:strCache>
                <c:ptCount val="1"/>
                <c:pt idx="0">
                  <c:v>General government gross debt</c:v>
                </c:pt>
              </c:strCache>
            </c:strRef>
          </c:tx>
          <c:spPr>
            <a:ln w="28575"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17'!$J$30:$U$30</c:f>
              <c:numCache>
                <c:formatCode>0.0</c:formatCode>
                <c:ptCount val="12"/>
                <c:pt idx="0">
                  <c:v>52.274890812114805</c:v>
                </c:pt>
                <c:pt idx="1">
                  <c:v>51.46157115593779</c:v>
                </c:pt>
                <c:pt idx="2">
                  <c:v>49.408050829169454</c:v>
                </c:pt>
                <c:pt idx="3">
                  <c:v>47.978118841253959</c:v>
                </c:pt>
                <c:pt idx="4">
                  <c:v>58.952479958547102</c:v>
                </c:pt>
                <c:pt idx="5">
                  <c:v>61.196675366291998</c:v>
                </c:pt>
                <c:pt idx="6">
                  <c:v>57.851496498542851</c:v>
                </c:pt>
                <c:pt idx="7">
                  <c:v>56.044684106407637</c:v>
                </c:pt>
                <c:pt idx="8">
                  <c:v>58.886239114790463</c:v>
                </c:pt>
                <c:pt idx="9">
                  <c:v>59.56371691863874</c:v>
                </c:pt>
                <c:pt idx="10">
                  <c:v>61.719800685787284</c:v>
                </c:pt>
                <c:pt idx="11">
                  <c:v>65.776323112199179</c:v>
                </c:pt>
              </c:numCache>
            </c:numRef>
          </c:val>
          <c:smooth val="0"/>
          <c:extLst>
            <c:ext xmlns:c16="http://schemas.microsoft.com/office/drawing/2014/chart" uri="{C3380CC4-5D6E-409C-BE32-E72D297353CC}">
              <c16:uniqueId val="{00000002-26C9-491C-8820-1D364B0A1FC8}"/>
            </c:ext>
          </c:extLst>
        </c:ser>
        <c:ser>
          <c:idx val="3"/>
          <c:order val="3"/>
          <c:tx>
            <c:strRef>
              <c:f>'Graf 17'!$V$33</c:f>
              <c:strCache>
                <c:ptCount val="1"/>
                <c:pt idx="0">
                  <c:v>Upper and lower sanction bands</c:v>
                </c:pt>
              </c:strCache>
            </c:strRef>
          </c:tx>
          <c:spPr>
            <a:ln w="19050" cap="rnd">
              <a:solidFill>
                <a:srgbClr val="FF7575"/>
              </a:solidFill>
              <a:prstDash val="solid"/>
              <a:round/>
            </a:ln>
            <a:effectLst/>
          </c:spPr>
          <c:marker>
            <c:symbol val="none"/>
          </c:marker>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17'!$J$33:$U$33</c:f>
              <c:numCache>
                <c:formatCode>0</c:formatCode>
                <c:ptCount val="12"/>
                <c:pt idx="0">
                  <c:v>60</c:v>
                </c:pt>
                <c:pt idx="1">
                  <c:v>60</c:v>
                </c:pt>
                <c:pt idx="2">
                  <c:v>59</c:v>
                </c:pt>
                <c:pt idx="3">
                  <c:v>58</c:v>
                </c:pt>
                <c:pt idx="4">
                  <c:v>57</c:v>
                </c:pt>
                <c:pt idx="5">
                  <c:v>56</c:v>
                </c:pt>
                <c:pt idx="6">
                  <c:v>55</c:v>
                </c:pt>
                <c:pt idx="7">
                  <c:v>54</c:v>
                </c:pt>
                <c:pt idx="8">
                  <c:v>53</c:v>
                </c:pt>
                <c:pt idx="9">
                  <c:v>52</c:v>
                </c:pt>
                <c:pt idx="10">
                  <c:v>51</c:v>
                </c:pt>
                <c:pt idx="11">
                  <c:v>50</c:v>
                </c:pt>
              </c:numCache>
            </c:numRef>
          </c:val>
          <c:smooth val="0"/>
          <c:extLst>
            <c:ext xmlns:c16="http://schemas.microsoft.com/office/drawing/2014/chart" uri="{C3380CC4-5D6E-409C-BE32-E72D297353CC}">
              <c16:uniqueId val="{00000003-26C9-491C-8820-1D364B0A1FC8}"/>
            </c:ext>
          </c:extLst>
        </c:ser>
        <c:ser>
          <c:idx val="4"/>
          <c:order val="4"/>
          <c:tx>
            <c:strRef>
              <c:f>'Graf 17'!$V$35</c:f>
              <c:strCache>
                <c:ptCount val="1"/>
                <c:pt idx="0">
                  <c:v>Gross debt in budgetary targets scenario</c:v>
                </c:pt>
              </c:strCache>
            </c:strRef>
          </c:tx>
          <c:spPr>
            <a:ln w="19050" cap="rnd">
              <a:solidFill>
                <a:srgbClr val="FF0000"/>
              </a:solidFill>
              <a:prstDash val="solid"/>
              <a:round/>
            </a:ln>
            <a:effectLst/>
          </c:spPr>
          <c:marker>
            <c:symbol val="none"/>
          </c:marker>
          <c:dLbls>
            <c:dLbl>
              <c:idx val="9"/>
              <c:delete val="1"/>
              <c:extLst>
                <c:ext xmlns:c15="http://schemas.microsoft.com/office/drawing/2012/chart" uri="{CE6537A1-D6FC-4f65-9D91-7224C49458BB}"/>
                <c:ext xmlns:c16="http://schemas.microsoft.com/office/drawing/2014/chart" uri="{C3380CC4-5D6E-409C-BE32-E72D297353CC}">
                  <c16:uniqueId val="{00000004-26C9-491C-8820-1D364B0A1FC8}"/>
                </c:ext>
              </c:extLst>
            </c:dLbl>
            <c:dLbl>
              <c:idx val="10"/>
              <c:layout>
                <c:manualLayout>
                  <c:x val="-3.5248039585066712E-2"/>
                  <c:y val="2.8628741126005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6C9-491C-8820-1D364B0A1FC8}"/>
                </c:ext>
              </c:extLst>
            </c:dLbl>
            <c:dLbl>
              <c:idx val="11"/>
              <c:layout>
                <c:manualLayout>
                  <c:x val="-3.5248039585066886E-2"/>
                  <c:y val="2.8628741126004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6C9-491C-8820-1D364B0A1FC8}"/>
                </c:ext>
              </c:extLst>
            </c:dLbl>
            <c:dLbl>
              <c:idx val="16"/>
              <c:delete val="1"/>
              <c:extLst>
                <c:ext xmlns:c15="http://schemas.microsoft.com/office/drawing/2012/chart" uri="{CE6537A1-D6FC-4f65-9D91-7224C49458BB}"/>
                <c:ext xmlns:c16="http://schemas.microsoft.com/office/drawing/2014/chart" uri="{C3380CC4-5D6E-409C-BE32-E72D297353CC}">
                  <c16:uniqueId val="{00000005-26C9-491C-8820-1D364B0A1FC8}"/>
                </c:ext>
              </c:extLst>
            </c:dLbl>
            <c:dLbl>
              <c:idx val="18"/>
              <c:layout>
                <c:manualLayout>
                  <c:x val="-4.2876194767701631E-2"/>
                  <c:y val="3.686396291064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C9-491C-8820-1D364B0A1FC8}"/>
                </c:ext>
              </c:extLst>
            </c:dLbl>
            <c:numFmt formatCode="#,##0.0" sourceLinked="0"/>
            <c:spPr>
              <a:noFill/>
              <a:ln>
                <a:noFill/>
              </a:ln>
              <a:effectLst/>
            </c:spPr>
            <c:txPr>
              <a:bodyPr rot="0" spcFirstLastPara="1" vertOverflow="ellipsis" vert="horz" wrap="square" anchor="ctr" anchorCtr="1"/>
              <a:lstStyle/>
              <a:p>
                <a:pPr>
                  <a:defRPr sz="800" b="1" i="0" u="none" strike="noStrike" kern="1200" baseline="0">
                    <a:solidFill>
                      <a:srgbClr val="FF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17'!$J$35:$U$35</c:f>
              <c:numCache>
                <c:formatCode>0</c:formatCode>
                <c:ptCount val="12"/>
                <c:pt idx="0">
                  <c:v>#N/A</c:v>
                </c:pt>
                <c:pt idx="1">
                  <c:v>#N/A</c:v>
                </c:pt>
                <c:pt idx="2">
                  <c:v>#N/A</c:v>
                </c:pt>
                <c:pt idx="3">
                  <c:v>#N/A</c:v>
                </c:pt>
                <c:pt idx="4">
                  <c:v>#N/A</c:v>
                </c:pt>
                <c:pt idx="5">
                  <c:v>#N/A</c:v>
                </c:pt>
                <c:pt idx="6">
                  <c:v>#N/A</c:v>
                </c:pt>
                <c:pt idx="7">
                  <c:v>#N/A</c:v>
                </c:pt>
                <c:pt idx="9" formatCode="0.0">
                  <c:v>59.563716918638733</c:v>
                </c:pt>
                <c:pt idx="10" formatCode="0.0">
                  <c:v>60.362075132986902</c:v>
                </c:pt>
                <c:pt idx="11" formatCode="0.0">
                  <c:v>60.518298427340142</c:v>
                </c:pt>
              </c:numCache>
            </c:numRef>
          </c:val>
          <c:smooth val="0"/>
          <c:extLst>
            <c:ext xmlns:c16="http://schemas.microsoft.com/office/drawing/2014/chart" uri="{C3380CC4-5D6E-409C-BE32-E72D297353CC}">
              <c16:uniqueId val="{00000007-26C9-491C-8820-1D364B0A1FC8}"/>
            </c:ext>
          </c:extLst>
        </c:ser>
        <c:ser>
          <c:idx val="5"/>
          <c:order val="5"/>
          <c:tx>
            <c:strRef>
              <c:f>'Graf 17'!$V$36</c:f>
              <c:strCache>
                <c:ptCount val="1"/>
                <c:pt idx="0">
                  <c:v>Net debt in budgetary targets scenario</c:v>
                </c:pt>
              </c:strCache>
            </c:strRef>
          </c:tx>
          <c:spPr>
            <a:ln w="19050" cap="rnd">
              <a:solidFill>
                <a:schemeClr val="bg1">
                  <a:lumMod val="75000"/>
                </a:schemeClr>
              </a:solidFill>
              <a:prstDash val="solid"/>
              <a:round/>
            </a:ln>
            <a:effectLst/>
          </c:spPr>
          <c:marker>
            <c:symbol val="none"/>
          </c:marker>
          <c:dLbls>
            <c:dLbl>
              <c:idx val="10"/>
              <c:layout>
                <c:manualLayout>
                  <c:x val="-2.8528373938843703E-2"/>
                  <c:y val="2.681331448458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6C9-491C-8820-1D364B0A1FC8}"/>
                </c:ext>
              </c:extLst>
            </c:dLbl>
            <c:dLbl>
              <c:idx val="11"/>
              <c:layout>
                <c:manualLayout>
                  <c:x val="-5.2302018887880122E-2"/>
                  <c:y val="3.06437879823870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6C9-491C-8820-1D364B0A1FC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17'!$J$29:$U$29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'Graf 17'!$J$36:$U$36</c:f>
              <c:numCache>
                <c:formatCode>0</c:formatCode>
                <c:ptCount val="12"/>
                <c:pt idx="0">
                  <c:v>#N/A</c:v>
                </c:pt>
                <c:pt idx="1">
                  <c:v>#N/A</c:v>
                </c:pt>
                <c:pt idx="2">
                  <c:v>#N/A</c:v>
                </c:pt>
                <c:pt idx="3">
                  <c:v>#N/A</c:v>
                </c:pt>
                <c:pt idx="4">
                  <c:v>#N/A</c:v>
                </c:pt>
                <c:pt idx="5">
                  <c:v>#N/A</c:v>
                </c:pt>
                <c:pt idx="6">
                  <c:v>#N/A</c:v>
                </c:pt>
                <c:pt idx="7">
                  <c:v>#N/A</c:v>
                </c:pt>
                <c:pt idx="9" formatCode="0.0">
                  <c:v>53.353421339399752</c:v>
                </c:pt>
                <c:pt idx="10" formatCode="0.0">
                  <c:v>54.862056945499873</c:v>
                </c:pt>
                <c:pt idx="11" formatCode="0.0">
                  <c:v>55.309097807959851</c:v>
                </c:pt>
              </c:numCache>
            </c:numRef>
          </c:val>
          <c:smooth val="0"/>
          <c:extLst>
            <c:ext xmlns:c16="http://schemas.microsoft.com/office/drawing/2014/chart" uri="{C3380CC4-5D6E-409C-BE32-E72D297353CC}">
              <c16:uniqueId val="{0000000A-26C9-491C-8820-1D364B0A1FC8}"/>
            </c:ext>
          </c:extLst>
        </c:ser>
        <c:ser>
          <c:idx val="6"/>
          <c:order val="6"/>
          <c:spPr>
            <a:ln w="19050" cap="rnd">
              <a:solidFill>
                <a:srgbClr val="FF7575"/>
              </a:solidFill>
              <a:prstDash val="sysDash"/>
              <a:round/>
            </a:ln>
            <a:effectLst/>
          </c:spPr>
          <c:marker>
            <c:symbol val="none"/>
          </c:marker>
          <c:val>
            <c:numRef>
              <c:f>'Graf 17'!$J$34:$U$34</c:f>
              <c:numCache>
                <c:formatCode>General</c:formatCode>
                <c:ptCount val="12"/>
                <c:pt idx="0">
                  <c:v>50</c:v>
                </c:pt>
                <c:pt idx="1">
                  <c:v>50</c:v>
                </c:pt>
                <c:pt idx="2">
                  <c:v>49</c:v>
                </c:pt>
                <c:pt idx="3">
                  <c:v>48</c:v>
                </c:pt>
                <c:pt idx="4">
                  <c:v>47</c:v>
                </c:pt>
                <c:pt idx="5">
                  <c:v>46</c:v>
                </c:pt>
                <c:pt idx="6">
                  <c:v>45</c:v>
                </c:pt>
                <c:pt idx="7">
                  <c:v>44</c:v>
                </c:pt>
                <c:pt idx="8">
                  <c:v>43</c:v>
                </c:pt>
                <c:pt idx="9">
                  <c:v>42</c:v>
                </c:pt>
                <c:pt idx="10">
                  <c:v>41</c:v>
                </c:pt>
                <c:pt idx="11">
                  <c:v>40</c:v>
                </c:pt>
              </c:numCache>
            </c:numRef>
          </c:val>
          <c:smooth val="0"/>
          <c:extLst>
            <c:ext xmlns:c16="http://schemas.microsoft.com/office/drawing/2014/chart" uri="{C3380CC4-5D6E-409C-BE32-E72D297353CC}">
              <c16:uniqueId val="{0000000B-26C9-491C-8820-1D364B0A1FC8}"/>
            </c:ext>
          </c:extLst>
        </c:ser>
        <c:dLbls>
          <c:showLegendKey val="0"/>
          <c:showVal val="0"/>
          <c:showCatName val="0"/>
          <c:showSerName val="0"/>
          <c:showPercent val="0"/>
          <c:showBubbleSize val="0"/>
        </c:dLbls>
        <c:marker val="1"/>
        <c:smooth val="0"/>
        <c:axId val="1081565536"/>
        <c:axId val="1081566848"/>
      </c:lineChart>
      <c:catAx>
        <c:axId val="1081565536"/>
        <c:scaling>
          <c:orientation val="minMax"/>
        </c:scaling>
        <c:delete val="0"/>
        <c:axPos val="b"/>
        <c:numFmt formatCode="General" sourceLinked="0"/>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6848"/>
        <c:crosses val="autoZero"/>
        <c:auto val="1"/>
        <c:lblAlgn val="ctr"/>
        <c:lblOffset val="100"/>
        <c:noMultiLvlLbl val="0"/>
      </c:catAx>
      <c:valAx>
        <c:axId val="1081566848"/>
        <c:scaling>
          <c:orientation val="minMax"/>
          <c:max val="70"/>
          <c:min val="30"/>
        </c:scaling>
        <c:delete val="0"/>
        <c:axPos val="l"/>
        <c:majorGridlines>
          <c:spPr>
            <a:ln w="3175" cap="flat" cmpd="sng" algn="ctr">
              <a:solidFill>
                <a:schemeClr val="bg1">
                  <a:lumMod val="50000"/>
                  <a:alpha val="25000"/>
                </a:scheme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5536"/>
        <c:crosses val="autoZero"/>
        <c:crossBetween val="between"/>
      </c:valAx>
      <c:spPr>
        <a:noFill/>
        <a:ln>
          <a:noFill/>
        </a:ln>
        <a:effectLst/>
      </c:spPr>
    </c:plotArea>
    <c:legend>
      <c:legendPos val="b"/>
      <c:legendEntry>
        <c:idx val="6"/>
        <c:delete val="1"/>
      </c:legendEntry>
      <c:layout>
        <c:manualLayout>
          <c:xMode val="edge"/>
          <c:yMode val="edge"/>
          <c:x val="3.3413998133845066E-3"/>
          <c:y val="0.86812071842792538"/>
          <c:w val="0.99665858612330471"/>
          <c:h val="0.1318792815720745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34120671183173423"/>
          <c:h val="0.8520068742836967"/>
        </c:manualLayout>
      </c:layout>
      <c:barChart>
        <c:barDir val="col"/>
        <c:grouping val="stacked"/>
        <c:varyColors val="0"/>
        <c:ser>
          <c:idx val="1"/>
          <c:order val="1"/>
          <c:tx>
            <c:strRef>
              <c:f>'Graf 18 + 19'!$A$10</c:f>
              <c:strCache>
                <c:ptCount val="1"/>
                <c:pt idx="0">
                  <c:v>Rast reálneho HDP</c:v>
                </c:pt>
              </c:strCache>
            </c:strRef>
          </c:tx>
          <c:spPr>
            <a:solidFill>
              <a:srgbClr val="002060"/>
            </a:solidFill>
          </c:spPr>
          <c:invertIfNegative val="0"/>
          <c:cat>
            <c:numRef>
              <c:f>'Graf 18 + 19'!$C$5:$G$5</c:f>
              <c:numCache>
                <c:formatCode>General</c:formatCode>
                <c:ptCount val="5"/>
                <c:pt idx="0">
                  <c:v>2023</c:v>
                </c:pt>
                <c:pt idx="1">
                  <c:v>2024</c:v>
                </c:pt>
                <c:pt idx="2">
                  <c:v>2025</c:v>
                </c:pt>
                <c:pt idx="3">
                  <c:v>2026</c:v>
                </c:pt>
                <c:pt idx="4">
                  <c:v>2027</c:v>
                </c:pt>
              </c:numCache>
            </c:numRef>
          </c:cat>
          <c:val>
            <c:numRef>
              <c:f>'Graf 18 + 19'!$C$10:$G$10</c:f>
              <c:numCache>
                <c:formatCode>#\ ##0.0</c:formatCode>
                <c:ptCount val="5"/>
                <c:pt idx="0">
                  <c:v>-0.82542903057855876</c:v>
                </c:pt>
                <c:pt idx="1">
                  <c:v>-1.2066685775422918</c:v>
                </c:pt>
                <c:pt idx="2">
                  <c:v>-1.228100049161025</c:v>
                </c:pt>
                <c:pt idx="3">
                  <c:v>-1.3339764695056844</c:v>
                </c:pt>
                <c:pt idx="4">
                  <c:v>-0.62412328473580103</c:v>
                </c:pt>
              </c:numCache>
            </c:numRef>
          </c:val>
          <c:extLst>
            <c:ext xmlns:c16="http://schemas.microsoft.com/office/drawing/2014/chart" uri="{C3380CC4-5D6E-409C-BE32-E72D297353CC}">
              <c16:uniqueId val="{00000001-641E-4751-9AFF-ABBD0C4D7717}"/>
            </c:ext>
          </c:extLst>
        </c:ser>
        <c:ser>
          <c:idx val="3"/>
          <c:order val="2"/>
          <c:tx>
            <c:strRef>
              <c:f>'Graf 18 + 19'!$A$11</c:f>
              <c:strCache>
                <c:ptCount val="1"/>
                <c:pt idx="0">
                  <c:v>Deflátor HDP</c:v>
                </c:pt>
              </c:strCache>
            </c:strRef>
          </c:tx>
          <c:spPr>
            <a:solidFill>
              <a:srgbClr val="131D2B">
                <a:lumMod val="75000"/>
                <a:lumOff val="25000"/>
              </a:srgbClr>
            </a:solidFill>
            <a:ln>
              <a:noFill/>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+ 19'!$C$11:$G$11</c:f>
              <c:numCache>
                <c:formatCode>#\ ##0.0</c:formatCode>
                <c:ptCount val="5"/>
                <c:pt idx="0">
                  <c:v>-5.3221957337529089</c:v>
                </c:pt>
                <c:pt idx="1">
                  <c:v>-2.3778406514075261</c:v>
                </c:pt>
                <c:pt idx="2">
                  <c:v>-2.432569870074766</c:v>
                </c:pt>
                <c:pt idx="3">
                  <c:v>-1.6598013498792565</c:v>
                </c:pt>
                <c:pt idx="4">
                  <c:v>-1.3405533111531538</c:v>
                </c:pt>
              </c:numCache>
            </c:numRef>
          </c:val>
          <c:extLst>
            <c:ext xmlns:c16="http://schemas.microsoft.com/office/drawing/2014/chart" uri="{C3380CC4-5D6E-409C-BE32-E72D297353CC}">
              <c16:uniqueId val="{00000000-641E-4751-9AFF-ABBD0C4D7717}"/>
            </c:ext>
          </c:extLst>
        </c:ser>
        <c:ser>
          <c:idx val="2"/>
          <c:order val="3"/>
          <c:tx>
            <c:strRef>
              <c:f>'Graf 18 + 19'!$A$8</c:f>
              <c:strCache>
                <c:ptCount val="1"/>
                <c:pt idx="0">
                  <c:v>Primárne saldo</c:v>
                </c:pt>
              </c:strCache>
            </c:strRef>
          </c:tx>
          <c:spPr>
            <a:solidFill>
              <a:srgbClr val="369ADC"/>
            </a:solidFill>
            <a:ln w="12700">
              <a:noFill/>
              <a:prstDash val="solid"/>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+ 19'!$C$8:$G$8</c:f>
              <c:numCache>
                <c:formatCode>#\ ##0.0</c:formatCode>
                <c:ptCount val="5"/>
                <c:pt idx="0">
                  <c:v>0.98659326432431538</c:v>
                </c:pt>
                <c:pt idx="1">
                  <c:v>5.6234039011672019</c:v>
                </c:pt>
                <c:pt idx="2">
                  <c:v>4.5769254479867643</c:v>
                </c:pt>
                <c:pt idx="3">
                  <c:v>4.4935712257003466</c:v>
                </c:pt>
                <c:pt idx="4">
                  <c:v>3.8420173974081475</c:v>
                </c:pt>
              </c:numCache>
            </c:numRef>
          </c:val>
          <c:extLst>
            <c:ext xmlns:c16="http://schemas.microsoft.com/office/drawing/2014/chart" uri="{C3380CC4-5D6E-409C-BE32-E72D297353CC}">
              <c16:uniqueId val="{00000002-641E-4751-9AFF-ABBD0C4D7717}"/>
            </c:ext>
          </c:extLst>
        </c:ser>
        <c:ser>
          <c:idx val="4"/>
          <c:order val="4"/>
          <c:tx>
            <c:strRef>
              <c:f>'Graf 18 + 19'!$A$9</c:f>
              <c:strCache>
                <c:ptCount val="1"/>
                <c:pt idx="0">
                  <c:v>Úroky</c:v>
                </c:pt>
              </c:strCache>
            </c:strRef>
          </c:tx>
          <c:spPr>
            <a:solidFill>
              <a:srgbClr val="2C9ADC">
                <a:lumMod val="40000"/>
                <a:lumOff val="60000"/>
              </a:srgbClr>
            </a:solidFill>
            <a:ln w="12700">
              <a:noFill/>
              <a:prstDash val="solid"/>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+ 19'!$C$9:$G$9</c:f>
              <c:numCache>
                <c:formatCode>#\ ##0.0</c:formatCode>
                <c:ptCount val="5"/>
                <c:pt idx="0">
                  <c:v>1.1568257199911458</c:v>
                </c:pt>
                <c:pt idx="1">
                  <c:v>1.4294653229599836</c:v>
                </c:pt>
                <c:pt idx="2">
                  <c:v>1.5432087721979653</c:v>
                </c:pt>
                <c:pt idx="3">
                  <c:v>1.6210543871776844</c:v>
                </c:pt>
                <c:pt idx="4">
                  <c:v>1.809560368596697</c:v>
                </c:pt>
              </c:numCache>
            </c:numRef>
          </c:val>
          <c:extLst>
            <c:ext xmlns:c16="http://schemas.microsoft.com/office/drawing/2014/chart" uri="{C3380CC4-5D6E-409C-BE32-E72D297353CC}">
              <c16:uniqueId val="{00000003-641E-4751-9AFF-ABBD0C4D7717}"/>
            </c:ext>
          </c:extLst>
        </c:ser>
        <c:ser>
          <c:idx val="7"/>
          <c:order val="5"/>
          <c:tx>
            <c:strRef>
              <c:f>'Graf 18 + 19'!$A$12</c:f>
              <c:strCache>
                <c:ptCount val="1"/>
                <c:pt idx="0">
                  <c:v>Zosúladenie deficitu a dlhu</c:v>
                </c:pt>
              </c:strCache>
            </c:strRef>
          </c:tx>
          <c:spPr>
            <a:solidFill>
              <a:srgbClr val="FFFFFF">
                <a:lumMod val="85000"/>
              </a:srgbClr>
            </a:solidFill>
            <a:ln w="28575">
              <a:noFill/>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+ 19'!$C$12:$G$12</c:f>
              <c:numCache>
                <c:formatCode>#\ ##0.0</c:formatCode>
                <c:ptCount val="5"/>
                <c:pt idx="0">
                  <c:v>-0.55266228571703024</c:v>
                </c:pt>
                <c:pt idx="1">
                  <c:v>0.64069300001809282</c:v>
                </c:pt>
                <c:pt idx="2">
                  <c:v>-0.38185227287253598</c:v>
                </c:pt>
                <c:pt idx="3">
                  <c:v>0.98952862890461568</c:v>
                </c:pt>
                <c:pt idx="4">
                  <c:v>1.1519316511987938</c:v>
                </c:pt>
              </c:numCache>
            </c:numRef>
          </c:val>
          <c:extLst>
            <c:ext xmlns:c16="http://schemas.microsoft.com/office/drawing/2014/chart" uri="{C3380CC4-5D6E-409C-BE32-E72D297353CC}">
              <c16:uniqueId val="{00000004-641E-4751-9AFF-ABBD0C4D7717}"/>
            </c:ext>
          </c:extLst>
        </c:ser>
        <c:dLbls>
          <c:showLegendKey val="0"/>
          <c:showVal val="0"/>
          <c:showCatName val="0"/>
          <c:showSerName val="0"/>
          <c:showPercent val="0"/>
          <c:showBubbleSize val="0"/>
        </c:dLbls>
        <c:gapWidth val="50"/>
        <c:overlap val="100"/>
        <c:axId val="547679416"/>
        <c:axId val="547679808"/>
        <c:extLst/>
      </c:barChart>
      <c:lineChart>
        <c:grouping val="standard"/>
        <c:varyColors val="0"/>
        <c:ser>
          <c:idx val="0"/>
          <c:order val="0"/>
          <c:tx>
            <c:strRef>
              <c:f>'Graf 18 + 19'!$A$6</c:f>
              <c:strCache>
                <c:ptCount val="1"/>
                <c:pt idx="0">
                  <c:v>Zmena hrubého dlhu VS</c:v>
                </c:pt>
              </c:strCache>
            </c:strRef>
          </c:tx>
          <c:spPr>
            <a:ln w="25400" cmpd="sng">
              <a:noFill/>
              <a:prstDash val="solid"/>
            </a:ln>
          </c:spPr>
          <c:marker>
            <c:symbol val="circle"/>
            <c:size val="6"/>
            <c:spPr>
              <a:solidFill>
                <a:sysClr val="windowText" lastClr="000000"/>
              </a:solidFill>
              <a:ln w="3175">
                <a:solidFill>
                  <a:sysClr val="window" lastClr="FFFFFF"/>
                </a:solidFill>
              </a:ln>
            </c:spPr>
          </c:marker>
          <c:dPt>
            <c:idx val="12"/>
            <c:bubble3D val="0"/>
            <c:extLst>
              <c:ext xmlns:c16="http://schemas.microsoft.com/office/drawing/2014/chart" uri="{C3380CC4-5D6E-409C-BE32-E72D297353CC}">
                <c16:uniqueId val="{00000006-641E-4751-9AFF-ABBD0C4D7717}"/>
              </c:ext>
            </c:extLst>
          </c:dPt>
          <c:dLbls>
            <c:numFmt formatCode="#,##0.0" sourceLinked="0"/>
            <c:spPr>
              <a:solidFill>
                <a:sysClr val="window" lastClr="FFFFFF"/>
              </a:solidFill>
              <a:ln>
                <a:solidFill>
                  <a:sysClr val="windowText" lastClr="000000"/>
                </a:solidFill>
              </a:ln>
              <a:effectLst/>
            </c:spPr>
            <c:txPr>
              <a:bodyPr wrap="square" lIns="38100" tIns="19050" rIns="38100" bIns="19050" anchor="ctr">
                <a:spAutoFit/>
              </a:bodyPr>
              <a:lstStyle/>
              <a:p>
                <a:pPr>
                  <a:defRPr b="1"/>
                </a:pPr>
                <a:endParaRPr lang="sk-SK"/>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18 + 19'!$C$5:$G$5</c:f>
              <c:numCache>
                <c:formatCode>General</c:formatCode>
                <c:ptCount val="5"/>
                <c:pt idx="0">
                  <c:v>2023</c:v>
                </c:pt>
                <c:pt idx="1">
                  <c:v>2024</c:v>
                </c:pt>
                <c:pt idx="2">
                  <c:v>2025</c:v>
                </c:pt>
                <c:pt idx="3">
                  <c:v>2026</c:v>
                </c:pt>
                <c:pt idx="4">
                  <c:v>2027</c:v>
                </c:pt>
              </c:numCache>
            </c:numRef>
          </c:cat>
          <c:val>
            <c:numRef>
              <c:f>'Graf 18 + 19'!$C$6:$G$6</c:f>
              <c:numCache>
                <c:formatCode>#\ ##0.0</c:formatCode>
                <c:ptCount val="5"/>
                <c:pt idx="0">
                  <c:v>-1.8068123921352139</c:v>
                </c:pt>
                <c:pt idx="1">
                  <c:v>2.8415550083828265</c:v>
                </c:pt>
                <c:pt idx="2">
                  <c:v>0.67747780384827649</c:v>
                </c:pt>
                <c:pt idx="3">
                  <c:v>2.1560837671485444</c:v>
                </c:pt>
                <c:pt idx="4">
                  <c:v>4.0565224264118953</c:v>
                </c:pt>
              </c:numCache>
            </c:numRef>
          </c:val>
          <c:smooth val="0"/>
          <c:extLst>
            <c:ext xmlns:c16="http://schemas.microsoft.com/office/drawing/2014/chart" uri="{C3380CC4-5D6E-409C-BE32-E72D297353CC}">
              <c16:uniqueId val="{00000007-641E-4751-9AFF-ABBD0C4D7717}"/>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ysClr val="window" lastClr="FFFFFF">
                <a:lumMod val="50000"/>
              </a:sysClr>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in val="-10"/>
        </c:scaling>
        <c:delete val="0"/>
        <c:axPos val="l"/>
        <c:majorGridlines>
          <c:spPr>
            <a:ln w="3175">
              <a:solidFill>
                <a:sysClr val="window" lastClr="FFFFFF">
                  <a:lumMod val="50000"/>
                  <a:alpha val="25000"/>
                </a:sys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valAx>
      <c:spPr>
        <a:noFill/>
        <a:ln w="25400">
          <a:noFill/>
        </a:ln>
      </c:spPr>
    </c:plotArea>
    <c:legend>
      <c:legendPos val="r"/>
      <c:layout>
        <c:manualLayout>
          <c:xMode val="edge"/>
          <c:yMode val="edge"/>
          <c:x val="0.65220412698792019"/>
          <c:y val="3.5479710212438217E-2"/>
          <c:w val="0.28912111327510465"/>
          <c:h val="0.95879026289118308"/>
        </c:manualLayout>
      </c:layout>
      <c:overlay val="0"/>
      <c:spPr>
        <a:solidFill>
          <a:srgbClr val="FFFFFF"/>
        </a:solid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 l="0.7" r="0.7" t="0.75" header="0.3" footer="0.3"/>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0.17690048320253315"/>
          <c:w val="0.88785151515151517"/>
          <c:h val="0.69786731810057334"/>
        </c:manualLayout>
      </c:layout>
      <c:areaChart>
        <c:grouping val="standard"/>
        <c:varyColors val="0"/>
        <c:ser>
          <c:idx val="2"/>
          <c:order val="0"/>
          <c:tx>
            <c:strRef>
              <c:f>Zhrnutie!$P$23</c:f>
              <c:strCache>
                <c:ptCount val="1"/>
                <c:pt idx="0">
                  <c:v>Budget</c:v>
                </c:pt>
              </c:strCache>
            </c:strRef>
          </c:tx>
          <c:spPr>
            <a:solidFill>
              <a:srgbClr val="2C9ADC"/>
            </a:solidFill>
            <a:ln w="25400">
              <a:noFill/>
            </a:ln>
            <a:effectLst/>
          </c:spPr>
          <c:cat>
            <c:numRef>
              <c:f>[83]Dashboard!$C$3:$H$3</c:f>
              <c:numCache>
                <c:formatCode>General</c:formatCode>
                <c:ptCount val="6"/>
                <c:pt idx="0">
                  <c:v>2023</c:v>
                </c:pt>
                <c:pt idx="1">
                  <c:v>2024</c:v>
                </c:pt>
                <c:pt idx="2">
                  <c:v>2025</c:v>
                </c:pt>
                <c:pt idx="3">
                  <c:v>2026</c:v>
                </c:pt>
                <c:pt idx="4">
                  <c:v>2027</c:v>
                </c:pt>
                <c:pt idx="5">
                  <c:v>2028</c:v>
                </c:pt>
              </c:numCache>
            </c:numRef>
          </c:cat>
          <c:val>
            <c:numRef>
              <c:f>Zhrnutie!$K$23:$O$23</c:f>
              <c:numCache>
                <c:formatCode>0.0</c:formatCode>
                <c:ptCount val="5"/>
                <c:pt idx="0">
                  <c:v>56.044684106407637</c:v>
                </c:pt>
                <c:pt idx="1">
                  <c:v>58.886239114790449</c:v>
                </c:pt>
                <c:pt idx="2">
                  <c:v>59.563716918638733</c:v>
                </c:pt>
                <c:pt idx="3">
                  <c:v>61.719800685787277</c:v>
                </c:pt>
                <c:pt idx="4">
                  <c:v>65.776323112199179</c:v>
                </c:pt>
              </c:numCache>
            </c:numRef>
          </c:val>
          <c:extLst>
            <c:ext xmlns:c16="http://schemas.microsoft.com/office/drawing/2014/chart" uri="{C3380CC4-5D6E-409C-BE32-E72D297353CC}">
              <c16:uniqueId val="{00000000-0CAC-4ED3-9627-8C3F046AA137}"/>
            </c:ext>
          </c:extLst>
        </c:ser>
        <c:dLbls>
          <c:showLegendKey val="0"/>
          <c:showVal val="0"/>
          <c:showCatName val="0"/>
          <c:showSerName val="0"/>
          <c:showPercent val="0"/>
          <c:showBubbleSize val="0"/>
        </c:dLbls>
        <c:axId val="1291386143"/>
        <c:axId val="1379567903"/>
      </c:areaChart>
      <c:lineChart>
        <c:grouping val="standard"/>
        <c:varyColors val="0"/>
        <c:ser>
          <c:idx val="4"/>
          <c:order val="1"/>
          <c:tx>
            <c:strRef>
              <c:f>Zhrnutie!$P$24</c:f>
              <c:strCache>
                <c:ptCount val="1"/>
                <c:pt idx="0">
                  <c:v>Budgetary target</c:v>
                </c:pt>
              </c:strCache>
            </c:strRef>
          </c:tx>
          <c:spPr>
            <a:ln w="19050" cap="sq">
              <a:solidFill>
                <a:srgbClr val="002060"/>
              </a:solidFill>
              <a:prstDash val="sysDash"/>
              <a:miter lim="800000"/>
            </a:ln>
            <a:effectLst/>
          </c:spPr>
          <c:marker>
            <c:symbol val="none"/>
          </c:marker>
          <c:dLbls>
            <c:dLbl>
              <c:idx val="2"/>
              <c:delete val="1"/>
              <c:extLst>
                <c:ext xmlns:c15="http://schemas.microsoft.com/office/drawing/2012/chart" uri="{CE6537A1-D6FC-4f65-9D91-7224C49458BB}"/>
                <c:ext xmlns:c16="http://schemas.microsoft.com/office/drawing/2014/chart" uri="{C3380CC4-5D6E-409C-BE32-E72D297353CC}">
                  <c16:uniqueId val="{00000001-0CAC-4ED3-9627-8C3F046AA137}"/>
                </c:ext>
              </c:extLst>
            </c:dLbl>
            <c:numFmt formatCode="#,##0.0" sourceLinked="0"/>
            <c:spPr>
              <a:solidFill>
                <a:schemeClr val="bg1"/>
              </a:solidFill>
              <a:ln w="3175">
                <a:solidFill>
                  <a:srgbClr val="002060"/>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Zhrnutie!$K$22:$O$22</c:f>
              <c:numCache>
                <c:formatCode>General</c:formatCode>
                <c:ptCount val="5"/>
                <c:pt idx="0">
                  <c:v>2023</c:v>
                </c:pt>
                <c:pt idx="1">
                  <c:v>2024</c:v>
                </c:pt>
                <c:pt idx="2">
                  <c:v>2025</c:v>
                </c:pt>
                <c:pt idx="3">
                  <c:v>2026</c:v>
                </c:pt>
                <c:pt idx="4">
                  <c:v>2027</c:v>
                </c:pt>
              </c:numCache>
            </c:numRef>
          </c:cat>
          <c:val>
            <c:numRef>
              <c:f>Zhrnutie!$K$24:$O$24</c:f>
              <c:numCache>
                <c:formatCode>0.0</c:formatCode>
                <c:ptCount val="5"/>
                <c:pt idx="2">
                  <c:v>59.551286731767902</c:v>
                </c:pt>
                <c:pt idx="3">
                  <c:v>60.350269709305316</c:v>
                </c:pt>
                <c:pt idx="4">
                  <c:v>60.506868796181436</c:v>
                </c:pt>
              </c:numCache>
            </c:numRef>
          </c:val>
          <c:smooth val="0"/>
          <c:extLst>
            <c:ext xmlns:c16="http://schemas.microsoft.com/office/drawing/2014/chart" uri="{C3380CC4-5D6E-409C-BE32-E72D297353CC}">
              <c16:uniqueId val="{00000002-0CAC-4ED3-9627-8C3F046AA137}"/>
            </c:ext>
          </c:extLst>
        </c:ser>
        <c:ser>
          <c:idx val="3"/>
          <c:order val="2"/>
          <c:spPr>
            <a:ln w="28575" cap="rnd">
              <a:no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70C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Zhrnutie!$K$22:$O$22</c:f>
              <c:numCache>
                <c:formatCode>General</c:formatCode>
                <c:ptCount val="5"/>
                <c:pt idx="0">
                  <c:v>2023</c:v>
                </c:pt>
                <c:pt idx="1">
                  <c:v>2024</c:v>
                </c:pt>
                <c:pt idx="2">
                  <c:v>2025</c:v>
                </c:pt>
                <c:pt idx="3">
                  <c:v>2026</c:v>
                </c:pt>
                <c:pt idx="4">
                  <c:v>2027</c:v>
                </c:pt>
              </c:numCache>
            </c:numRef>
          </c:cat>
          <c:val>
            <c:numRef>
              <c:f>Zhrnutie!$K$23:$O$23</c:f>
              <c:numCache>
                <c:formatCode>0.0</c:formatCode>
                <c:ptCount val="5"/>
                <c:pt idx="0">
                  <c:v>56.044684106407637</c:v>
                </c:pt>
                <c:pt idx="1">
                  <c:v>58.886239114790449</c:v>
                </c:pt>
                <c:pt idx="2">
                  <c:v>59.563716918638733</c:v>
                </c:pt>
                <c:pt idx="3">
                  <c:v>61.719800685787277</c:v>
                </c:pt>
                <c:pt idx="4">
                  <c:v>65.776323112199179</c:v>
                </c:pt>
              </c:numCache>
            </c:numRef>
          </c:val>
          <c:smooth val="0"/>
          <c:extLst>
            <c:ext xmlns:c16="http://schemas.microsoft.com/office/drawing/2014/chart" uri="{C3380CC4-5D6E-409C-BE32-E72D297353CC}">
              <c16:uniqueId val="{00000003-0CAC-4ED3-9627-8C3F046AA137}"/>
            </c:ext>
          </c:extLst>
        </c:ser>
        <c:dLbls>
          <c:showLegendKey val="0"/>
          <c:showVal val="0"/>
          <c:showCatName val="0"/>
          <c:showSerName val="0"/>
          <c:showPercent val="0"/>
          <c:showBubbleSize val="0"/>
        </c:dLbls>
        <c:marker val="1"/>
        <c:smooth val="0"/>
        <c:axId val="1291386143"/>
        <c:axId val="1379567903"/>
      </c:lineChart>
      <c:catAx>
        <c:axId val="1291386143"/>
        <c:scaling>
          <c:orientation val="minMax"/>
        </c:scaling>
        <c:delete val="0"/>
        <c:axPos val="b"/>
        <c:numFmt formatCode="General" sourceLinked="1"/>
        <c:majorTickMark val="none"/>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379567903"/>
        <c:crosses val="autoZero"/>
        <c:auto val="1"/>
        <c:lblAlgn val="ctr"/>
        <c:lblOffset val="100"/>
        <c:noMultiLvlLbl val="0"/>
      </c:catAx>
      <c:valAx>
        <c:axId val="1379567903"/>
        <c:scaling>
          <c:orientation val="minMax"/>
          <c:min val="40"/>
        </c:scaling>
        <c:delete val="0"/>
        <c:axPos val="l"/>
        <c:majorGridlines>
          <c:spPr>
            <a:ln w="3175" cap="flat" cmpd="sng" algn="ctr">
              <a:solidFill>
                <a:schemeClr val="bg1">
                  <a:lumMod val="50000"/>
                  <a:alpha val="25000"/>
                </a:schemeClr>
              </a:solidFill>
              <a:prstDash val="sys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1291386143"/>
        <c:crosses val="autoZero"/>
        <c:crossBetween val="between"/>
      </c:valAx>
      <c:spPr>
        <a:noFill/>
        <a:ln>
          <a:noFill/>
        </a:ln>
        <a:effectLst/>
      </c:spPr>
    </c:plotArea>
    <c:legend>
      <c:legendPos val="b"/>
      <c:legendEntry>
        <c:idx val="2"/>
        <c:delete val="1"/>
      </c:legendEntry>
      <c:layout>
        <c:manualLayout>
          <c:xMode val="edge"/>
          <c:yMode val="edge"/>
          <c:x val="1.2714456847636117E-2"/>
          <c:y val="3.4221771694861792E-3"/>
          <c:w val="0.97918415585516827"/>
          <c:h val="0.1686501680693165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31775989235522772"/>
          <c:h val="0.8520068742836967"/>
        </c:manualLayout>
      </c:layout>
      <c:barChart>
        <c:barDir val="col"/>
        <c:grouping val="stacked"/>
        <c:varyColors val="0"/>
        <c:ser>
          <c:idx val="1"/>
          <c:order val="1"/>
          <c:tx>
            <c:strRef>
              <c:f>'Graf 18 + 19'!$I$10</c:f>
              <c:strCache>
                <c:ptCount val="1"/>
                <c:pt idx="0">
                  <c:v>Real GDP growth</c:v>
                </c:pt>
              </c:strCache>
            </c:strRef>
          </c:tx>
          <c:spPr>
            <a:solidFill>
              <a:srgbClr val="002060"/>
            </a:solidFill>
          </c:spPr>
          <c:invertIfNegative val="0"/>
          <c:cat>
            <c:numRef>
              <c:f>'Graf 18 + 19'!$C$5:$G$5</c:f>
              <c:numCache>
                <c:formatCode>General</c:formatCode>
                <c:ptCount val="5"/>
                <c:pt idx="0">
                  <c:v>2023</c:v>
                </c:pt>
                <c:pt idx="1">
                  <c:v>2024</c:v>
                </c:pt>
                <c:pt idx="2">
                  <c:v>2025</c:v>
                </c:pt>
                <c:pt idx="3">
                  <c:v>2026</c:v>
                </c:pt>
                <c:pt idx="4">
                  <c:v>2027</c:v>
                </c:pt>
              </c:numCache>
            </c:numRef>
          </c:cat>
          <c:val>
            <c:numRef>
              <c:f>'Graf 18 + 19'!$C$10:$G$10</c:f>
              <c:numCache>
                <c:formatCode>#\ ##0.0</c:formatCode>
                <c:ptCount val="5"/>
                <c:pt idx="0">
                  <c:v>-0.82542903057855876</c:v>
                </c:pt>
                <c:pt idx="1">
                  <c:v>-1.2066685775422918</c:v>
                </c:pt>
                <c:pt idx="2">
                  <c:v>-1.228100049161025</c:v>
                </c:pt>
                <c:pt idx="3">
                  <c:v>-1.3339764695056844</c:v>
                </c:pt>
                <c:pt idx="4">
                  <c:v>-0.62412328473580103</c:v>
                </c:pt>
              </c:numCache>
            </c:numRef>
          </c:val>
          <c:extLst>
            <c:ext xmlns:c16="http://schemas.microsoft.com/office/drawing/2014/chart" uri="{C3380CC4-5D6E-409C-BE32-E72D297353CC}">
              <c16:uniqueId val="{00000000-9221-4CB5-BC7C-6E14F26997CF}"/>
            </c:ext>
          </c:extLst>
        </c:ser>
        <c:ser>
          <c:idx val="3"/>
          <c:order val="2"/>
          <c:tx>
            <c:strRef>
              <c:f>'Graf 18 + 19'!$I$11</c:f>
              <c:strCache>
                <c:ptCount val="1"/>
                <c:pt idx="0">
                  <c:v>GDP deflator</c:v>
                </c:pt>
              </c:strCache>
            </c:strRef>
          </c:tx>
          <c:spPr>
            <a:solidFill>
              <a:srgbClr val="131D2B">
                <a:lumMod val="75000"/>
                <a:lumOff val="25000"/>
              </a:srgbClr>
            </a:solidFill>
            <a:ln>
              <a:noFill/>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+ 19'!$C$11:$G$11</c:f>
              <c:numCache>
                <c:formatCode>#\ ##0.0</c:formatCode>
                <c:ptCount val="5"/>
                <c:pt idx="0">
                  <c:v>-5.3221957337529089</c:v>
                </c:pt>
                <c:pt idx="1">
                  <c:v>-2.3778406514075261</c:v>
                </c:pt>
                <c:pt idx="2">
                  <c:v>-2.432569870074766</c:v>
                </c:pt>
                <c:pt idx="3">
                  <c:v>-1.6598013498792565</c:v>
                </c:pt>
                <c:pt idx="4">
                  <c:v>-1.3405533111531538</c:v>
                </c:pt>
              </c:numCache>
            </c:numRef>
          </c:val>
          <c:extLst>
            <c:ext xmlns:c16="http://schemas.microsoft.com/office/drawing/2014/chart" uri="{C3380CC4-5D6E-409C-BE32-E72D297353CC}">
              <c16:uniqueId val="{00000001-9221-4CB5-BC7C-6E14F26997CF}"/>
            </c:ext>
          </c:extLst>
        </c:ser>
        <c:ser>
          <c:idx val="2"/>
          <c:order val="3"/>
          <c:tx>
            <c:strRef>
              <c:f>'Graf 18 + 19'!$I$8</c:f>
              <c:strCache>
                <c:ptCount val="1"/>
                <c:pt idx="0">
                  <c:v>Primary balance</c:v>
                </c:pt>
              </c:strCache>
            </c:strRef>
          </c:tx>
          <c:spPr>
            <a:solidFill>
              <a:srgbClr val="369ADC"/>
            </a:solidFill>
            <a:ln w="12700">
              <a:noFill/>
              <a:prstDash val="solid"/>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+ 19'!$C$8:$G$8</c:f>
              <c:numCache>
                <c:formatCode>#\ ##0.0</c:formatCode>
                <c:ptCount val="5"/>
                <c:pt idx="0">
                  <c:v>0.98659326432431538</c:v>
                </c:pt>
                <c:pt idx="1">
                  <c:v>5.6234039011672019</c:v>
                </c:pt>
                <c:pt idx="2">
                  <c:v>4.5769254479867643</c:v>
                </c:pt>
                <c:pt idx="3">
                  <c:v>4.4935712257003466</c:v>
                </c:pt>
                <c:pt idx="4">
                  <c:v>3.8420173974081475</c:v>
                </c:pt>
              </c:numCache>
            </c:numRef>
          </c:val>
          <c:extLst>
            <c:ext xmlns:c16="http://schemas.microsoft.com/office/drawing/2014/chart" uri="{C3380CC4-5D6E-409C-BE32-E72D297353CC}">
              <c16:uniqueId val="{00000002-9221-4CB5-BC7C-6E14F26997CF}"/>
            </c:ext>
          </c:extLst>
        </c:ser>
        <c:ser>
          <c:idx val="4"/>
          <c:order val="4"/>
          <c:tx>
            <c:strRef>
              <c:f>'Graf 18 + 19'!$I$9</c:f>
              <c:strCache>
                <c:ptCount val="1"/>
                <c:pt idx="0">
                  <c:v>Interests</c:v>
                </c:pt>
              </c:strCache>
            </c:strRef>
          </c:tx>
          <c:spPr>
            <a:solidFill>
              <a:srgbClr val="2C9ADC">
                <a:lumMod val="40000"/>
                <a:lumOff val="60000"/>
              </a:srgbClr>
            </a:solidFill>
            <a:ln w="12700">
              <a:noFill/>
              <a:prstDash val="solid"/>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+ 19'!$C$9:$G$9</c:f>
              <c:numCache>
                <c:formatCode>#\ ##0.0</c:formatCode>
                <c:ptCount val="5"/>
                <c:pt idx="0">
                  <c:v>1.1568257199911458</c:v>
                </c:pt>
                <c:pt idx="1">
                  <c:v>1.4294653229599836</c:v>
                </c:pt>
                <c:pt idx="2">
                  <c:v>1.5432087721979653</c:v>
                </c:pt>
                <c:pt idx="3">
                  <c:v>1.6210543871776844</c:v>
                </c:pt>
                <c:pt idx="4">
                  <c:v>1.809560368596697</c:v>
                </c:pt>
              </c:numCache>
            </c:numRef>
          </c:val>
          <c:extLst>
            <c:ext xmlns:c16="http://schemas.microsoft.com/office/drawing/2014/chart" uri="{C3380CC4-5D6E-409C-BE32-E72D297353CC}">
              <c16:uniqueId val="{00000003-9221-4CB5-BC7C-6E14F26997CF}"/>
            </c:ext>
          </c:extLst>
        </c:ser>
        <c:ser>
          <c:idx val="7"/>
          <c:order val="5"/>
          <c:tx>
            <c:strRef>
              <c:f>'Graf 18 + 19'!$I$12</c:f>
              <c:strCache>
                <c:ptCount val="1"/>
                <c:pt idx="0">
                  <c:v>Stock-flow adjustment</c:v>
                </c:pt>
              </c:strCache>
            </c:strRef>
          </c:tx>
          <c:spPr>
            <a:solidFill>
              <a:srgbClr val="FFFFFF">
                <a:lumMod val="85000"/>
              </a:srgbClr>
            </a:solidFill>
            <a:ln w="28575">
              <a:noFill/>
            </a:ln>
          </c:spPr>
          <c:invertIfNegative val="0"/>
          <c:cat>
            <c:numRef>
              <c:f>'Graf 18 + 19'!$C$5:$G$5</c:f>
              <c:numCache>
                <c:formatCode>General</c:formatCode>
                <c:ptCount val="5"/>
                <c:pt idx="0">
                  <c:v>2023</c:v>
                </c:pt>
                <c:pt idx="1">
                  <c:v>2024</c:v>
                </c:pt>
                <c:pt idx="2">
                  <c:v>2025</c:v>
                </c:pt>
                <c:pt idx="3">
                  <c:v>2026</c:v>
                </c:pt>
                <c:pt idx="4">
                  <c:v>2027</c:v>
                </c:pt>
              </c:numCache>
            </c:numRef>
          </c:cat>
          <c:val>
            <c:numRef>
              <c:f>'Graf 18 + 19'!$C$12:$G$12</c:f>
              <c:numCache>
                <c:formatCode>#\ ##0.0</c:formatCode>
                <c:ptCount val="5"/>
                <c:pt idx="0">
                  <c:v>-0.55266228571703024</c:v>
                </c:pt>
                <c:pt idx="1">
                  <c:v>0.64069300001809282</c:v>
                </c:pt>
                <c:pt idx="2">
                  <c:v>-0.38185227287253598</c:v>
                </c:pt>
                <c:pt idx="3">
                  <c:v>0.98952862890461568</c:v>
                </c:pt>
                <c:pt idx="4">
                  <c:v>1.1519316511987938</c:v>
                </c:pt>
              </c:numCache>
            </c:numRef>
          </c:val>
          <c:extLst>
            <c:ext xmlns:c16="http://schemas.microsoft.com/office/drawing/2014/chart" uri="{C3380CC4-5D6E-409C-BE32-E72D297353CC}">
              <c16:uniqueId val="{00000004-9221-4CB5-BC7C-6E14F26997CF}"/>
            </c:ext>
          </c:extLst>
        </c:ser>
        <c:dLbls>
          <c:showLegendKey val="0"/>
          <c:showVal val="0"/>
          <c:showCatName val="0"/>
          <c:showSerName val="0"/>
          <c:showPercent val="0"/>
          <c:showBubbleSize val="0"/>
        </c:dLbls>
        <c:gapWidth val="50"/>
        <c:overlap val="100"/>
        <c:axId val="547679416"/>
        <c:axId val="547679808"/>
        <c:extLst/>
      </c:barChart>
      <c:lineChart>
        <c:grouping val="standard"/>
        <c:varyColors val="0"/>
        <c:ser>
          <c:idx val="0"/>
          <c:order val="0"/>
          <c:tx>
            <c:strRef>
              <c:f>'Graf 18 + 19'!$I$6</c:f>
              <c:strCache>
                <c:ptCount val="1"/>
                <c:pt idx="0">
                  <c:v>Y-o-y change of gross debt</c:v>
                </c:pt>
              </c:strCache>
            </c:strRef>
          </c:tx>
          <c:spPr>
            <a:ln w="25400" cmpd="sng">
              <a:noFill/>
              <a:prstDash val="solid"/>
            </a:ln>
          </c:spPr>
          <c:marker>
            <c:symbol val="circle"/>
            <c:size val="6"/>
            <c:spPr>
              <a:solidFill>
                <a:sysClr val="windowText" lastClr="000000"/>
              </a:solidFill>
              <a:ln w="3175">
                <a:solidFill>
                  <a:sysClr val="window" lastClr="FFFFFF"/>
                </a:solidFill>
              </a:ln>
            </c:spPr>
          </c:marker>
          <c:dPt>
            <c:idx val="12"/>
            <c:bubble3D val="0"/>
            <c:extLst>
              <c:ext xmlns:c16="http://schemas.microsoft.com/office/drawing/2014/chart" uri="{C3380CC4-5D6E-409C-BE32-E72D297353CC}">
                <c16:uniqueId val="{00000005-9221-4CB5-BC7C-6E14F26997CF}"/>
              </c:ext>
            </c:extLst>
          </c:dPt>
          <c:dLbls>
            <c:numFmt formatCode="#,##0.0" sourceLinked="0"/>
            <c:spPr>
              <a:solidFill>
                <a:sysClr val="window" lastClr="FFFFFF"/>
              </a:solidFill>
              <a:ln>
                <a:solidFill>
                  <a:sysClr val="windowText" lastClr="000000"/>
                </a:solidFill>
              </a:ln>
              <a:effectLst/>
            </c:spPr>
            <c:txPr>
              <a:bodyPr wrap="square" lIns="38100" tIns="19050" rIns="38100" bIns="19050" anchor="ctr">
                <a:spAutoFit/>
              </a:bodyPr>
              <a:lstStyle/>
              <a:p>
                <a:pPr>
                  <a:defRPr b="1"/>
                </a:pPr>
                <a:endParaRPr lang="sk-SK"/>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18 + 19'!$C$5:$G$5</c:f>
              <c:numCache>
                <c:formatCode>General</c:formatCode>
                <c:ptCount val="5"/>
                <c:pt idx="0">
                  <c:v>2023</c:v>
                </c:pt>
                <c:pt idx="1">
                  <c:v>2024</c:v>
                </c:pt>
                <c:pt idx="2">
                  <c:v>2025</c:v>
                </c:pt>
                <c:pt idx="3">
                  <c:v>2026</c:v>
                </c:pt>
                <c:pt idx="4">
                  <c:v>2027</c:v>
                </c:pt>
              </c:numCache>
            </c:numRef>
          </c:cat>
          <c:val>
            <c:numRef>
              <c:f>'Graf 18 + 19'!$C$6:$G$6</c:f>
              <c:numCache>
                <c:formatCode>#\ ##0.0</c:formatCode>
                <c:ptCount val="5"/>
                <c:pt idx="0">
                  <c:v>-1.8068123921352139</c:v>
                </c:pt>
                <c:pt idx="1">
                  <c:v>2.8415550083828265</c:v>
                </c:pt>
                <c:pt idx="2">
                  <c:v>0.67747780384827649</c:v>
                </c:pt>
                <c:pt idx="3">
                  <c:v>2.1560837671485444</c:v>
                </c:pt>
                <c:pt idx="4">
                  <c:v>4.0565224264118953</c:v>
                </c:pt>
              </c:numCache>
            </c:numRef>
          </c:val>
          <c:smooth val="0"/>
          <c:extLst>
            <c:ext xmlns:c16="http://schemas.microsoft.com/office/drawing/2014/chart" uri="{C3380CC4-5D6E-409C-BE32-E72D297353CC}">
              <c16:uniqueId val="{00000006-9221-4CB5-BC7C-6E14F26997CF}"/>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ysClr val="window" lastClr="FFFFFF">
                <a:lumMod val="50000"/>
              </a:sysClr>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in val="-10"/>
        </c:scaling>
        <c:delete val="0"/>
        <c:axPos val="l"/>
        <c:majorGridlines>
          <c:spPr>
            <a:ln w="3175">
              <a:solidFill>
                <a:sysClr val="window" lastClr="FFFFFF">
                  <a:lumMod val="50000"/>
                  <a:alpha val="25000"/>
                </a:sys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valAx>
      <c:spPr>
        <a:noFill/>
        <a:ln w="25400">
          <a:noFill/>
        </a:ln>
      </c:spPr>
    </c:plotArea>
    <c:legend>
      <c:legendPos val="r"/>
      <c:layout>
        <c:manualLayout>
          <c:xMode val="edge"/>
          <c:yMode val="edge"/>
          <c:x val="0.59150610005542337"/>
          <c:y val="3.5479710212438217E-2"/>
          <c:w val="0.35354776735235183"/>
          <c:h val="0.95879026289118308"/>
        </c:manualLayout>
      </c:layout>
      <c:overlay val="0"/>
      <c:spPr>
        <a:solidFill>
          <a:srgbClr val="FFFFFF"/>
        </a:solid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 l="0.7" r="0.7" t="0.75" header="0.3" footer="0.3"/>
    <c:pageSetup paperSize="9"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'Graf 18 + 19'!$A$8</c:f>
              <c:strCache>
                <c:ptCount val="1"/>
                <c:pt idx="0">
                  <c:v>Primárne saldo</c:v>
                </c:pt>
              </c:strCache>
            </c:strRef>
          </c:tx>
          <c:spPr>
            <a:solidFill>
              <a:srgbClr val="369ADC"/>
            </a:solidFill>
            <a:ln>
              <a:noFill/>
            </a:ln>
            <a:effectLst/>
          </c:spPr>
          <c:invertIfNegative val="0"/>
          <c:cat>
            <c:strRef>
              <c:f>'Graf 18 + 19'!$H$5</c:f>
              <c:strCache>
                <c:ptCount val="1"/>
                <c:pt idx="0">
                  <c:v>2025-2027 kumulatívne</c:v>
                </c:pt>
              </c:strCache>
            </c:strRef>
          </c:cat>
          <c:val>
            <c:numRef>
              <c:f>'Graf 18 + 19'!$H$8</c:f>
              <c:numCache>
                <c:formatCode>#\ ##0.0</c:formatCode>
                <c:ptCount val="1"/>
                <c:pt idx="0">
                  <c:v>12.912514071095258</c:v>
                </c:pt>
              </c:numCache>
            </c:numRef>
          </c:val>
          <c:extLst>
            <c:ext xmlns:c16="http://schemas.microsoft.com/office/drawing/2014/chart" uri="{C3380CC4-5D6E-409C-BE32-E72D297353CC}">
              <c16:uniqueId val="{00000000-2F6E-4291-ADB3-ABBE93C185FB}"/>
            </c:ext>
          </c:extLst>
        </c:ser>
        <c:ser>
          <c:idx val="3"/>
          <c:order val="2"/>
          <c:tx>
            <c:strRef>
              <c:f>'Graf 18 + 19'!$A$9</c:f>
              <c:strCache>
                <c:ptCount val="1"/>
                <c:pt idx="0">
                  <c:v>Úroky</c:v>
                </c:pt>
              </c:strCache>
            </c:strRef>
          </c:tx>
          <c:spPr>
            <a:solidFill>
              <a:schemeClr val="accent1">
                <a:lumMod val="40000"/>
                <a:lumOff val="60000"/>
              </a:schemeClr>
            </a:solidFill>
            <a:ln>
              <a:noFill/>
            </a:ln>
            <a:effectLst/>
          </c:spPr>
          <c:invertIfNegative val="0"/>
          <c:cat>
            <c:strRef>
              <c:f>'Graf 18 + 19'!$H$5</c:f>
              <c:strCache>
                <c:ptCount val="1"/>
                <c:pt idx="0">
                  <c:v>2025-2027 kumulatívne</c:v>
                </c:pt>
              </c:strCache>
            </c:strRef>
          </c:cat>
          <c:val>
            <c:numRef>
              <c:f>'Graf 18 + 19'!$H$9</c:f>
              <c:numCache>
                <c:formatCode>#\ ##0.0</c:formatCode>
                <c:ptCount val="1"/>
                <c:pt idx="0">
                  <c:v>4.9738235279723462</c:v>
                </c:pt>
              </c:numCache>
            </c:numRef>
          </c:val>
          <c:extLst>
            <c:ext xmlns:c16="http://schemas.microsoft.com/office/drawing/2014/chart" uri="{C3380CC4-5D6E-409C-BE32-E72D297353CC}">
              <c16:uniqueId val="{00000001-2F6E-4291-ADB3-ABBE93C185FB}"/>
            </c:ext>
          </c:extLst>
        </c:ser>
        <c:ser>
          <c:idx val="6"/>
          <c:order val="3"/>
          <c:tx>
            <c:strRef>
              <c:f>'Graf 18 + 19'!$A$10</c:f>
              <c:strCache>
                <c:ptCount val="1"/>
                <c:pt idx="0">
                  <c:v>Rast reálneho HDP</c:v>
                </c:pt>
              </c:strCache>
            </c:strRef>
          </c:tx>
          <c:spPr>
            <a:solidFill>
              <a:srgbClr val="002060"/>
            </a:solidFill>
            <a:ln>
              <a:noFill/>
            </a:ln>
            <a:effectLst/>
          </c:spPr>
          <c:invertIfNegative val="0"/>
          <c:cat>
            <c:strRef>
              <c:f>'Graf 18 + 19'!$H$5</c:f>
              <c:strCache>
                <c:ptCount val="1"/>
                <c:pt idx="0">
                  <c:v>2025-2027 kumulatívne</c:v>
                </c:pt>
              </c:strCache>
            </c:strRef>
          </c:cat>
          <c:val>
            <c:numRef>
              <c:f>'Graf 18 + 19'!$H$10</c:f>
              <c:numCache>
                <c:formatCode>#\ ##0.0</c:formatCode>
                <c:ptCount val="1"/>
                <c:pt idx="0">
                  <c:v>-3.1861998034025105</c:v>
                </c:pt>
              </c:numCache>
            </c:numRef>
          </c:val>
          <c:extLst>
            <c:ext xmlns:c16="http://schemas.microsoft.com/office/drawing/2014/chart" uri="{C3380CC4-5D6E-409C-BE32-E72D297353CC}">
              <c16:uniqueId val="{00000002-2F6E-4291-ADB3-ABBE93C185FB}"/>
            </c:ext>
          </c:extLst>
        </c:ser>
        <c:ser>
          <c:idx val="7"/>
          <c:order val="4"/>
          <c:tx>
            <c:strRef>
              <c:f>'Graf 18 + 19'!$A$11</c:f>
              <c:strCache>
                <c:ptCount val="1"/>
                <c:pt idx="0">
                  <c:v>Deflátor HDP</c:v>
                </c:pt>
              </c:strCache>
            </c:strRef>
          </c:tx>
          <c:spPr>
            <a:solidFill>
              <a:schemeClr val="accent1">
                <a:lumMod val="50000"/>
              </a:schemeClr>
            </a:solidFill>
            <a:ln>
              <a:noFill/>
            </a:ln>
            <a:effectLst/>
          </c:spPr>
          <c:invertIfNegative val="0"/>
          <c:cat>
            <c:strRef>
              <c:f>'Graf 18 + 19'!$H$5</c:f>
              <c:strCache>
                <c:ptCount val="1"/>
                <c:pt idx="0">
                  <c:v>2025-2027 kumulatívne</c:v>
                </c:pt>
              </c:strCache>
            </c:strRef>
          </c:cat>
          <c:val>
            <c:numRef>
              <c:f>'Graf 18 + 19'!$H$11</c:f>
              <c:numCache>
                <c:formatCode>#\ ##0.0</c:formatCode>
                <c:ptCount val="1"/>
                <c:pt idx="0">
                  <c:v>-5.4329245311071768</c:v>
                </c:pt>
              </c:numCache>
            </c:numRef>
          </c:val>
          <c:extLst>
            <c:ext xmlns:c16="http://schemas.microsoft.com/office/drawing/2014/chart" uri="{C3380CC4-5D6E-409C-BE32-E72D297353CC}">
              <c16:uniqueId val="{00000003-2F6E-4291-ADB3-ABBE93C185FB}"/>
            </c:ext>
          </c:extLst>
        </c:ser>
        <c:ser>
          <c:idx val="5"/>
          <c:order val="5"/>
          <c:tx>
            <c:strRef>
              <c:f>'Graf 18 + 19'!$A$12</c:f>
              <c:strCache>
                <c:ptCount val="1"/>
                <c:pt idx="0">
                  <c:v>Zosúladenie deficitu a dlhu</c:v>
                </c:pt>
              </c:strCache>
            </c:strRef>
          </c:tx>
          <c:spPr>
            <a:solidFill>
              <a:schemeClr val="bg1">
                <a:lumMod val="85000"/>
              </a:schemeClr>
            </a:solidFill>
            <a:ln>
              <a:noFill/>
            </a:ln>
            <a:effectLst/>
          </c:spPr>
          <c:invertIfNegative val="0"/>
          <c:cat>
            <c:strRef>
              <c:f>'Graf 18 + 19'!$H$5</c:f>
              <c:strCache>
                <c:ptCount val="1"/>
                <c:pt idx="0">
                  <c:v>2025-2027 kumulatívne</c:v>
                </c:pt>
              </c:strCache>
            </c:strRef>
          </c:cat>
          <c:val>
            <c:numRef>
              <c:f>'Graf 18 + 19'!$H$12</c:f>
              <c:numCache>
                <c:formatCode>#\ ##0.0</c:formatCode>
                <c:ptCount val="1"/>
                <c:pt idx="0">
                  <c:v>1.7596080072308735</c:v>
                </c:pt>
              </c:numCache>
            </c:numRef>
          </c:val>
          <c:extLst>
            <c:ext xmlns:c16="http://schemas.microsoft.com/office/drawing/2014/chart" uri="{C3380CC4-5D6E-409C-BE32-E72D297353CC}">
              <c16:uniqueId val="{00000004-2F6E-4291-ADB3-ABBE93C185FB}"/>
            </c:ext>
          </c:extLst>
        </c:ser>
        <c:dLbls>
          <c:showLegendKey val="0"/>
          <c:showVal val="0"/>
          <c:showCatName val="0"/>
          <c:showSerName val="0"/>
          <c:showPercent val="0"/>
          <c:showBubbleSize val="0"/>
        </c:dLbls>
        <c:gapWidth val="150"/>
        <c:overlap val="100"/>
        <c:axId val="1603649951"/>
        <c:axId val="1603650431"/>
        <c:extLst/>
      </c:barChart>
      <c:lineChart>
        <c:grouping val="standard"/>
        <c:varyColors val="0"/>
        <c:ser>
          <c:idx val="0"/>
          <c:order val="0"/>
          <c:tx>
            <c:strRef>
              <c:f>'Graf 18 + 19'!$A$6</c:f>
              <c:strCache>
                <c:ptCount val="1"/>
                <c:pt idx="0">
                  <c:v>Zmena hrubého dlhu VS</c:v>
                </c:pt>
              </c:strCache>
            </c:strRef>
          </c:tx>
          <c:spPr>
            <a:ln w="28575" cap="rnd">
              <a:noFill/>
              <a:round/>
            </a:ln>
            <a:effectLst/>
          </c:spPr>
          <c:marker>
            <c:symbol val="circle"/>
            <c:size val="5"/>
            <c:spPr>
              <a:solidFill>
                <a:schemeClr val="tx1"/>
              </a:solidFill>
              <a:ln w="3175">
                <a:solidFill>
                  <a:schemeClr val="bg1"/>
                </a:solidFill>
              </a:ln>
              <a:effectLst/>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6E-4291-ADB3-ABBE93C185FB}"/>
                </c:ext>
              </c:extLst>
            </c:dLbl>
            <c:spPr>
              <a:solidFill>
                <a:schemeClr val="bg1"/>
              </a:solidFill>
              <a:ln w="3175">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18 + 19'!$H$5</c:f>
              <c:strCache>
                <c:ptCount val="1"/>
                <c:pt idx="0">
                  <c:v>2025-2027 kumulatívne</c:v>
                </c:pt>
              </c:strCache>
            </c:strRef>
          </c:cat>
          <c:val>
            <c:numRef>
              <c:f>'Graf 18 + 19'!$H$6</c:f>
              <c:numCache>
                <c:formatCode>#\ ##0.0</c:formatCode>
                <c:ptCount val="1"/>
                <c:pt idx="0">
                  <c:v>6.8900839974087162</c:v>
                </c:pt>
              </c:numCache>
            </c:numRef>
          </c:val>
          <c:smooth val="0"/>
          <c:extLst>
            <c:ext xmlns:c16="http://schemas.microsoft.com/office/drawing/2014/chart" uri="{C3380CC4-5D6E-409C-BE32-E72D297353CC}">
              <c16:uniqueId val="{00000006-2F6E-4291-ADB3-ABBE93C185FB}"/>
            </c:ext>
          </c:extLst>
        </c:ser>
        <c:dLbls>
          <c:showLegendKey val="0"/>
          <c:showVal val="0"/>
          <c:showCatName val="0"/>
          <c:showSerName val="0"/>
          <c:showPercent val="0"/>
          <c:showBubbleSize val="0"/>
        </c:dLbls>
        <c:marker val="1"/>
        <c:smooth val="0"/>
        <c:axId val="1603649951"/>
        <c:axId val="1603650431"/>
      </c:lineChart>
      <c:catAx>
        <c:axId val="1603649951"/>
        <c:scaling>
          <c:orientation val="minMax"/>
        </c:scaling>
        <c:delete val="0"/>
        <c:axPos val="b"/>
        <c:numFmt formatCode="General" sourceLinked="1"/>
        <c:majorTickMark val="none"/>
        <c:minorTickMark val="none"/>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603650431"/>
        <c:crosses val="autoZero"/>
        <c:auto val="1"/>
        <c:lblAlgn val="ctr"/>
        <c:lblOffset val="100"/>
        <c:noMultiLvlLbl val="0"/>
      </c:catAx>
      <c:valAx>
        <c:axId val="1603650431"/>
        <c:scaling>
          <c:orientation val="minMax"/>
          <c:max val="20"/>
          <c:min val="-10"/>
        </c:scaling>
        <c:delete val="0"/>
        <c:axPos val="l"/>
        <c:majorGridlines>
          <c:spPr>
            <a:ln w="3175" cap="flat" cmpd="sng" algn="ctr">
              <a:solidFill>
                <a:schemeClr val="bg1">
                  <a:lumMod val="50000"/>
                  <a:alpha val="25000"/>
                </a:scheme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603649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'Graf 18 + 19'!$A$8</c:f>
              <c:strCache>
                <c:ptCount val="1"/>
                <c:pt idx="0">
                  <c:v>Primárne saldo</c:v>
                </c:pt>
              </c:strCache>
            </c:strRef>
          </c:tx>
          <c:spPr>
            <a:solidFill>
              <a:srgbClr val="369ADC"/>
            </a:solidFill>
            <a:ln>
              <a:noFill/>
            </a:ln>
            <a:effectLst/>
          </c:spPr>
          <c:invertIfNegative val="0"/>
          <c:cat>
            <c:strRef>
              <c:f>'Graf 18 + 19'!$H$5</c:f>
              <c:strCache>
                <c:ptCount val="1"/>
                <c:pt idx="0">
                  <c:v>2025-2027 kumulatívne</c:v>
                </c:pt>
              </c:strCache>
            </c:strRef>
          </c:cat>
          <c:val>
            <c:numRef>
              <c:f>'Graf 18 + 19'!$H$8</c:f>
              <c:numCache>
                <c:formatCode>#\ ##0.0</c:formatCode>
                <c:ptCount val="1"/>
                <c:pt idx="0">
                  <c:v>12.912514071095258</c:v>
                </c:pt>
              </c:numCache>
            </c:numRef>
          </c:val>
          <c:extLst>
            <c:ext xmlns:c16="http://schemas.microsoft.com/office/drawing/2014/chart" uri="{C3380CC4-5D6E-409C-BE32-E72D297353CC}">
              <c16:uniqueId val="{00000000-3B57-42A6-BEF2-8C50E05867AB}"/>
            </c:ext>
          </c:extLst>
        </c:ser>
        <c:ser>
          <c:idx val="3"/>
          <c:order val="2"/>
          <c:tx>
            <c:strRef>
              <c:f>'Graf 18 + 19'!$A$9</c:f>
              <c:strCache>
                <c:ptCount val="1"/>
                <c:pt idx="0">
                  <c:v>Úroky</c:v>
                </c:pt>
              </c:strCache>
            </c:strRef>
          </c:tx>
          <c:spPr>
            <a:solidFill>
              <a:schemeClr val="accent1">
                <a:lumMod val="40000"/>
                <a:lumOff val="60000"/>
              </a:schemeClr>
            </a:solidFill>
            <a:ln>
              <a:noFill/>
            </a:ln>
            <a:effectLst/>
          </c:spPr>
          <c:invertIfNegative val="0"/>
          <c:cat>
            <c:strRef>
              <c:f>'Graf 18 + 19'!$H$5</c:f>
              <c:strCache>
                <c:ptCount val="1"/>
                <c:pt idx="0">
                  <c:v>2025-2027 kumulatívne</c:v>
                </c:pt>
              </c:strCache>
            </c:strRef>
          </c:cat>
          <c:val>
            <c:numRef>
              <c:f>'Graf 18 + 19'!$H$9</c:f>
              <c:numCache>
                <c:formatCode>#\ ##0.0</c:formatCode>
                <c:ptCount val="1"/>
                <c:pt idx="0">
                  <c:v>4.9738235279723462</c:v>
                </c:pt>
              </c:numCache>
            </c:numRef>
          </c:val>
          <c:extLst>
            <c:ext xmlns:c16="http://schemas.microsoft.com/office/drawing/2014/chart" uri="{C3380CC4-5D6E-409C-BE32-E72D297353CC}">
              <c16:uniqueId val="{00000001-3B57-42A6-BEF2-8C50E05867AB}"/>
            </c:ext>
          </c:extLst>
        </c:ser>
        <c:ser>
          <c:idx val="6"/>
          <c:order val="3"/>
          <c:tx>
            <c:strRef>
              <c:f>'Graf 18 + 19'!$A$10</c:f>
              <c:strCache>
                <c:ptCount val="1"/>
                <c:pt idx="0">
                  <c:v>Rast reálneho HDP</c:v>
                </c:pt>
              </c:strCache>
            </c:strRef>
          </c:tx>
          <c:spPr>
            <a:solidFill>
              <a:srgbClr val="002060"/>
            </a:solidFill>
            <a:ln>
              <a:noFill/>
            </a:ln>
            <a:effectLst/>
          </c:spPr>
          <c:invertIfNegative val="0"/>
          <c:cat>
            <c:strRef>
              <c:f>'Graf 18 + 19'!$H$5</c:f>
              <c:strCache>
                <c:ptCount val="1"/>
                <c:pt idx="0">
                  <c:v>2025-2027 kumulatívne</c:v>
                </c:pt>
              </c:strCache>
            </c:strRef>
          </c:cat>
          <c:val>
            <c:numRef>
              <c:f>'Graf 18 + 19'!$H$10</c:f>
              <c:numCache>
                <c:formatCode>#\ ##0.0</c:formatCode>
                <c:ptCount val="1"/>
                <c:pt idx="0">
                  <c:v>-3.1861998034025105</c:v>
                </c:pt>
              </c:numCache>
            </c:numRef>
          </c:val>
          <c:extLst>
            <c:ext xmlns:c16="http://schemas.microsoft.com/office/drawing/2014/chart" uri="{C3380CC4-5D6E-409C-BE32-E72D297353CC}">
              <c16:uniqueId val="{00000002-3B57-42A6-BEF2-8C50E05867AB}"/>
            </c:ext>
          </c:extLst>
        </c:ser>
        <c:ser>
          <c:idx val="7"/>
          <c:order val="4"/>
          <c:tx>
            <c:strRef>
              <c:f>'Graf 18 + 19'!$A$11</c:f>
              <c:strCache>
                <c:ptCount val="1"/>
                <c:pt idx="0">
                  <c:v>Deflátor HDP</c:v>
                </c:pt>
              </c:strCache>
            </c:strRef>
          </c:tx>
          <c:spPr>
            <a:solidFill>
              <a:schemeClr val="accent1">
                <a:lumMod val="50000"/>
              </a:schemeClr>
            </a:solidFill>
            <a:ln>
              <a:noFill/>
            </a:ln>
            <a:effectLst/>
          </c:spPr>
          <c:invertIfNegative val="0"/>
          <c:cat>
            <c:strRef>
              <c:f>'Graf 18 + 19'!$H$5</c:f>
              <c:strCache>
                <c:ptCount val="1"/>
                <c:pt idx="0">
                  <c:v>2025-2027 kumulatívne</c:v>
                </c:pt>
              </c:strCache>
            </c:strRef>
          </c:cat>
          <c:val>
            <c:numRef>
              <c:f>'Graf 18 + 19'!$H$11</c:f>
              <c:numCache>
                <c:formatCode>#\ ##0.0</c:formatCode>
                <c:ptCount val="1"/>
                <c:pt idx="0">
                  <c:v>-5.4329245311071768</c:v>
                </c:pt>
              </c:numCache>
            </c:numRef>
          </c:val>
          <c:extLst>
            <c:ext xmlns:c16="http://schemas.microsoft.com/office/drawing/2014/chart" uri="{C3380CC4-5D6E-409C-BE32-E72D297353CC}">
              <c16:uniqueId val="{00000003-3B57-42A6-BEF2-8C50E05867AB}"/>
            </c:ext>
          </c:extLst>
        </c:ser>
        <c:ser>
          <c:idx val="5"/>
          <c:order val="5"/>
          <c:tx>
            <c:strRef>
              <c:f>'Graf 18 + 19'!$A$12</c:f>
              <c:strCache>
                <c:ptCount val="1"/>
                <c:pt idx="0">
                  <c:v>Zosúladenie deficitu a dlhu</c:v>
                </c:pt>
              </c:strCache>
            </c:strRef>
          </c:tx>
          <c:spPr>
            <a:solidFill>
              <a:schemeClr val="bg1">
                <a:lumMod val="85000"/>
              </a:schemeClr>
            </a:solidFill>
            <a:ln>
              <a:noFill/>
            </a:ln>
            <a:effectLst/>
          </c:spPr>
          <c:invertIfNegative val="0"/>
          <c:cat>
            <c:strRef>
              <c:f>'Graf 18 + 19'!$H$5</c:f>
              <c:strCache>
                <c:ptCount val="1"/>
                <c:pt idx="0">
                  <c:v>2025-2027 kumulatívne</c:v>
                </c:pt>
              </c:strCache>
            </c:strRef>
          </c:cat>
          <c:val>
            <c:numRef>
              <c:f>'Graf 18 + 19'!$H$12</c:f>
              <c:numCache>
                <c:formatCode>#\ ##0.0</c:formatCode>
                <c:ptCount val="1"/>
                <c:pt idx="0">
                  <c:v>1.7596080072308735</c:v>
                </c:pt>
              </c:numCache>
            </c:numRef>
          </c:val>
          <c:extLst>
            <c:ext xmlns:c16="http://schemas.microsoft.com/office/drawing/2014/chart" uri="{C3380CC4-5D6E-409C-BE32-E72D297353CC}">
              <c16:uniqueId val="{00000004-3B57-42A6-BEF2-8C50E05867AB}"/>
            </c:ext>
          </c:extLst>
        </c:ser>
        <c:dLbls>
          <c:showLegendKey val="0"/>
          <c:showVal val="0"/>
          <c:showCatName val="0"/>
          <c:showSerName val="0"/>
          <c:showPercent val="0"/>
          <c:showBubbleSize val="0"/>
        </c:dLbls>
        <c:gapWidth val="150"/>
        <c:overlap val="100"/>
        <c:axId val="1603649951"/>
        <c:axId val="1603650431"/>
        <c:extLst/>
      </c:barChart>
      <c:lineChart>
        <c:grouping val="standard"/>
        <c:varyColors val="0"/>
        <c:ser>
          <c:idx val="0"/>
          <c:order val="0"/>
          <c:tx>
            <c:strRef>
              <c:f>'Graf 18 + 19'!$A$6</c:f>
              <c:strCache>
                <c:ptCount val="1"/>
                <c:pt idx="0">
                  <c:v>Zmena hrubého dlhu VS</c:v>
                </c:pt>
              </c:strCache>
            </c:strRef>
          </c:tx>
          <c:spPr>
            <a:ln w="28575" cap="rnd">
              <a:noFill/>
              <a:round/>
            </a:ln>
            <a:effectLst/>
          </c:spPr>
          <c:marker>
            <c:symbol val="circle"/>
            <c:size val="5"/>
            <c:spPr>
              <a:solidFill>
                <a:schemeClr val="tx1"/>
              </a:solidFill>
              <a:ln w="3175">
                <a:solidFill>
                  <a:schemeClr val="bg1"/>
                </a:solidFill>
              </a:ln>
              <a:effectLst/>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57-42A6-BEF2-8C50E05867AB}"/>
                </c:ext>
              </c:extLst>
            </c:dLbl>
            <c:spPr>
              <a:solidFill>
                <a:schemeClr val="bg1"/>
              </a:solidFill>
              <a:ln w="3175">
                <a:solidFill>
                  <a:schemeClr val="tx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18 + 19'!$J$5</c:f>
              <c:strCache>
                <c:ptCount val="1"/>
                <c:pt idx="0">
                  <c:v>2025-2027 cumulative</c:v>
                </c:pt>
              </c:strCache>
            </c:strRef>
          </c:cat>
          <c:val>
            <c:numRef>
              <c:f>'Graf 18 + 19'!$H$6</c:f>
              <c:numCache>
                <c:formatCode>#\ ##0.0</c:formatCode>
                <c:ptCount val="1"/>
                <c:pt idx="0">
                  <c:v>6.8900839974087162</c:v>
                </c:pt>
              </c:numCache>
            </c:numRef>
          </c:val>
          <c:smooth val="0"/>
          <c:extLst>
            <c:ext xmlns:c16="http://schemas.microsoft.com/office/drawing/2014/chart" uri="{C3380CC4-5D6E-409C-BE32-E72D297353CC}">
              <c16:uniqueId val="{00000006-3B57-42A6-BEF2-8C50E05867AB}"/>
            </c:ext>
          </c:extLst>
        </c:ser>
        <c:dLbls>
          <c:showLegendKey val="0"/>
          <c:showVal val="0"/>
          <c:showCatName val="0"/>
          <c:showSerName val="0"/>
          <c:showPercent val="0"/>
          <c:showBubbleSize val="0"/>
        </c:dLbls>
        <c:marker val="1"/>
        <c:smooth val="0"/>
        <c:axId val="1603649951"/>
        <c:axId val="1603650431"/>
      </c:lineChart>
      <c:catAx>
        <c:axId val="1603649951"/>
        <c:scaling>
          <c:orientation val="minMax"/>
        </c:scaling>
        <c:delete val="0"/>
        <c:axPos val="b"/>
        <c:numFmt formatCode="General" sourceLinked="1"/>
        <c:majorTickMark val="none"/>
        <c:minorTickMark val="none"/>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603650431"/>
        <c:crosses val="autoZero"/>
        <c:auto val="1"/>
        <c:lblAlgn val="ctr"/>
        <c:lblOffset val="100"/>
        <c:noMultiLvlLbl val="0"/>
      </c:catAx>
      <c:valAx>
        <c:axId val="1603650431"/>
        <c:scaling>
          <c:orientation val="minMax"/>
          <c:max val="20"/>
          <c:min val="-10"/>
        </c:scaling>
        <c:delete val="0"/>
        <c:axPos val="l"/>
        <c:majorGridlines>
          <c:spPr>
            <a:ln w="3175" cap="flat" cmpd="sng" algn="ctr">
              <a:solidFill>
                <a:schemeClr val="bg1">
                  <a:lumMod val="50000"/>
                  <a:alpha val="25000"/>
                </a:scheme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603649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43018018018017E-2"/>
          <c:y val="3.3920940170940168E-2"/>
          <c:w val="0.88228791291291275"/>
          <c:h val="0.81839743589743585"/>
        </c:manualLayout>
      </c:layout>
      <c:barChart>
        <c:barDir val="col"/>
        <c:grouping val="clustered"/>
        <c:varyColors val="0"/>
        <c:ser>
          <c:idx val="0"/>
          <c:order val="0"/>
          <c:spPr>
            <a:solidFill>
              <a:srgbClr val="2C9ADC"/>
            </a:solidFill>
            <a:ln>
              <a:noFill/>
            </a:ln>
            <a:effectLst/>
          </c:spPr>
          <c:invertIfNegative val="0"/>
          <c:dPt>
            <c:idx val="0"/>
            <c:invertIfNegative val="0"/>
            <c:bubble3D val="0"/>
            <c:spPr>
              <a:solidFill>
                <a:srgbClr val="DDEDFA"/>
              </a:solidFill>
              <a:ln>
                <a:noFill/>
              </a:ln>
              <a:effectLst/>
            </c:spPr>
            <c:extLst>
              <c:ext xmlns:c16="http://schemas.microsoft.com/office/drawing/2014/chart" uri="{C3380CC4-5D6E-409C-BE32-E72D297353CC}">
                <c16:uniqueId val="{00000001-8B51-4D4A-A303-023EF0446901}"/>
              </c:ext>
            </c:extLst>
          </c:dPt>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3-8B51-4D4A-A303-023EF0446901}"/>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20'!$D$6:$D$8</c:f>
              <c:strCache>
                <c:ptCount val="3"/>
                <c:pt idx="0">
                  <c:v>Zrušenie RD</c:v>
                </c:pt>
                <c:pt idx="1">
                  <c:v>Zavedenie RD ako asignácie dane</c:v>
                </c:pt>
                <c:pt idx="2">
                  <c:v>Spolu</c:v>
                </c:pt>
              </c:strCache>
            </c:strRef>
          </c:cat>
          <c:val>
            <c:numRef>
              <c:f>'Graf 20'!$F$6:$F$8</c:f>
              <c:numCache>
                <c:formatCode>0.00</c:formatCode>
                <c:ptCount val="3"/>
                <c:pt idx="0">
                  <c:v>-0.23180432300782705</c:v>
                </c:pt>
                <c:pt idx="1">
                  <c:v>4.3796676995984996E-2</c:v>
                </c:pt>
                <c:pt idx="2">
                  <c:v>-0.18800764601184206</c:v>
                </c:pt>
              </c:numCache>
            </c:numRef>
          </c:val>
          <c:extLst>
            <c:ext xmlns:c16="http://schemas.microsoft.com/office/drawing/2014/chart" uri="{C3380CC4-5D6E-409C-BE32-E72D297353CC}">
              <c16:uniqueId val="{00000004-8B51-4D4A-A303-023EF0446901}"/>
            </c:ext>
          </c:extLst>
        </c:ser>
        <c:dLbls>
          <c:showLegendKey val="0"/>
          <c:showVal val="0"/>
          <c:showCatName val="0"/>
          <c:showSerName val="0"/>
          <c:showPercent val="0"/>
          <c:showBubbleSize val="0"/>
        </c:dLbls>
        <c:gapWidth val="219"/>
        <c:overlap val="-27"/>
        <c:axId val="595790959"/>
        <c:axId val="585756879"/>
      </c:barChart>
      <c:catAx>
        <c:axId val="595790959"/>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85756879"/>
        <c:crosses val="autoZero"/>
        <c:auto val="1"/>
        <c:lblAlgn val="ctr"/>
        <c:lblOffset val="100"/>
        <c:noMultiLvlLbl val="0"/>
      </c:catAx>
      <c:valAx>
        <c:axId val="585756879"/>
        <c:scaling>
          <c:orientation val="minMax"/>
        </c:scaling>
        <c:delete val="0"/>
        <c:axPos val="l"/>
        <c:majorGridlines>
          <c:spPr>
            <a:ln w="3175" cap="flat" cmpd="sng" algn="ctr">
              <a:solidFill>
                <a:srgbClr val="686767">
                  <a:alpha val="25000"/>
                </a:srgbClr>
              </a:solidFill>
              <a:prstDash val="sysDot"/>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957909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43018018018017E-2"/>
          <c:y val="3.3920940170940168E-2"/>
          <c:w val="0.88228791291291275"/>
          <c:h val="0.81839743589743585"/>
        </c:manualLayout>
      </c:layout>
      <c:barChart>
        <c:barDir val="col"/>
        <c:grouping val="clustered"/>
        <c:varyColors val="0"/>
        <c:ser>
          <c:idx val="0"/>
          <c:order val="0"/>
          <c:tx>
            <c:strRef>
              <c:f>'Graf 20'!$E$8</c:f>
              <c:strCache>
                <c:ptCount val="1"/>
                <c:pt idx="0">
                  <c:v>Overall</c:v>
                </c:pt>
              </c:strCache>
            </c:strRef>
          </c:tx>
          <c:spPr>
            <a:solidFill>
              <a:srgbClr val="2C9ADC"/>
            </a:solidFill>
            <a:ln>
              <a:noFill/>
            </a:ln>
            <a:effectLst/>
          </c:spPr>
          <c:invertIfNegative val="0"/>
          <c:dPt>
            <c:idx val="0"/>
            <c:invertIfNegative val="0"/>
            <c:bubble3D val="0"/>
            <c:spPr>
              <a:solidFill>
                <a:srgbClr val="DDEDFA"/>
              </a:solidFill>
              <a:ln>
                <a:noFill/>
              </a:ln>
              <a:effectLst/>
            </c:spPr>
            <c:extLst>
              <c:ext xmlns:c16="http://schemas.microsoft.com/office/drawing/2014/chart" uri="{C3380CC4-5D6E-409C-BE32-E72D297353CC}">
                <c16:uniqueId val="{00000001-7CB6-4831-8544-454CDB913642}"/>
              </c:ext>
            </c:extLst>
          </c:dPt>
          <c:dPt>
            <c:idx val="2"/>
            <c:invertIfNegative val="0"/>
            <c:bubble3D val="0"/>
            <c:spPr>
              <a:solidFill>
                <a:schemeClr val="bg1">
                  <a:lumMod val="65000"/>
                </a:schemeClr>
              </a:solidFill>
              <a:ln>
                <a:noFill/>
              </a:ln>
              <a:effectLst/>
            </c:spPr>
            <c:extLst>
              <c:ext xmlns:c16="http://schemas.microsoft.com/office/drawing/2014/chart" uri="{C3380CC4-5D6E-409C-BE32-E72D297353CC}">
                <c16:uniqueId val="{00000003-7CB6-4831-8544-454CDB91364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20'!$E$6:$E$8</c:f>
              <c:strCache>
                <c:ptCount val="3"/>
                <c:pt idx="0">
                  <c:v>Cancellation of the parnetal pension</c:v>
                </c:pt>
                <c:pt idx="1">
                  <c:v>Introduction of parental pension in the form of tax assignment</c:v>
                </c:pt>
                <c:pt idx="2">
                  <c:v>Overall</c:v>
                </c:pt>
              </c:strCache>
            </c:strRef>
          </c:cat>
          <c:val>
            <c:numRef>
              <c:f>'Graf 20'!$F$6:$F$8</c:f>
              <c:numCache>
                <c:formatCode>0.00</c:formatCode>
                <c:ptCount val="3"/>
                <c:pt idx="0">
                  <c:v>-0.23180432300782705</c:v>
                </c:pt>
                <c:pt idx="1">
                  <c:v>4.3796676995984996E-2</c:v>
                </c:pt>
                <c:pt idx="2">
                  <c:v>-0.18800764601184206</c:v>
                </c:pt>
              </c:numCache>
            </c:numRef>
          </c:val>
          <c:extLst>
            <c:ext xmlns:c16="http://schemas.microsoft.com/office/drawing/2014/chart" uri="{C3380CC4-5D6E-409C-BE32-E72D297353CC}">
              <c16:uniqueId val="{00000004-7CB6-4831-8544-454CDB913642}"/>
            </c:ext>
          </c:extLst>
        </c:ser>
        <c:dLbls>
          <c:showLegendKey val="0"/>
          <c:showVal val="0"/>
          <c:showCatName val="0"/>
          <c:showSerName val="0"/>
          <c:showPercent val="0"/>
          <c:showBubbleSize val="0"/>
        </c:dLbls>
        <c:gapWidth val="219"/>
        <c:overlap val="-27"/>
        <c:axId val="595790959"/>
        <c:axId val="585756879"/>
      </c:barChart>
      <c:catAx>
        <c:axId val="595790959"/>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85756879"/>
        <c:crosses val="autoZero"/>
        <c:auto val="1"/>
        <c:lblAlgn val="ctr"/>
        <c:lblOffset val="100"/>
        <c:noMultiLvlLbl val="0"/>
      </c:catAx>
      <c:valAx>
        <c:axId val="585756879"/>
        <c:scaling>
          <c:orientation val="minMax"/>
        </c:scaling>
        <c:delete val="0"/>
        <c:axPos val="l"/>
        <c:majorGridlines>
          <c:spPr>
            <a:ln w="3175" cap="flat" cmpd="sng" algn="ctr">
              <a:solidFill>
                <a:srgbClr val="686767">
                  <a:alpha val="25000"/>
                </a:srgbClr>
              </a:solidFill>
              <a:prstDash val="sysDot"/>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sk-SK"/>
          </a:p>
        </c:txPr>
        <c:crossAx val="5957909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7462462462462"/>
          <c:y val="4.0705128205128206E-2"/>
          <c:w val="0.86647297297297299"/>
          <c:h val="0.75223557607179869"/>
        </c:manualLayout>
      </c:layout>
      <c:areaChart>
        <c:grouping val="stacked"/>
        <c:varyColors val="0"/>
        <c:ser>
          <c:idx val="2"/>
          <c:order val="2"/>
          <c:tx>
            <c:strRef>
              <c:f>'Graf 21'!$D$8</c:f>
              <c:strCache>
                <c:ptCount val="1"/>
                <c:pt idx="0">
                  <c:v>nove</c:v>
                </c:pt>
              </c:strCache>
            </c:strRef>
          </c:tx>
          <c:spPr>
            <a:solidFill>
              <a:schemeClr val="bg1">
                <a:lumMod val="75000"/>
                <a:alpha val="30000"/>
              </a:schemeClr>
            </a:solidFill>
            <a:ln>
              <a:noFill/>
            </a:ln>
            <a:effectLst/>
          </c:spP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21'!$F$8:$AZ$8</c15:sqref>
                  </c15:fullRef>
                </c:ext>
              </c:extLst>
              <c:f>'Graf 21'!$G$8:$AZ$8</c:f>
              <c:numCache>
                <c:formatCode>0.00%</c:formatCode>
                <c:ptCount val="46"/>
                <c:pt idx="0">
                  <c:v>0</c:v>
                </c:pt>
                <c:pt idx="1">
                  <c:v>4.4767344543098701E-4</c:v>
                </c:pt>
                <c:pt idx="2">
                  <c:v>4.506359132385499E-4</c:v>
                </c:pt>
                <c:pt idx="3">
                  <c:v>4.5146867972921552E-4</c:v>
                </c:pt>
                <c:pt idx="4">
                  <c:v>4.5369282084571302E-4</c:v>
                </c:pt>
                <c:pt idx="5">
                  <c:v>4.5341997631745862E-4</c:v>
                </c:pt>
                <c:pt idx="6">
                  <c:v>4.5566146828705692E-4</c:v>
                </c:pt>
                <c:pt idx="7">
                  <c:v>4.5728767982248245E-4</c:v>
                </c:pt>
                <c:pt idx="8">
                  <c:v>4.5829321494364662E-4</c:v>
                </c:pt>
                <c:pt idx="9">
                  <c:v>4.585146884874728E-4</c:v>
                </c:pt>
                <c:pt idx="10">
                  <c:v>4.5812476841427147E-4</c:v>
                </c:pt>
                <c:pt idx="11">
                  <c:v>4.5489783379470294E-4</c:v>
                </c:pt>
                <c:pt idx="12">
                  <c:v>4.5102313988373214E-4</c:v>
                </c:pt>
                <c:pt idx="13">
                  <c:v>4.4590478115703603E-4</c:v>
                </c:pt>
                <c:pt idx="14">
                  <c:v>4.4228534358395615E-4</c:v>
                </c:pt>
                <c:pt idx="15">
                  <c:v>4.382193777876588E-4</c:v>
                </c:pt>
                <c:pt idx="16">
                  <c:v>4.3353661848530615E-4</c:v>
                </c:pt>
                <c:pt idx="17">
                  <c:v>4.3020040663286306E-4</c:v>
                </c:pt>
                <c:pt idx="18">
                  <c:v>4.2550507521828734E-4</c:v>
                </c:pt>
                <c:pt idx="19">
                  <c:v>4.2255818473202413E-4</c:v>
                </c:pt>
                <c:pt idx="20">
                  <c:v>4.1889683478882491E-4</c:v>
                </c:pt>
                <c:pt idx="21">
                  <c:v>4.1666612698234391E-4</c:v>
                </c:pt>
                <c:pt idx="22">
                  <c:v>4.1325135788356431E-4</c:v>
                </c:pt>
                <c:pt idx="23">
                  <c:v>4.1283769866779646E-4</c:v>
                </c:pt>
                <c:pt idx="24">
                  <c:v>4.1036490696730608E-4</c:v>
                </c:pt>
                <c:pt idx="25">
                  <c:v>4.0851657506843123E-4</c:v>
                </c:pt>
                <c:pt idx="26">
                  <c:v>4.0873305362355416E-4</c:v>
                </c:pt>
                <c:pt idx="27">
                  <c:v>4.0806411183725509E-4</c:v>
                </c:pt>
                <c:pt idx="28">
                  <c:v>4.0804212531084905E-4</c:v>
                </c:pt>
                <c:pt idx="29">
                  <c:v>4.0831404349425443E-4</c:v>
                </c:pt>
                <c:pt idx="30">
                  <c:v>4.0908598521970227E-4</c:v>
                </c:pt>
                <c:pt idx="31">
                  <c:v>4.0969930953946667E-4</c:v>
                </c:pt>
                <c:pt idx="32">
                  <c:v>4.10780397593745E-4</c:v>
                </c:pt>
                <c:pt idx="33">
                  <c:v>4.1095187794815808E-4</c:v>
                </c:pt>
                <c:pt idx="34">
                  <c:v>4.1198464243678525E-4</c:v>
                </c:pt>
                <c:pt idx="35">
                  <c:v>4.1307579343081622E-4</c:v>
                </c:pt>
                <c:pt idx="36">
                  <c:v>4.1456785114390624E-4</c:v>
                </c:pt>
                <c:pt idx="37">
                  <c:v>4.1536741330531335E-4</c:v>
                </c:pt>
                <c:pt idx="38">
                  <c:v>4.1601845611964432E-4</c:v>
                </c:pt>
                <c:pt idx="39">
                  <c:v>4.1677527723271593E-4</c:v>
                </c:pt>
                <c:pt idx="40">
                  <c:v>4.1652845605766716E-4</c:v>
                </c:pt>
                <c:pt idx="41">
                  <c:v>4.1721450295004609E-4</c:v>
                </c:pt>
                <c:pt idx="42">
                  <c:v>4.1602216582108939E-4</c:v>
                </c:pt>
                <c:pt idx="43">
                  <c:v>4.1620273014941067E-4</c:v>
                </c:pt>
                <c:pt idx="44">
                  <c:v>4.1537058948739892E-4</c:v>
                </c:pt>
                <c:pt idx="45">
                  <c:v>4.1445076597505901E-4</c:v>
                </c:pt>
              </c:numCache>
            </c:numRef>
          </c:val>
          <c:extLst>
            <c:ext xmlns:c16="http://schemas.microsoft.com/office/drawing/2014/chart" uri="{C3380CC4-5D6E-409C-BE32-E72D297353CC}">
              <c16:uniqueId val="{00000000-B4AB-4DBC-B4AB-E875029CFD21}"/>
            </c:ext>
          </c:extLst>
        </c:ser>
        <c:ser>
          <c:idx val="3"/>
          <c:order val="3"/>
          <c:tx>
            <c:strRef>
              <c:f>'Graf 21'!$D$9</c:f>
              <c:strCache>
                <c:ptCount val="1"/>
                <c:pt idx="0">
                  <c:v>uspora</c:v>
                </c:pt>
              </c:strCache>
            </c:strRef>
          </c:tx>
          <c:spPr>
            <a:solidFill>
              <a:schemeClr val="accent1">
                <a:lumMod val="20000"/>
                <a:lumOff val="80000"/>
                <a:alpha val="30000"/>
              </a:schemeClr>
            </a:solidFill>
            <a:ln>
              <a:noFill/>
            </a:ln>
            <a:effectLst/>
          </c:spP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21'!$F$9:$AZ$9</c15:sqref>
                  </c15:fullRef>
                </c:ext>
              </c:extLst>
              <c:f>'Graf 21'!$G$9:$AZ$9</c:f>
              <c:numCache>
                <c:formatCode>0.00%</c:formatCode>
                <c:ptCount val="46"/>
                <c:pt idx="0">
                  <c:v>2.4648676878360415E-3</c:v>
                </c:pt>
                <c:pt idx="1">
                  <c:v>2.0326559770433043E-3</c:v>
                </c:pt>
                <c:pt idx="2">
                  <c:v>2.0461070270381132E-3</c:v>
                </c:pt>
                <c:pt idx="3">
                  <c:v>2.0498881934262682E-3</c:v>
                </c:pt>
                <c:pt idx="4">
                  <c:v>2.0599868798245285E-3</c:v>
                </c:pt>
                <c:pt idx="5">
                  <c:v>2.0587480324753722E-3</c:v>
                </c:pt>
                <c:pt idx="6">
                  <c:v>2.0689255002166451E-3</c:v>
                </c:pt>
                <c:pt idx="7">
                  <c:v>2.076309294433515E-3</c:v>
                </c:pt>
                <c:pt idx="8">
                  <c:v>2.0808749147422957E-3</c:v>
                </c:pt>
                <c:pt idx="9">
                  <c:v>2.0818805127450581E-3</c:v>
                </c:pt>
                <c:pt idx="10">
                  <c:v>2.080110085270633E-3</c:v>
                </c:pt>
                <c:pt idx="11">
                  <c:v>2.0654582268480734E-3</c:v>
                </c:pt>
                <c:pt idx="12">
                  <c:v>2.0478652250345173E-3</c:v>
                </c:pt>
                <c:pt idx="13">
                  <c:v>2.0246253778542713E-3</c:v>
                </c:pt>
                <c:pt idx="14">
                  <c:v>2.0081913644198284E-3</c:v>
                </c:pt>
                <c:pt idx="15">
                  <c:v>1.9897298948762404E-3</c:v>
                </c:pt>
                <c:pt idx="16">
                  <c:v>1.9684678817232853E-3</c:v>
                </c:pt>
                <c:pt idx="17">
                  <c:v>1.9533198513190641E-3</c:v>
                </c:pt>
                <c:pt idx="18">
                  <c:v>1.9320007546394556E-3</c:v>
                </c:pt>
                <c:pt idx="19">
                  <c:v>1.91862043328752E-3</c:v>
                </c:pt>
                <c:pt idx="20">
                  <c:v>1.9019961172329323E-3</c:v>
                </c:pt>
                <c:pt idx="21">
                  <c:v>1.891867614856573E-3</c:v>
                </c:pt>
                <c:pt idx="22">
                  <c:v>1.8763628962057389E-3</c:v>
                </c:pt>
                <c:pt idx="23">
                  <c:v>1.8744846814356393E-3</c:v>
                </c:pt>
                <c:pt idx="24">
                  <c:v>1.8632570000056052E-3</c:v>
                </c:pt>
                <c:pt idx="25">
                  <c:v>1.8548646709091348E-3</c:v>
                </c:pt>
                <c:pt idx="26">
                  <c:v>1.8558475892248476E-3</c:v>
                </c:pt>
                <c:pt idx="27">
                  <c:v>1.8528102669666425E-3</c:v>
                </c:pt>
                <c:pt idx="28">
                  <c:v>1.8527104374038894E-3</c:v>
                </c:pt>
                <c:pt idx="29">
                  <c:v>1.8539450786952292E-3</c:v>
                </c:pt>
                <c:pt idx="30">
                  <c:v>1.8574500709572788E-3</c:v>
                </c:pt>
                <c:pt idx="31">
                  <c:v>1.8602348627673783E-3</c:v>
                </c:pt>
                <c:pt idx="32">
                  <c:v>1.8651435302741665E-3</c:v>
                </c:pt>
                <c:pt idx="33">
                  <c:v>1.8659221347924837E-3</c:v>
                </c:pt>
                <c:pt idx="34">
                  <c:v>1.8706113897217441E-3</c:v>
                </c:pt>
                <c:pt idx="35">
                  <c:v>1.8755657478873005E-3</c:v>
                </c:pt>
                <c:pt idx="36">
                  <c:v>1.8823404182626814E-3</c:v>
                </c:pt>
                <c:pt idx="37">
                  <c:v>1.8859708207870861E-3</c:v>
                </c:pt>
                <c:pt idx="38">
                  <c:v>1.8889268729750533E-3</c:v>
                </c:pt>
                <c:pt idx="39">
                  <c:v>1.8923632102756868E-3</c:v>
                </c:pt>
                <c:pt idx="40">
                  <c:v>1.8912425216535576E-3</c:v>
                </c:pt>
                <c:pt idx="41">
                  <c:v>1.8943575094433366E-3</c:v>
                </c:pt>
                <c:pt idx="42">
                  <c:v>1.8889437168305295E-3</c:v>
                </c:pt>
                <c:pt idx="43">
                  <c:v>1.889763567024793E-3</c:v>
                </c:pt>
                <c:pt idx="44">
                  <c:v>1.8859852422042291E-3</c:v>
                </c:pt>
                <c:pt idx="45">
                  <c:v>1.8818087944402061E-3</c:v>
                </c:pt>
              </c:numCache>
            </c:numRef>
          </c:val>
          <c:extLst>
            <c:ext xmlns:c16="http://schemas.microsoft.com/office/drawing/2014/chart" uri="{C3380CC4-5D6E-409C-BE32-E72D297353CC}">
              <c16:uniqueId val="{00000001-B4AB-4DBC-B4AB-E875029CFD21}"/>
            </c:ext>
          </c:extLst>
        </c:ser>
        <c:dLbls>
          <c:showLegendKey val="0"/>
          <c:showVal val="0"/>
          <c:showCatName val="0"/>
          <c:showSerName val="0"/>
          <c:showPercent val="0"/>
          <c:showBubbleSize val="0"/>
        </c:dLbls>
        <c:axId val="1765636751"/>
        <c:axId val="1598145695"/>
      </c:areaChart>
      <c:lineChart>
        <c:grouping val="standard"/>
        <c:varyColors val="0"/>
        <c:ser>
          <c:idx val="0"/>
          <c:order val="0"/>
          <c:tx>
            <c:strRef>
              <c:f>'Graf 21'!$D$6</c:f>
              <c:strCache>
                <c:ptCount val="1"/>
                <c:pt idx="0">
                  <c:v>RD - súčasné nastavenie</c:v>
                </c:pt>
              </c:strCache>
            </c:strRef>
          </c:tx>
          <c:spPr>
            <a:ln w="19050" cap="rnd">
              <a:solidFill>
                <a:srgbClr val="2C9ADC"/>
              </a:solidFill>
              <a:round/>
            </a:ln>
            <a:effectLst/>
          </c:spPr>
          <c:marker>
            <c:symbol val="none"/>
          </c:marke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21'!$F$6:$AZ$6</c15:sqref>
                  </c15:fullRef>
                </c:ext>
              </c:extLst>
              <c:f>'Graf 21'!$G$6:$AZ$6</c:f>
              <c:numCache>
                <c:formatCode>0.00%</c:formatCode>
                <c:ptCount val="46"/>
                <c:pt idx="0">
                  <c:v>2.4648676878360415E-3</c:v>
                </c:pt>
                <c:pt idx="1">
                  <c:v>2.4803294224742911E-3</c:v>
                </c:pt>
                <c:pt idx="2">
                  <c:v>2.4967429402766631E-3</c:v>
                </c:pt>
                <c:pt idx="3">
                  <c:v>2.5013568731554838E-3</c:v>
                </c:pt>
                <c:pt idx="4">
                  <c:v>2.5136797006702414E-3</c:v>
                </c:pt>
                <c:pt idx="5">
                  <c:v>2.512168008792831E-3</c:v>
                </c:pt>
                <c:pt idx="6">
                  <c:v>2.5245869685037023E-3</c:v>
                </c:pt>
                <c:pt idx="7">
                  <c:v>2.5335969742559974E-3</c:v>
                </c:pt>
                <c:pt idx="8">
                  <c:v>2.5391681296859422E-3</c:v>
                </c:pt>
                <c:pt idx="9">
                  <c:v>2.5403952012325311E-3</c:v>
                </c:pt>
                <c:pt idx="10">
                  <c:v>2.5382348536849043E-3</c:v>
                </c:pt>
                <c:pt idx="11">
                  <c:v>2.5203560606427765E-3</c:v>
                </c:pt>
                <c:pt idx="12">
                  <c:v>2.4988883649182496E-3</c:v>
                </c:pt>
                <c:pt idx="13">
                  <c:v>2.4705301590113075E-3</c:v>
                </c:pt>
                <c:pt idx="14">
                  <c:v>2.4504767080037845E-3</c:v>
                </c:pt>
                <c:pt idx="15">
                  <c:v>2.4279492726638993E-3</c:v>
                </c:pt>
                <c:pt idx="16">
                  <c:v>2.4020045002085917E-3</c:v>
                </c:pt>
                <c:pt idx="17">
                  <c:v>2.3835202579519273E-3</c:v>
                </c:pt>
                <c:pt idx="18">
                  <c:v>2.357505829857743E-3</c:v>
                </c:pt>
                <c:pt idx="19">
                  <c:v>2.3411786180195441E-3</c:v>
                </c:pt>
                <c:pt idx="20">
                  <c:v>2.3208929520217572E-3</c:v>
                </c:pt>
                <c:pt idx="21">
                  <c:v>2.3085337418389169E-3</c:v>
                </c:pt>
                <c:pt idx="22">
                  <c:v>2.2896142540893031E-3</c:v>
                </c:pt>
                <c:pt idx="23">
                  <c:v>2.2873223801034358E-3</c:v>
                </c:pt>
                <c:pt idx="24">
                  <c:v>2.2736219069729112E-3</c:v>
                </c:pt>
                <c:pt idx="25">
                  <c:v>2.2633812459775661E-3</c:v>
                </c:pt>
                <c:pt idx="26">
                  <c:v>2.2645806428484017E-3</c:v>
                </c:pt>
                <c:pt idx="27">
                  <c:v>2.2608743788038975E-3</c:v>
                </c:pt>
                <c:pt idx="28">
                  <c:v>2.2607525627147385E-3</c:v>
                </c:pt>
                <c:pt idx="29">
                  <c:v>2.2622591221894838E-3</c:v>
                </c:pt>
                <c:pt idx="30">
                  <c:v>2.266536056176981E-3</c:v>
                </c:pt>
                <c:pt idx="31">
                  <c:v>2.2699341723068449E-3</c:v>
                </c:pt>
                <c:pt idx="32">
                  <c:v>2.2759239278679114E-3</c:v>
                </c:pt>
                <c:pt idx="33">
                  <c:v>2.2768740127406418E-3</c:v>
                </c:pt>
                <c:pt idx="34">
                  <c:v>2.2825960321585293E-3</c:v>
                </c:pt>
                <c:pt idx="35">
                  <c:v>2.2886415413181167E-3</c:v>
                </c:pt>
                <c:pt idx="36">
                  <c:v>2.2969082694065876E-3</c:v>
                </c:pt>
                <c:pt idx="37">
                  <c:v>2.3013382340923995E-3</c:v>
                </c:pt>
                <c:pt idx="38">
                  <c:v>2.3049453290946978E-3</c:v>
                </c:pt>
                <c:pt idx="39">
                  <c:v>2.3091384875084026E-3</c:v>
                </c:pt>
                <c:pt idx="40">
                  <c:v>2.3077709777112247E-3</c:v>
                </c:pt>
                <c:pt idx="41">
                  <c:v>2.3115720123933828E-3</c:v>
                </c:pt>
                <c:pt idx="42">
                  <c:v>2.3049658826516189E-3</c:v>
                </c:pt>
                <c:pt idx="43">
                  <c:v>2.3059662971742037E-3</c:v>
                </c:pt>
                <c:pt idx="44">
                  <c:v>2.301355831691628E-3</c:v>
                </c:pt>
                <c:pt idx="45">
                  <c:v>2.2962595604152651E-3</c:v>
                </c:pt>
              </c:numCache>
            </c:numRef>
          </c:val>
          <c:smooth val="0"/>
          <c:extLst>
            <c:ext xmlns:c16="http://schemas.microsoft.com/office/drawing/2014/chart" uri="{C3380CC4-5D6E-409C-BE32-E72D297353CC}">
              <c16:uniqueId val="{00000002-B4AB-4DBC-B4AB-E875029CFD21}"/>
            </c:ext>
          </c:extLst>
        </c:ser>
        <c:ser>
          <c:idx val="1"/>
          <c:order val="1"/>
          <c:tx>
            <c:strRef>
              <c:f>'Graf 21'!$D$7</c:f>
              <c:strCache>
                <c:ptCount val="1"/>
                <c:pt idx="0">
                  <c:v>RD - asignácia dane</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21'!$F$7:$AZ$7</c15:sqref>
                  </c15:fullRef>
                </c:ext>
              </c:extLst>
              <c:f>'Graf 21'!$G$7:$AZ$7</c:f>
              <c:numCache>
                <c:formatCode>0.00%</c:formatCode>
                <c:ptCount val="46"/>
                <c:pt idx="0">
                  <c:v>0</c:v>
                </c:pt>
                <c:pt idx="1">
                  <c:v>4.4767344543098701E-4</c:v>
                </c:pt>
                <c:pt idx="2">
                  <c:v>4.506359132385499E-4</c:v>
                </c:pt>
                <c:pt idx="3">
                  <c:v>4.5146867972921552E-4</c:v>
                </c:pt>
                <c:pt idx="4">
                  <c:v>4.5369282084571302E-4</c:v>
                </c:pt>
                <c:pt idx="5">
                  <c:v>4.5341997631745862E-4</c:v>
                </c:pt>
                <c:pt idx="6">
                  <c:v>4.5566146828705692E-4</c:v>
                </c:pt>
                <c:pt idx="7">
                  <c:v>4.5728767982248245E-4</c:v>
                </c:pt>
                <c:pt idx="8">
                  <c:v>4.5829321494364662E-4</c:v>
                </c:pt>
                <c:pt idx="9">
                  <c:v>4.585146884874728E-4</c:v>
                </c:pt>
                <c:pt idx="10">
                  <c:v>4.5812476841427147E-4</c:v>
                </c:pt>
                <c:pt idx="11">
                  <c:v>4.5489783379470294E-4</c:v>
                </c:pt>
                <c:pt idx="12">
                  <c:v>4.5102313988373214E-4</c:v>
                </c:pt>
                <c:pt idx="13">
                  <c:v>4.4590478115703603E-4</c:v>
                </c:pt>
                <c:pt idx="14">
                  <c:v>4.4228534358395615E-4</c:v>
                </c:pt>
                <c:pt idx="15">
                  <c:v>4.382193777876588E-4</c:v>
                </c:pt>
                <c:pt idx="16">
                  <c:v>4.3353661848530615E-4</c:v>
                </c:pt>
                <c:pt idx="17">
                  <c:v>4.3020040663286306E-4</c:v>
                </c:pt>
                <c:pt idx="18">
                  <c:v>4.2550507521828734E-4</c:v>
                </c:pt>
                <c:pt idx="19">
                  <c:v>4.2255818473202413E-4</c:v>
                </c:pt>
                <c:pt idx="20">
                  <c:v>4.1889683478882491E-4</c:v>
                </c:pt>
                <c:pt idx="21">
                  <c:v>4.1666612698234391E-4</c:v>
                </c:pt>
                <c:pt idx="22">
                  <c:v>4.1325135788356431E-4</c:v>
                </c:pt>
                <c:pt idx="23">
                  <c:v>4.1283769866779646E-4</c:v>
                </c:pt>
                <c:pt idx="24">
                  <c:v>4.1036490696730608E-4</c:v>
                </c:pt>
                <c:pt idx="25">
                  <c:v>4.0851657506843123E-4</c:v>
                </c:pt>
                <c:pt idx="26">
                  <c:v>4.0873305362355416E-4</c:v>
                </c:pt>
                <c:pt idx="27">
                  <c:v>4.0806411183725509E-4</c:v>
                </c:pt>
                <c:pt idx="28">
                  <c:v>4.0804212531084905E-4</c:v>
                </c:pt>
                <c:pt idx="29">
                  <c:v>4.0831404349425443E-4</c:v>
                </c:pt>
                <c:pt idx="30">
                  <c:v>4.0908598521970227E-4</c:v>
                </c:pt>
                <c:pt idx="31">
                  <c:v>4.0969930953946667E-4</c:v>
                </c:pt>
                <c:pt idx="32">
                  <c:v>4.10780397593745E-4</c:v>
                </c:pt>
                <c:pt idx="33">
                  <c:v>4.1095187794815808E-4</c:v>
                </c:pt>
                <c:pt idx="34">
                  <c:v>4.1198464243678525E-4</c:v>
                </c:pt>
                <c:pt idx="35">
                  <c:v>4.1307579343081622E-4</c:v>
                </c:pt>
                <c:pt idx="36">
                  <c:v>4.1456785114390624E-4</c:v>
                </c:pt>
                <c:pt idx="37">
                  <c:v>4.1536741330531335E-4</c:v>
                </c:pt>
                <c:pt idx="38">
                  <c:v>4.1601845611964432E-4</c:v>
                </c:pt>
                <c:pt idx="39">
                  <c:v>4.1677527723271593E-4</c:v>
                </c:pt>
                <c:pt idx="40">
                  <c:v>4.1652845605766716E-4</c:v>
                </c:pt>
                <c:pt idx="41">
                  <c:v>4.1721450295004609E-4</c:v>
                </c:pt>
                <c:pt idx="42">
                  <c:v>4.1602216582108939E-4</c:v>
                </c:pt>
                <c:pt idx="43">
                  <c:v>4.1620273014941067E-4</c:v>
                </c:pt>
                <c:pt idx="44">
                  <c:v>4.1537058948739892E-4</c:v>
                </c:pt>
                <c:pt idx="45">
                  <c:v>4.1445076597505901E-4</c:v>
                </c:pt>
              </c:numCache>
            </c:numRef>
          </c:val>
          <c:smooth val="0"/>
          <c:extLst>
            <c:ext xmlns:c16="http://schemas.microsoft.com/office/drawing/2014/chart" uri="{C3380CC4-5D6E-409C-BE32-E72D297353CC}">
              <c16:uniqueId val="{00000003-B4AB-4DBC-B4AB-E875029CFD21}"/>
            </c:ext>
          </c:extLst>
        </c:ser>
        <c:dLbls>
          <c:showLegendKey val="0"/>
          <c:showVal val="0"/>
          <c:showCatName val="0"/>
          <c:showSerName val="0"/>
          <c:showPercent val="0"/>
          <c:showBubbleSize val="0"/>
        </c:dLbls>
        <c:marker val="1"/>
        <c:smooth val="0"/>
        <c:axId val="1765636751"/>
        <c:axId val="1598145695"/>
      </c:lineChart>
      <c:catAx>
        <c:axId val="1765636751"/>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1598145695"/>
        <c:crosses val="autoZero"/>
        <c:auto val="1"/>
        <c:lblAlgn val="ctr"/>
        <c:lblOffset val="100"/>
        <c:noMultiLvlLbl val="0"/>
      </c:catAx>
      <c:valAx>
        <c:axId val="1598145695"/>
        <c:scaling>
          <c:orientation val="minMax"/>
        </c:scaling>
        <c:delete val="0"/>
        <c:axPos val="l"/>
        <c:majorGridlines>
          <c:spPr>
            <a:ln w="3175" cap="flat" cmpd="sng" algn="ctr">
              <a:solidFill>
                <a:srgbClr val="686767">
                  <a:alpha val="25000"/>
                </a:srgbClr>
              </a:solidFill>
              <a:prstDash val="sysDot"/>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1765636751"/>
        <c:crosses val="autoZero"/>
        <c:crossBetween val="between"/>
      </c:valAx>
      <c:spPr>
        <a:noFill/>
        <a:ln>
          <a:noFill/>
        </a:ln>
        <a:effectLst/>
      </c:spPr>
    </c:plotArea>
    <c:legend>
      <c:legendPos val="r"/>
      <c:legendEntry>
        <c:idx val="0"/>
        <c:delete val="1"/>
      </c:legendEntry>
      <c:legendEntry>
        <c:idx val="1"/>
        <c:delete val="1"/>
      </c:legendEntry>
      <c:layout>
        <c:manualLayout>
          <c:xMode val="edge"/>
          <c:yMode val="edge"/>
          <c:x val="0.16389726707890329"/>
          <c:y val="3.9342040981868796E-2"/>
          <c:w val="0.74570725269510785"/>
          <c:h val="0.1252758395015071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7462462462462"/>
          <c:y val="4.0705128205128206E-2"/>
          <c:w val="0.86647297297297299"/>
          <c:h val="0.77046857368188815"/>
        </c:manualLayout>
      </c:layout>
      <c:areaChart>
        <c:grouping val="stacked"/>
        <c:varyColors val="0"/>
        <c:ser>
          <c:idx val="2"/>
          <c:order val="2"/>
          <c:tx>
            <c:strRef>
              <c:f>'Graf 21'!$D$8</c:f>
              <c:strCache>
                <c:ptCount val="1"/>
                <c:pt idx="0">
                  <c:v>nove</c:v>
                </c:pt>
              </c:strCache>
            </c:strRef>
          </c:tx>
          <c:spPr>
            <a:solidFill>
              <a:schemeClr val="bg1">
                <a:lumMod val="75000"/>
                <a:alpha val="30000"/>
              </a:schemeClr>
            </a:solidFill>
            <a:ln>
              <a:noFill/>
            </a:ln>
            <a:effectLst/>
          </c:spP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21'!$F$8:$AZ$8</c15:sqref>
                  </c15:fullRef>
                </c:ext>
              </c:extLst>
              <c:f>'Graf 21'!$G$8:$AZ$8</c:f>
              <c:numCache>
                <c:formatCode>0.00%</c:formatCode>
                <c:ptCount val="46"/>
                <c:pt idx="0">
                  <c:v>0</c:v>
                </c:pt>
                <c:pt idx="1">
                  <c:v>4.4767344543098701E-4</c:v>
                </c:pt>
                <c:pt idx="2">
                  <c:v>4.506359132385499E-4</c:v>
                </c:pt>
                <c:pt idx="3">
                  <c:v>4.5146867972921552E-4</c:v>
                </c:pt>
                <c:pt idx="4">
                  <c:v>4.5369282084571302E-4</c:v>
                </c:pt>
                <c:pt idx="5">
                  <c:v>4.5341997631745862E-4</c:v>
                </c:pt>
                <c:pt idx="6">
                  <c:v>4.5566146828705692E-4</c:v>
                </c:pt>
                <c:pt idx="7">
                  <c:v>4.5728767982248245E-4</c:v>
                </c:pt>
                <c:pt idx="8">
                  <c:v>4.5829321494364662E-4</c:v>
                </c:pt>
                <c:pt idx="9">
                  <c:v>4.585146884874728E-4</c:v>
                </c:pt>
                <c:pt idx="10">
                  <c:v>4.5812476841427147E-4</c:v>
                </c:pt>
                <c:pt idx="11">
                  <c:v>4.5489783379470294E-4</c:v>
                </c:pt>
                <c:pt idx="12">
                  <c:v>4.5102313988373214E-4</c:v>
                </c:pt>
                <c:pt idx="13">
                  <c:v>4.4590478115703603E-4</c:v>
                </c:pt>
                <c:pt idx="14">
                  <c:v>4.4228534358395615E-4</c:v>
                </c:pt>
                <c:pt idx="15">
                  <c:v>4.382193777876588E-4</c:v>
                </c:pt>
                <c:pt idx="16">
                  <c:v>4.3353661848530615E-4</c:v>
                </c:pt>
                <c:pt idx="17">
                  <c:v>4.3020040663286306E-4</c:v>
                </c:pt>
                <c:pt idx="18">
                  <c:v>4.2550507521828734E-4</c:v>
                </c:pt>
                <c:pt idx="19">
                  <c:v>4.2255818473202413E-4</c:v>
                </c:pt>
                <c:pt idx="20">
                  <c:v>4.1889683478882491E-4</c:v>
                </c:pt>
                <c:pt idx="21">
                  <c:v>4.1666612698234391E-4</c:v>
                </c:pt>
                <c:pt idx="22">
                  <c:v>4.1325135788356431E-4</c:v>
                </c:pt>
                <c:pt idx="23">
                  <c:v>4.1283769866779646E-4</c:v>
                </c:pt>
                <c:pt idx="24">
                  <c:v>4.1036490696730608E-4</c:v>
                </c:pt>
                <c:pt idx="25">
                  <c:v>4.0851657506843123E-4</c:v>
                </c:pt>
                <c:pt idx="26">
                  <c:v>4.0873305362355416E-4</c:v>
                </c:pt>
                <c:pt idx="27">
                  <c:v>4.0806411183725509E-4</c:v>
                </c:pt>
                <c:pt idx="28">
                  <c:v>4.0804212531084905E-4</c:v>
                </c:pt>
                <c:pt idx="29">
                  <c:v>4.0831404349425443E-4</c:v>
                </c:pt>
                <c:pt idx="30">
                  <c:v>4.0908598521970227E-4</c:v>
                </c:pt>
                <c:pt idx="31">
                  <c:v>4.0969930953946667E-4</c:v>
                </c:pt>
                <c:pt idx="32">
                  <c:v>4.10780397593745E-4</c:v>
                </c:pt>
                <c:pt idx="33">
                  <c:v>4.1095187794815808E-4</c:v>
                </c:pt>
                <c:pt idx="34">
                  <c:v>4.1198464243678525E-4</c:v>
                </c:pt>
                <c:pt idx="35">
                  <c:v>4.1307579343081622E-4</c:v>
                </c:pt>
                <c:pt idx="36">
                  <c:v>4.1456785114390624E-4</c:v>
                </c:pt>
                <c:pt idx="37">
                  <c:v>4.1536741330531335E-4</c:v>
                </c:pt>
                <c:pt idx="38">
                  <c:v>4.1601845611964432E-4</c:v>
                </c:pt>
                <c:pt idx="39">
                  <c:v>4.1677527723271593E-4</c:v>
                </c:pt>
                <c:pt idx="40">
                  <c:v>4.1652845605766716E-4</c:v>
                </c:pt>
                <c:pt idx="41">
                  <c:v>4.1721450295004609E-4</c:v>
                </c:pt>
                <c:pt idx="42">
                  <c:v>4.1602216582108939E-4</c:v>
                </c:pt>
                <c:pt idx="43">
                  <c:v>4.1620273014941067E-4</c:v>
                </c:pt>
                <c:pt idx="44">
                  <c:v>4.1537058948739892E-4</c:v>
                </c:pt>
                <c:pt idx="45">
                  <c:v>4.1445076597505901E-4</c:v>
                </c:pt>
              </c:numCache>
            </c:numRef>
          </c:val>
          <c:extLst>
            <c:ext xmlns:c16="http://schemas.microsoft.com/office/drawing/2014/chart" uri="{C3380CC4-5D6E-409C-BE32-E72D297353CC}">
              <c16:uniqueId val="{00000000-A80A-4E12-9A7B-D524E6A2E819}"/>
            </c:ext>
          </c:extLst>
        </c:ser>
        <c:ser>
          <c:idx val="3"/>
          <c:order val="3"/>
          <c:tx>
            <c:strRef>
              <c:f>'Graf 21'!$D$9</c:f>
              <c:strCache>
                <c:ptCount val="1"/>
                <c:pt idx="0">
                  <c:v>uspora</c:v>
                </c:pt>
              </c:strCache>
            </c:strRef>
          </c:tx>
          <c:spPr>
            <a:solidFill>
              <a:schemeClr val="accent1">
                <a:lumMod val="20000"/>
                <a:lumOff val="80000"/>
                <a:alpha val="30000"/>
              </a:schemeClr>
            </a:solidFill>
            <a:ln>
              <a:noFill/>
            </a:ln>
            <a:effectLst/>
          </c:spP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21'!$F$9:$AZ$9</c15:sqref>
                  </c15:fullRef>
                </c:ext>
              </c:extLst>
              <c:f>'Graf 21'!$G$9:$AZ$9</c:f>
              <c:numCache>
                <c:formatCode>0.00%</c:formatCode>
                <c:ptCount val="46"/>
                <c:pt idx="0">
                  <c:v>2.4648676878360415E-3</c:v>
                </c:pt>
                <c:pt idx="1">
                  <c:v>2.0326559770433043E-3</c:v>
                </c:pt>
                <c:pt idx="2">
                  <c:v>2.0461070270381132E-3</c:v>
                </c:pt>
                <c:pt idx="3">
                  <c:v>2.0498881934262682E-3</c:v>
                </c:pt>
                <c:pt idx="4">
                  <c:v>2.0599868798245285E-3</c:v>
                </c:pt>
                <c:pt idx="5">
                  <c:v>2.0587480324753722E-3</c:v>
                </c:pt>
                <c:pt idx="6">
                  <c:v>2.0689255002166451E-3</c:v>
                </c:pt>
                <c:pt idx="7">
                  <c:v>2.076309294433515E-3</c:v>
                </c:pt>
                <c:pt idx="8">
                  <c:v>2.0808749147422957E-3</c:v>
                </c:pt>
                <c:pt idx="9">
                  <c:v>2.0818805127450581E-3</c:v>
                </c:pt>
                <c:pt idx="10">
                  <c:v>2.080110085270633E-3</c:v>
                </c:pt>
                <c:pt idx="11">
                  <c:v>2.0654582268480734E-3</c:v>
                </c:pt>
                <c:pt idx="12">
                  <c:v>2.0478652250345173E-3</c:v>
                </c:pt>
                <c:pt idx="13">
                  <c:v>2.0246253778542713E-3</c:v>
                </c:pt>
                <c:pt idx="14">
                  <c:v>2.0081913644198284E-3</c:v>
                </c:pt>
                <c:pt idx="15">
                  <c:v>1.9897298948762404E-3</c:v>
                </c:pt>
                <c:pt idx="16">
                  <c:v>1.9684678817232853E-3</c:v>
                </c:pt>
                <c:pt idx="17">
                  <c:v>1.9533198513190641E-3</c:v>
                </c:pt>
                <c:pt idx="18">
                  <c:v>1.9320007546394556E-3</c:v>
                </c:pt>
                <c:pt idx="19">
                  <c:v>1.91862043328752E-3</c:v>
                </c:pt>
                <c:pt idx="20">
                  <c:v>1.9019961172329323E-3</c:v>
                </c:pt>
                <c:pt idx="21">
                  <c:v>1.891867614856573E-3</c:v>
                </c:pt>
                <c:pt idx="22">
                  <c:v>1.8763628962057389E-3</c:v>
                </c:pt>
                <c:pt idx="23">
                  <c:v>1.8744846814356393E-3</c:v>
                </c:pt>
                <c:pt idx="24">
                  <c:v>1.8632570000056052E-3</c:v>
                </c:pt>
                <c:pt idx="25">
                  <c:v>1.8548646709091348E-3</c:v>
                </c:pt>
                <c:pt idx="26">
                  <c:v>1.8558475892248476E-3</c:v>
                </c:pt>
                <c:pt idx="27">
                  <c:v>1.8528102669666425E-3</c:v>
                </c:pt>
                <c:pt idx="28">
                  <c:v>1.8527104374038894E-3</c:v>
                </c:pt>
                <c:pt idx="29">
                  <c:v>1.8539450786952292E-3</c:v>
                </c:pt>
                <c:pt idx="30">
                  <c:v>1.8574500709572788E-3</c:v>
                </c:pt>
                <c:pt idx="31">
                  <c:v>1.8602348627673783E-3</c:v>
                </c:pt>
                <c:pt idx="32">
                  <c:v>1.8651435302741665E-3</c:v>
                </c:pt>
                <c:pt idx="33">
                  <c:v>1.8659221347924837E-3</c:v>
                </c:pt>
                <c:pt idx="34">
                  <c:v>1.8706113897217441E-3</c:v>
                </c:pt>
                <c:pt idx="35">
                  <c:v>1.8755657478873005E-3</c:v>
                </c:pt>
                <c:pt idx="36">
                  <c:v>1.8823404182626814E-3</c:v>
                </c:pt>
                <c:pt idx="37">
                  <c:v>1.8859708207870861E-3</c:v>
                </c:pt>
                <c:pt idx="38">
                  <c:v>1.8889268729750533E-3</c:v>
                </c:pt>
                <c:pt idx="39">
                  <c:v>1.8923632102756868E-3</c:v>
                </c:pt>
                <c:pt idx="40">
                  <c:v>1.8912425216535576E-3</c:v>
                </c:pt>
                <c:pt idx="41">
                  <c:v>1.8943575094433366E-3</c:v>
                </c:pt>
                <c:pt idx="42">
                  <c:v>1.8889437168305295E-3</c:v>
                </c:pt>
                <c:pt idx="43">
                  <c:v>1.889763567024793E-3</c:v>
                </c:pt>
                <c:pt idx="44">
                  <c:v>1.8859852422042291E-3</c:v>
                </c:pt>
                <c:pt idx="45">
                  <c:v>1.8818087944402061E-3</c:v>
                </c:pt>
              </c:numCache>
            </c:numRef>
          </c:val>
          <c:extLst>
            <c:ext xmlns:c16="http://schemas.microsoft.com/office/drawing/2014/chart" uri="{C3380CC4-5D6E-409C-BE32-E72D297353CC}">
              <c16:uniqueId val="{00000001-A80A-4E12-9A7B-D524E6A2E819}"/>
            </c:ext>
          </c:extLst>
        </c:ser>
        <c:dLbls>
          <c:showLegendKey val="0"/>
          <c:showVal val="0"/>
          <c:showCatName val="0"/>
          <c:showSerName val="0"/>
          <c:showPercent val="0"/>
          <c:showBubbleSize val="0"/>
        </c:dLbls>
        <c:axId val="1765636751"/>
        <c:axId val="1598145695"/>
      </c:areaChart>
      <c:lineChart>
        <c:grouping val="standard"/>
        <c:varyColors val="0"/>
        <c:ser>
          <c:idx val="0"/>
          <c:order val="0"/>
          <c:tx>
            <c:strRef>
              <c:f>'Graf 21'!$E$6</c:f>
              <c:strCache>
                <c:ptCount val="1"/>
                <c:pt idx="0">
                  <c:v>PP - current legislation</c:v>
                </c:pt>
              </c:strCache>
            </c:strRef>
          </c:tx>
          <c:spPr>
            <a:ln w="19050" cap="rnd">
              <a:solidFill>
                <a:srgbClr val="2C9ADC"/>
              </a:solidFill>
              <a:round/>
            </a:ln>
            <a:effectLst/>
          </c:spPr>
          <c:marker>
            <c:symbol val="none"/>
          </c:marke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21'!$F$6:$AZ$6</c15:sqref>
                  </c15:fullRef>
                </c:ext>
              </c:extLst>
              <c:f>'Graf 21'!$G$6:$AZ$6</c:f>
              <c:numCache>
                <c:formatCode>0.00%</c:formatCode>
                <c:ptCount val="46"/>
                <c:pt idx="0">
                  <c:v>2.4648676878360415E-3</c:v>
                </c:pt>
                <c:pt idx="1">
                  <c:v>2.4803294224742911E-3</c:v>
                </c:pt>
                <c:pt idx="2">
                  <c:v>2.4967429402766631E-3</c:v>
                </c:pt>
                <c:pt idx="3">
                  <c:v>2.5013568731554838E-3</c:v>
                </c:pt>
                <c:pt idx="4">
                  <c:v>2.5136797006702414E-3</c:v>
                </c:pt>
                <c:pt idx="5">
                  <c:v>2.512168008792831E-3</c:v>
                </c:pt>
                <c:pt idx="6">
                  <c:v>2.5245869685037023E-3</c:v>
                </c:pt>
                <c:pt idx="7">
                  <c:v>2.5335969742559974E-3</c:v>
                </c:pt>
                <c:pt idx="8">
                  <c:v>2.5391681296859422E-3</c:v>
                </c:pt>
                <c:pt idx="9">
                  <c:v>2.5403952012325311E-3</c:v>
                </c:pt>
                <c:pt idx="10">
                  <c:v>2.5382348536849043E-3</c:v>
                </c:pt>
                <c:pt idx="11">
                  <c:v>2.5203560606427765E-3</c:v>
                </c:pt>
                <c:pt idx="12">
                  <c:v>2.4988883649182496E-3</c:v>
                </c:pt>
                <c:pt idx="13">
                  <c:v>2.4705301590113075E-3</c:v>
                </c:pt>
                <c:pt idx="14">
                  <c:v>2.4504767080037845E-3</c:v>
                </c:pt>
                <c:pt idx="15">
                  <c:v>2.4279492726638993E-3</c:v>
                </c:pt>
                <c:pt idx="16">
                  <c:v>2.4020045002085917E-3</c:v>
                </c:pt>
                <c:pt idx="17">
                  <c:v>2.3835202579519273E-3</c:v>
                </c:pt>
                <c:pt idx="18">
                  <c:v>2.357505829857743E-3</c:v>
                </c:pt>
                <c:pt idx="19">
                  <c:v>2.3411786180195441E-3</c:v>
                </c:pt>
                <c:pt idx="20">
                  <c:v>2.3208929520217572E-3</c:v>
                </c:pt>
                <c:pt idx="21">
                  <c:v>2.3085337418389169E-3</c:v>
                </c:pt>
                <c:pt idx="22">
                  <c:v>2.2896142540893031E-3</c:v>
                </c:pt>
                <c:pt idx="23">
                  <c:v>2.2873223801034358E-3</c:v>
                </c:pt>
                <c:pt idx="24">
                  <c:v>2.2736219069729112E-3</c:v>
                </c:pt>
                <c:pt idx="25">
                  <c:v>2.2633812459775661E-3</c:v>
                </c:pt>
                <c:pt idx="26">
                  <c:v>2.2645806428484017E-3</c:v>
                </c:pt>
                <c:pt idx="27">
                  <c:v>2.2608743788038975E-3</c:v>
                </c:pt>
                <c:pt idx="28">
                  <c:v>2.2607525627147385E-3</c:v>
                </c:pt>
                <c:pt idx="29">
                  <c:v>2.2622591221894838E-3</c:v>
                </c:pt>
                <c:pt idx="30">
                  <c:v>2.266536056176981E-3</c:v>
                </c:pt>
                <c:pt idx="31">
                  <c:v>2.2699341723068449E-3</c:v>
                </c:pt>
                <c:pt idx="32">
                  <c:v>2.2759239278679114E-3</c:v>
                </c:pt>
                <c:pt idx="33">
                  <c:v>2.2768740127406418E-3</c:v>
                </c:pt>
                <c:pt idx="34">
                  <c:v>2.2825960321585293E-3</c:v>
                </c:pt>
                <c:pt idx="35">
                  <c:v>2.2886415413181167E-3</c:v>
                </c:pt>
                <c:pt idx="36">
                  <c:v>2.2969082694065876E-3</c:v>
                </c:pt>
                <c:pt idx="37">
                  <c:v>2.3013382340923995E-3</c:v>
                </c:pt>
                <c:pt idx="38">
                  <c:v>2.3049453290946978E-3</c:v>
                </c:pt>
                <c:pt idx="39">
                  <c:v>2.3091384875084026E-3</c:v>
                </c:pt>
                <c:pt idx="40">
                  <c:v>2.3077709777112247E-3</c:v>
                </c:pt>
                <c:pt idx="41">
                  <c:v>2.3115720123933828E-3</c:v>
                </c:pt>
                <c:pt idx="42">
                  <c:v>2.3049658826516189E-3</c:v>
                </c:pt>
                <c:pt idx="43">
                  <c:v>2.3059662971742037E-3</c:v>
                </c:pt>
                <c:pt idx="44">
                  <c:v>2.301355831691628E-3</c:v>
                </c:pt>
                <c:pt idx="45">
                  <c:v>2.2962595604152651E-3</c:v>
                </c:pt>
              </c:numCache>
            </c:numRef>
          </c:val>
          <c:smooth val="0"/>
          <c:extLst>
            <c:ext xmlns:c16="http://schemas.microsoft.com/office/drawing/2014/chart" uri="{C3380CC4-5D6E-409C-BE32-E72D297353CC}">
              <c16:uniqueId val="{00000002-A80A-4E12-9A7B-D524E6A2E819}"/>
            </c:ext>
          </c:extLst>
        </c:ser>
        <c:ser>
          <c:idx val="1"/>
          <c:order val="1"/>
          <c:tx>
            <c:strRef>
              <c:f>'Graf 21'!$E$7</c:f>
              <c:strCache>
                <c:ptCount val="1"/>
                <c:pt idx="0">
                  <c:v>PP - tax assignment</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'Graf 21'!$F$5:$AZ$5</c15:sqref>
                  </c15:fullRef>
                </c:ext>
              </c:extLst>
              <c:f>'Graf 21'!$G$5:$AZ$5</c:f>
              <c:numCache>
                <c:formatCode>General</c:formatCode>
                <c:ptCount val="4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numCache>
            </c:numRef>
          </c:cat>
          <c:val>
            <c:numRef>
              <c:extLst>
                <c:ext xmlns:c15="http://schemas.microsoft.com/office/drawing/2012/chart" uri="{02D57815-91ED-43cb-92C2-25804820EDAC}">
                  <c15:fullRef>
                    <c15:sqref>'Graf 21'!$F$7:$AZ$7</c15:sqref>
                  </c15:fullRef>
                </c:ext>
              </c:extLst>
              <c:f>'Graf 21'!$G$7:$AZ$7</c:f>
              <c:numCache>
                <c:formatCode>0.00%</c:formatCode>
                <c:ptCount val="46"/>
                <c:pt idx="0">
                  <c:v>0</c:v>
                </c:pt>
                <c:pt idx="1">
                  <c:v>4.4767344543098701E-4</c:v>
                </c:pt>
                <c:pt idx="2">
                  <c:v>4.506359132385499E-4</c:v>
                </c:pt>
                <c:pt idx="3">
                  <c:v>4.5146867972921552E-4</c:v>
                </c:pt>
                <c:pt idx="4">
                  <c:v>4.5369282084571302E-4</c:v>
                </c:pt>
                <c:pt idx="5">
                  <c:v>4.5341997631745862E-4</c:v>
                </c:pt>
                <c:pt idx="6">
                  <c:v>4.5566146828705692E-4</c:v>
                </c:pt>
                <c:pt idx="7">
                  <c:v>4.5728767982248245E-4</c:v>
                </c:pt>
                <c:pt idx="8">
                  <c:v>4.5829321494364662E-4</c:v>
                </c:pt>
                <c:pt idx="9">
                  <c:v>4.585146884874728E-4</c:v>
                </c:pt>
                <c:pt idx="10">
                  <c:v>4.5812476841427147E-4</c:v>
                </c:pt>
                <c:pt idx="11">
                  <c:v>4.5489783379470294E-4</c:v>
                </c:pt>
                <c:pt idx="12">
                  <c:v>4.5102313988373214E-4</c:v>
                </c:pt>
                <c:pt idx="13">
                  <c:v>4.4590478115703603E-4</c:v>
                </c:pt>
                <c:pt idx="14">
                  <c:v>4.4228534358395615E-4</c:v>
                </c:pt>
                <c:pt idx="15">
                  <c:v>4.382193777876588E-4</c:v>
                </c:pt>
                <c:pt idx="16">
                  <c:v>4.3353661848530615E-4</c:v>
                </c:pt>
                <c:pt idx="17">
                  <c:v>4.3020040663286306E-4</c:v>
                </c:pt>
                <c:pt idx="18">
                  <c:v>4.2550507521828734E-4</c:v>
                </c:pt>
                <c:pt idx="19">
                  <c:v>4.2255818473202413E-4</c:v>
                </c:pt>
                <c:pt idx="20">
                  <c:v>4.1889683478882491E-4</c:v>
                </c:pt>
                <c:pt idx="21">
                  <c:v>4.1666612698234391E-4</c:v>
                </c:pt>
                <c:pt idx="22">
                  <c:v>4.1325135788356431E-4</c:v>
                </c:pt>
                <c:pt idx="23">
                  <c:v>4.1283769866779646E-4</c:v>
                </c:pt>
                <c:pt idx="24">
                  <c:v>4.1036490696730608E-4</c:v>
                </c:pt>
                <c:pt idx="25">
                  <c:v>4.0851657506843123E-4</c:v>
                </c:pt>
                <c:pt idx="26">
                  <c:v>4.0873305362355416E-4</c:v>
                </c:pt>
                <c:pt idx="27">
                  <c:v>4.0806411183725509E-4</c:v>
                </c:pt>
                <c:pt idx="28">
                  <c:v>4.0804212531084905E-4</c:v>
                </c:pt>
                <c:pt idx="29">
                  <c:v>4.0831404349425443E-4</c:v>
                </c:pt>
                <c:pt idx="30">
                  <c:v>4.0908598521970227E-4</c:v>
                </c:pt>
                <c:pt idx="31">
                  <c:v>4.0969930953946667E-4</c:v>
                </c:pt>
                <c:pt idx="32">
                  <c:v>4.10780397593745E-4</c:v>
                </c:pt>
                <c:pt idx="33">
                  <c:v>4.1095187794815808E-4</c:v>
                </c:pt>
                <c:pt idx="34">
                  <c:v>4.1198464243678525E-4</c:v>
                </c:pt>
                <c:pt idx="35">
                  <c:v>4.1307579343081622E-4</c:v>
                </c:pt>
                <c:pt idx="36">
                  <c:v>4.1456785114390624E-4</c:v>
                </c:pt>
                <c:pt idx="37">
                  <c:v>4.1536741330531335E-4</c:v>
                </c:pt>
                <c:pt idx="38">
                  <c:v>4.1601845611964432E-4</c:v>
                </c:pt>
                <c:pt idx="39">
                  <c:v>4.1677527723271593E-4</c:v>
                </c:pt>
                <c:pt idx="40">
                  <c:v>4.1652845605766716E-4</c:v>
                </c:pt>
                <c:pt idx="41">
                  <c:v>4.1721450295004609E-4</c:v>
                </c:pt>
                <c:pt idx="42">
                  <c:v>4.1602216582108939E-4</c:v>
                </c:pt>
                <c:pt idx="43">
                  <c:v>4.1620273014941067E-4</c:v>
                </c:pt>
                <c:pt idx="44">
                  <c:v>4.1537058948739892E-4</c:v>
                </c:pt>
                <c:pt idx="45">
                  <c:v>4.1445076597505901E-4</c:v>
                </c:pt>
              </c:numCache>
            </c:numRef>
          </c:val>
          <c:smooth val="0"/>
          <c:extLst>
            <c:ext xmlns:c16="http://schemas.microsoft.com/office/drawing/2014/chart" uri="{C3380CC4-5D6E-409C-BE32-E72D297353CC}">
              <c16:uniqueId val="{00000003-A80A-4E12-9A7B-D524E6A2E819}"/>
            </c:ext>
          </c:extLst>
        </c:ser>
        <c:dLbls>
          <c:showLegendKey val="0"/>
          <c:showVal val="0"/>
          <c:showCatName val="0"/>
          <c:showSerName val="0"/>
          <c:showPercent val="0"/>
          <c:showBubbleSize val="0"/>
        </c:dLbls>
        <c:marker val="1"/>
        <c:smooth val="0"/>
        <c:axId val="1765636751"/>
        <c:axId val="1598145695"/>
      </c:lineChart>
      <c:catAx>
        <c:axId val="1765636751"/>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1598145695"/>
        <c:crosses val="autoZero"/>
        <c:auto val="1"/>
        <c:lblAlgn val="ctr"/>
        <c:lblOffset val="100"/>
        <c:noMultiLvlLbl val="0"/>
      </c:catAx>
      <c:valAx>
        <c:axId val="1598145695"/>
        <c:scaling>
          <c:orientation val="minMax"/>
        </c:scaling>
        <c:delete val="0"/>
        <c:axPos val="l"/>
        <c:majorGridlines>
          <c:spPr>
            <a:ln w="3175" cap="flat" cmpd="sng" algn="ctr">
              <a:solidFill>
                <a:srgbClr val="686767">
                  <a:alpha val="25000"/>
                </a:srgbClr>
              </a:solidFill>
              <a:prstDash val="sysDot"/>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1765636751"/>
        <c:crosses val="autoZero"/>
        <c:crossBetween val="between"/>
      </c:valAx>
      <c:spPr>
        <a:noFill/>
        <a:ln>
          <a:noFill/>
        </a:ln>
        <a:effectLst/>
      </c:spPr>
    </c:plotArea>
    <c:legend>
      <c:legendPos val="r"/>
      <c:legendEntry>
        <c:idx val="0"/>
        <c:delete val="1"/>
      </c:legendEntry>
      <c:legendEntry>
        <c:idx val="1"/>
        <c:delete val="1"/>
      </c:legendEntry>
      <c:layout>
        <c:manualLayout>
          <c:xMode val="edge"/>
          <c:yMode val="edge"/>
          <c:x val="0.1761756899031689"/>
          <c:y val="2.6761731820402448E-2"/>
          <c:w val="0.7183629164998443"/>
          <c:h val="0.1270235143381234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4766611620356294"/>
        </c:manualLayout>
      </c:layout>
      <c:areaChart>
        <c:grouping val="stacked"/>
        <c:varyColors val="0"/>
        <c:ser>
          <c:idx val="3"/>
          <c:order val="0"/>
          <c:tx>
            <c:strRef>
              <c:f>'Graf 22'!$M$8</c:f>
              <c:strCache>
                <c:ptCount val="1"/>
                <c:pt idx="0">
                  <c:v>spodná hranica</c:v>
                </c:pt>
              </c:strCache>
            </c:strRef>
          </c:tx>
          <c:spPr>
            <a:noFill/>
            <a:ln w="28575">
              <a:noFill/>
              <a:prstDash val="solid"/>
            </a:ln>
          </c:spP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22'!$P$8:$V$8</c:f>
              <c:numCache>
                <c:formatCode>0.0</c:formatCode>
                <c:ptCount val="7"/>
                <c:pt idx="0">
                  <c:v>5.4566147343907101</c:v>
                </c:pt>
                <c:pt idx="1">
                  <c:v>11.239179465439845</c:v>
                </c:pt>
                <c:pt idx="2">
                  <c:v>8.3809097312818395</c:v>
                </c:pt>
                <c:pt idx="3">
                  <c:v>5.7765857798914411</c:v>
                </c:pt>
                <c:pt idx="4">
                  <c:v>5.2185704794026844</c:v>
                </c:pt>
                <c:pt idx="5">
                  <c:v>4.6746729297638314</c:v>
                </c:pt>
                <c:pt idx="6">
                  <c:v>4.2802140546747731</c:v>
                </c:pt>
              </c:numCache>
            </c:numRef>
          </c:val>
          <c:extLst>
            <c:ext xmlns:c16="http://schemas.microsoft.com/office/drawing/2014/chart" uri="{C3380CC4-5D6E-409C-BE32-E72D297353CC}">
              <c16:uniqueId val="{00000000-B5AF-4B9E-B971-8F0584295666}"/>
            </c:ext>
          </c:extLst>
        </c:ser>
        <c:ser>
          <c:idx val="5"/>
          <c:order val="1"/>
          <c:tx>
            <c:strRef>
              <c:f>'Graf 22'!$M$9</c:f>
              <c:strCache>
                <c:ptCount val="1"/>
                <c:pt idx="0">
                  <c:v>25. percentil</c:v>
                </c:pt>
              </c:strCache>
            </c:strRef>
          </c:tx>
          <c:spPr>
            <a:solidFill>
              <a:srgbClr val="A2D2F0"/>
            </a:solidFill>
            <a:ln w="28575">
              <a:noFill/>
            </a:ln>
          </c:spP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22'!$P$9:$V$9</c:f>
              <c:numCache>
                <c:formatCode>0.0</c:formatCode>
                <c:ptCount val="7"/>
                <c:pt idx="0">
                  <c:v>0</c:v>
                </c:pt>
                <c:pt idx="1">
                  <c:v>0</c:v>
                </c:pt>
                <c:pt idx="2">
                  <c:v>0</c:v>
                </c:pt>
                <c:pt idx="3">
                  <c:v>0.37461039018928943</c:v>
                </c:pt>
                <c:pt idx="4">
                  <c:v>0.10222510472910962</c:v>
                </c:pt>
                <c:pt idx="5">
                  <c:v>0.25369581951594355</c:v>
                </c:pt>
                <c:pt idx="6">
                  <c:v>0.20808380054974851</c:v>
                </c:pt>
              </c:numCache>
            </c:numRef>
          </c:val>
          <c:extLst>
            <c:ext xmlns:c16="http://schemas.microsoft.com/office/drawing/2014/chart" uri="{C3380CC4-5D6E-409C-BE32-E72D297353CC}">
              <c16:uniqueId val="{00000001-B5AF-4B9E-B971-8F0584295666}"/>
            </c:ext>
          </c:extLst>
        </c:ser>
        <c:ser>
          <c:idx val="4"/>
          <c:order val="3"/>
          <c:tx>
            <c:strRef>
              <c:f>'Graf 22'!$M$10</c:f>
              <c:strCache>
                <c:ptCount val="1"/>
                <c:pt idx="0">
                  <c:v>75. percentil</c:v>
                </c:pt>
              </c:strCache>
            </c:strRef>
          </c:tx>
          <c:spPr>
            <a:solidFill>
              <a:srgbClr val="2C9ADC"/>
            </a:solidFill>
          </c:spP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22'!$P$10:$V$10</c:f>
              <c:numCache>
                <c:formatCode>0.0</c:formatCode>
                <c:ptCount val="7"/>
                <c:pt idx="0">
                  <c:v>0</c:v>
                </c:pt>
                <c:pt idx="1">
                  <c:v>0</c:v>
                </c:pt>
                <c:pt idx="2">
                  <c:v>0</c:v>
                </c:pt>
                <c:pt idx="3">
                  <c:v>0.2242671819501183</c:v>
                </c:pt>
                <c:pt idx="4">
                  <c:v>0.23164852582013484</c:v>
                </c:pt>
                <c:pt idx="5">
                  <c:v>0.15037995954846828</c:v>
                </c:pt>
                <c:pt idx="6">
                  <c:v>0.2771087313304994</c:v>
                </c:pt>
              </c:numCache>
            </c:numRef>
          </c:val>
          <c:extLst>
            <c:ext xmlns:c16="http://schemas.microsoft.com/office/drawing/2014/chart" uri="{C3380CC4-5D6E-409C-BE32-E72D297353CC}">
              <c16:uniqueId val="{00000002-B5AF-4B9E-B971-8F0584295666}"/>
            </c:ext>
          </c:extLst>
        </c:ser>
        <c:ser>
          <c:idx val="2"/>
          <c:order val="4"/>
          <c:tx>
            <c:strRef>
              <c:f>'Graf 22'!$M$11</c:f>
              <c:strCache>
                <c:ptCount val="1"/>
                <c:pt idx="0">
                  <c:v>horná hranica</c:v>
                </c:pt>
              </c:strCache>
            </c:strRef>
          </c:tx>
          <c:spPr>
            <a:solidFill>
              <a:srgbClr val="A2D2F0"/>
            </a:solidFill>
          </c:spP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22'!$P$11:$V$11</c:f>
              <c:numCache>
                <c:formatCode>0.0</c:formatCode>
                <c:ptCount val="7"/>
                <c:pt idx="0">
                  <c:v>0</c:v>
                </c:pt>
                <c:pt idx="1">
                  <c:v>0</c:v>
                </c:pt>
                <c:pt idx="2">
                  <c:v>0</c:v>
                </c:pt>
                <c:pt idx="3">
                  <c:v>0.45992696757901186</c:v>
                </c:pt>
                <c:pt idx="4">
                  <c:v>0.32863234892526805</c:v>
                </c:pt>
                <c:pt idx="5">
                  <c:v>0.29834386606514673</c:v>
                </c:pt>
                <c:pt idx="6">
                  <c:v>0.35183034275238079</c:v>
                </c:pt>
              </c:numCache>
            </c:numRef>
          </c:val>
          <c:extLst>
            <c:ext xmlns:c16="http://schemas.microsoft.com/office/drawing/2014/chart" uri="{C3380CC4-5D6E-409C-BE32-E72D297353CC}">
              <c16:uniqueId val="{00000003-B5AF-4B9E-B971-8F0584295666}"/>
            </c:ext>
          </c:extLst>
        </c:ser>
        <c:dLbls>
          <c:showLegendKey val="0"/>
          <c:showVal val="0"/>
          <c:showCatName val="0"/>
          <c:showSerName val="0"/>
          <c:showPercent val="0"/>
          <c:showBubbleSize val="0"/>
        </c:dLbls>
        <c:axId val="682647528"/>
        <c:axId val="682647920"/>
      </c:areaChart>
      <c:lineChart>
        <c:grouping val="standard"/>
        <c:varyColors val="0"/>
        <c:ser>
          <c:idx val="1"/>
          <c:order val="2"/>
          <c:tx>
            <c:strRef>
              <c:f>'Graf 22'!$M$13</c:f>
              <c:strCache>
                <c:ptCount val="1"/>
                <c:pt idx="0">
                  <c:v>medián Výboru</c:v>
                </c:pt>
              </c:strCache>
            </c:strRef>
          </c:tx>
          <c:spPr>
            <a:ln w="28575">
              <a:solidFill>
                <a:srgbClr val="1F497D">
                  <a:lumMod val="75000"/>
                </a:srgbClr>
              </a:solidFill>
              <a:prstDash val="dash"/>
            </a:ln>
          </c:spPr>
          <c:marker>
            <c:symbol val="none"/>
          </c:marke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22'!$P$13:$V$13</c:f>
              <c:numCache>
                <c:formatCode>0.0</c:formatCode>
                <c:ptCount val="7"/>
                <c:pt idx="0">
                  <c:v>5.4566147343907145</c:v>
                </c:pt>
                <c:pt idx="1">
                  <c:v>11.239179465439845</c:v>
                </c:pt>
                <c:pt idx="2">
                  <c:v>8.3809097312818395</c:v>
                </c:pt>
                <c:pt idx="3">
                  <c:v>6.3754633520308488</c:v>
                </c:pt>
                <c:pt idx="4">
                  <c:v>5.5524441099519288</c:v>
                </c:pt>
                <c:pt idx="5">
                  <c:v>5.0787487088282433</c:v>
                </c:pt>
                <c:pt idx="6">
                  <c:v>4.765406586555021</c:v>
                </c:pt>
              </c:numCache>
            </c:numRef>
          </c:val>
          <c:smooth val="0"/>
          <c:extLst>
            <c:ext xmlns:c16="http://schemas.microsoft.com/office/drawing/2014/chart" uri="{C3380CC4-5D6E-409C-BE32-E72D297353CC}">
              <c16:uniqueId val="{00000004-B5AF-4B9E-B971-8F0584295666}"/>
            </c:ext>
          </c:extLst>
        </c:ser>
        <c:ser>
          <c:idx val="0"/>
          <c:order val="5"/>
          <c:tx>
            <c:strRef>
              <c:f>'Graf 22'!$M$12</c:f>
              <c:strCache>
                <c:ptCount val="1"/>
                <c:pt idx="0">
                  <c:v>prognóza MF SR</c:v>
                </c:pt>
              </c:strCache>
            </c:strRef>
          </c:tx>
          <c:spPr>
            <a:ln w="19050">
              <a:solidFill>
                <a:sysClr val="windowText" lastClr="000000"/>
              </a:solidFill>
            </a:ln>
          </c:spPr>
          <c:marker>
            <c:symbol val="none"/>
          </c:marke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22'!$P$12:$V$12</c:f>
              <c:numCache>
                <c:formatCode>0.0</c:formatCode>
                <c:ptCount val="7"/>
                <c:pt idx="0">
                  <c:v>5.4566147343907145</c:v>
                </c:pt>
                <c:pt idx="1">
                  <c:v>11.239179465439845</c:v>
                </c:pt>
                <c:pt idx="2">
                  <c:v>8.3809097312818395</c:v>
                </c:pt>
                <c:pt idx="3">
                  <c:v>6.171691605995048</c:v>
                </c:pt>
                <c:pt idx="4">
                  <c:v>6.0822149754171875</c:v>
                </c:pt>
                <c:pt idx="5">
                  <c:v>4.9204581721869536</c:v>
                </c:pt>
                <c:pt idx="6">
                  <c:v>4.3604732692116466</c:v>
                </c:pt>
              </c:numCache>
            </c:numRef>
          </c:val>
          <c:smooth val="0"/>
          <c:extLst>
            <c:ext xmlns:c16="http://schemas.microsoft.com/office/drawing/2014/chart" uri="{C3380CC4-5D6E-409C-BE32-E72D297353CC}">
              <c16:uniqueId val="{00000005-B5AF-4B9E-B971-8F0584295666}"/>
            </c:ext>
          </c:extLst>
        </c:ser>
        <c:dLbls>
          <c:showLegendKey val="0"/>
          <c:showVal val="0"/>
          <c:showCatName val="0"/>
          <c:showSerName val="0"/>
          <c:showPercent val="0"/>
          <c:showBubbleSize val="0"/>
        </c:dLbls>
        <c:marker val="1"/>
        <c:smooth val="0"/>
        <c:axId val="682647528"/>
        <c:axId val="682647920"/>
      </c:lineChart>
      <c:catAx>
        <c:axId val="682647528"/>
        <c:scaling>
          <c:orientation val="minMax"/>
        </c:scaling>
        <c:delete val="0"/>
        <c:axPos val="b"/>
        <c:numFmt formatCode="General" sourceLinked="0"/>
        <c:majorTickMark val="none"/>
        <c:minorTickMark val="none"/>
        <c:tickLblPos val="low"/>
        <c:spPr>
          <a:ln w="12700">
            <a:solidFill>
              <a:srgbClr val="676868"/>
            </a:solidFill>
          </a:ln>
        </c:spPr>
        <c:txPr>
          <a:bodyPr rot="0" vert="horz"/>
          <a:lstStyle/>
          <a:p>
            <a:pPr>
              <a:defRPr/>
            </a:pPr>
            <a:endParaRPr lang="sk-SK"/>
          </a:p>
        </c:txPr>
        <c:crossAx val="682647920"/>
        <c:crosses val="autoZero"/>
        <c:auto val="1"/>
        <c:lblAlgn val="ctr"/>
        <c:lblOffset val="100"/>
        <c:noMultiLvlLbl val="0"/>
      </c:catAx>
      <c:valAx>
        <c:axId val="682647920"/>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txPr>
          <a:bodyPr rot="0" vert="horz"/>
          <a:lstStyle/>
          <a:p>
            <a:pPr>
              <a:defRPr/>
            </a:pPr>
            <a:endParaRPr lang="sk-SK"/>
          </a:p>
        </c:txPr>
        <c:crossAx val="682647528"/>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286463431444041"/>
          <c:y val="0.58303997566521948"/>
          <c:w val="0.24454576251994689"/>
          <c:h val="0.17946223336882156"/>
        </c:manualLayout>
      </c:layout>
      <c:overlay val="1"/>
    </c:legend>
    <c:plotVisOnly val="1"/>
    <c:dispBlanksAs val="gap"/>
    <c:showDLblsOverMax val="0"/>
  </c:chart>
  <c:spPr>
    <a:noFill/>
    <a:ln>
      <a:noFill/>
    </a:ln>
  </c:spPr>
  <c:txPr>
    <a:bodyPr/>
    <a:lstStyle/>
    <a:p>
      <a:pPr>
        <a:defRPr sz="1000" b="0" i="0" u="none" strike="noStrike" baseline="0">
          <a:solidFill>
            <a:sysClr val="windowText" lastClr="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39535773634691E-2"/>
          <c:y val="8.4437714516454654E-2"/>
          <c:w val="0.92287931438607862"/>
          <c:h val="0.8088138025088577"/>
        </c:manualLayout>
      </c:layout>
      <c:areaChart>
        <c:grouping val="stacked"/>
        <c:varyColors val="0"/>
        <c:ser>
          <c:idx val="3"/>
          <c:order val="0"/>
          <c:tx>
            <c:strRef>
              <c:f>'Graf 22'!$N$8</c:f>
              <c:strCache>
                <c:ptCount val="1"/>
                <c:pt idx="0">
                  <c:v>lower bound</c:v>
                </c:pt>
              </c:strCache>
            </c:strRef>
          </c:tx>
          <c:spPr>
            <a:noFill/>
            <a:ln w="28575">
              <a:noFill/>
              <a:prstDash val="solid"/>
            </a:ln>
          </c:spPr>
          <c:cat>
            <c:multiLvlStrRef>
              <c:f>'[86]Graf 29'!$O$7:$T$7</c:f>
            </c:multiLvlStrRef>
          </c:cat>
          <c:val>
            <c:numRef>
              <c:f>'Graf 22'!$P$8:$V$8</c:f>
              <c:numCache>
                <c:formatCode>0.0</c:formatCode>
                <c:ptCount val="7"/>
                <c:pt idx="0">
                  <c:v>5.4566147343907101</c:v>
                </c:pt>
                <c:pt idx="1">
                  <c:v>11.239179465439845</c:v>
                </c:pt>
                <c:pt idx="2">
                  <c:v>8.3809097312818395</c:v>
                </c:pt>
                <c:pt idx="3">
                  <c:v>5.7765857798914411</c:v>
                </c:pt>
                <c:pt idx="4">
                  <c:v>5.2185704794026844</c:v>
                </c:pt>
                <c:pt idx="5">
                  <c:v>4.6746729297638314</c:v>
                </c:pt>
                <c:pt idx="6">
                  <c:v>4.2802140546747731</c:v>
                </c:pt>
              </c:numCache>
            </c:numRef>
          </c:val>
          <c:extLst>
            <c:ext xmlns:c16="http://schemas.microsoft.com/office/drawing/2014/chart" uri="{C3380CC4-5D6E-409C-BE32-E72D297353CC}">
              <c16:uniqueId val="{00000000-C756-4159-BDB1-2BFCD8B3DB23}"/>
            </c:ext>
          </c:extLst>
        </c:ser>
        <c:ser>
          <c:idx val="5"/>
          <c:order val="1"/>
          <c:tx>
            <c:strRef>
              <c:f>'Graf 22'!$N$9</c:f>
              <c:strCache>
                <c:ptCount val="1"/>
                <c:pt idx="0">
                  <c:v>25th percentile</c:v>
                </c:pt>
              </c:strCache>
            </c:strRef>
          </c:tx>
          <c:spPr>
            <a:solidFill>
              <a:srgbClr val="A2D2F0"/>
            </a:solidFill>
            <a:ln w="28575">
              <a:noFill/>
            </a:ln>
          </c:spPr>
          <c:cat>
            <c:multiLvlStrRef>
              <c:f>'[86]Graf 29'!$O$7:$T$7</c:f>
            </c:multiLvlStrRef>
          </c:cat>
          <c:val>
            <c:numRef>
              <c:f>'Graf 22'!$P$9:$V$9</c:f>
              <c:numCache>
                <c:formatCode>0.0</c:formatCode>
                <c:ptCount val="7"/>
                <c:pt idx="0">
                  <c:v>0</c:v>
                </c:pt>
                <c:pt idx="1">
                  <c:v>0</c:v>
                </c:pt>
                <c:pt idx="2">
                  <c:v>0</c:v>
                </c:pt>
                <c:pt idx="3">
                  <c:v>0.37461039018928943</c:v>
                </c:pt>
                <c:pt idx="4">
                  <c:v>0.10222510472910962</c:v>
                </c:pt>
                <c:pt idx="5">
                  <c:v>0.25369581951594355</c:v>
                </c:pt>
                <c:pt idx="6">
                  <c:v>0.20808380054974851</c:v>
                </c:pt>
              </c:numCache>
            </c:numRef>
          </c:val>
          <c:extLst>
            <c:ext xmlns:c16="http://schemas.microsoft.com/office/drawing/2014/chart" uri="{C3380CC4-5D6E-409C-BE32-E72D297353CC}">
              <c16:uniqueId val="{00000001-C756-4159-BDB1-2BFCD8B3DB23}"/>
            </c:ext>
          </c:extLst>
        </c:ser>
        <c:ser>
          <c:idx val="4"/>
          <c:order val="3"/>
          <c:tx>
            <c:strRef>
              <c:f>'Graf 22'!$N$10</c:f>
              <c:strCache>
                <c:ptCount val="1"/>
                <c:pt idx="0">
                  <c:v>75th percentile</c:v>
                </c:pt>
              </c:strCache>
            </c:strRef>
          </c:tx>
          <c:spPr>
            <a:solidFill>
              <a:srgbClr val="2C9ADC"/>
            </a:solidFill>
          </c:spPr>
          <c:cat>
            <c:multiLvlStrRef>
              <c:f>'[86]Graf 29'!$O$7:$T$7</c:f>
            </c:multiLvlStrRef>
          </c:cat>
          <c:val>
            <c:numRef>
              <c:f>'Graf 22'!$P$10:$V$10</c:f>
              <c:numCache>
                <c:formatCode>0.0</c:formatCode>
                <c:ptCount val="7"/>
                <c:pt idx="0">
                  <c:v>0</c:v>
                </c:pt>
                <c:pt idx="1">
                  <c:v>0</c:v>
                </c:pt>
                <c:pt idx="2">
                  <c:v>0</c:v>
                </c:pt>
                <c:pt idx="3">
                  <c:v>0.2242671819501183</c:v>
                </c:pt>
                <c:pt idx="4">
                  <c:v>0.23164852582013484</c:v>
                </c:pt>
                <c:pt idx="5">
                  <c:v>0.15037995954846828</c:v>
                </c:pt>
                <c:pt idx="6">
                  <c:v>0.2771087313304994</c:v>
                </c:pt>
              </c:numCache>
            </c:numRef>
          </c:val>
          <c:extLst>
            <c:ext xmlns:c16="http://schemas.microsoft.com/office/drawing/2014/chart" uri="{C3380CC4-5D6E-409C-BE32-E72D297353CC}">
              <c16:uniqueId val="{00000002-C756-4159-BDB1-2BFCD8B3DB23}"/>
            </c:ext>
          </c:extLst>
        </c:ser>
        <c:ser>
          <c:idx val="2"/>
          <c:order val="4"/>
          <c:tx>
            <c:strRef>
              <c:f>'Graf 22'!$N$11</c:f>
              <c:strCache>
                <c:ptCount val="1"/>
                <c:pt idx="0">
                  <c:v>upper bound</c:v>
                </c:pt>
              </c:strCache>
            </c:strRef>
          </c:tx>
          <c:spPr>
            <a:solidFill>
              <a:srgbClr val="A2D2F0"/>
            </a:solidFill>
          </c:spPr>
          <c:cat>
            <c:multiLvlStrRef>
              <c:f>'[86]Graf 29'!$O$7:$T$7</c:f>
            </c:multiLvlStrRef>
          </c:cat>
          <c:val>
            <c:numRef>
              <c:f>'Graf 22'!$P$11:$V$11</c:f>
              <c:numCache>
                <c:formatCode>0.0</c:formatCode>
                <c:ptCount val="7"/>
                <c:pt idx="0">
                  <c:v>0</c:v>
                </c:pt>
                <c:pt idx="1">
                  <c:v>0</c:v>
                </c:pt>
                <c:pt idx="2">
                  <c:v>0</c:v>
                </c:pt>
                <c:pt idx="3">
                  <c:v>0.45992696757901186</c:v>
                </c:pt>
                <c:pt idx="4">
                  <c:v>0.32863234892526805</c:v>
                </c:pt>
                <c:pt idx="5">
                  <c:v>0.29834386606514673</c:v>
                </c:pt>
                <c:pt idx="6">
                  <c:v>0.35183034275238079</c:v>
                </c:pt>
              </c:numCache>
            </c:numRef>
          </c:val>
          <c:extLst>
            <c:ext xmlns:c16="http://schemas.microsoft.com/office/drawing/2014/chart" uri="{C3380CC4-5D6E-409C-BE32-E72D297353CC}">
              <c16:uniqueId val="{00000003-C756-4159-BDB1-2BFCD8B3DB23}"/>
            </c:ext>
          </c:extLst>
        </c:ser>
        <c:dLbls>
          <c:showLegendKey val="0"/>
          <c:showVal val="0"/>
          <c:showCatName val="0"/>
          <c:showSerName val="0"/>
          <c:showPercent val="0"/>
          <c:showBubbleSize val="0"/>
        </c:dLbls>
        <c:axId val="489914456"/>
        <c:axId val="489916024"/>
      </c:areaChart>
      <c:lineChart>
        <c:grouping val="standard"/>
        <c:varyColors val="0"/>
        <c:ser>
          <c:idx val="1"/>
          <c:order val="2"/>
          <c:tx>
            <c:strRef>
              <c:f>'Graf 22'!$N$13</c:f>
              <c:strCache>
                <c:ptCount val="1"/>
                <c:pt idx="0">
                  <c:v>MFC median</c:v>
                </c:pt>
              </c:strCache>
            </c:strRef>
          </c:tx>
          <c:spPr>
            <a:ln w="28575">
              <a:solidFill>
                <a:srgbClr val="1F497D">
                  <a:lumMod val="75000"/>
                </a:srgbClr>
              </a:solidFill>
              <a:prstDash val="dash"/>
            </a:ln>
          </c:spPr>
          <c:marker>
            <c:symbol val="none"/>
          </c:marke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22'!$P$13:$V$13</c:f>
              <c:numCache>
                <c:formatCode>0.0</c:formatCode>
                <c:ptCount val="7"/>
                <c:pt idx="0">
                  <c:v>5.4566147343907145</c:v>
                </c:pt>
                <c:pt idx="1">
                  <c:v>11.239179465439845</c:v>
                </c:pt>
                <c:pt idx="2">
                  <c:v>8.3809097312818395</c:v>
                </c:pt>
                <c:pt idx="3">
                  <c:v>6.3754633520308488</c:v>
                </c:pt>
                <c:pt idx="4">
                  <c:v>5.5524441099519288</c:v>
                </c:pt>
                <c:pt idx="5">
                  <c:v>5.0787487088282433</c:v>
                </c:pt>
                <c:pt idx="6">
                  <c:v>4.765406586555021</c:v>
                </c:pt>
              </c:numCache>
            </c:numRef>
          </c:val>
          <c:smooth val="0"/>
          <c:extLst>
            <c:ext xmlns:c16="http://schemas.microsoft.com/office/drawing/2014/chart" uri="{C3380CC4-5D6E-409C-BE32-E72D297353CC}">
              <c16:uniqueId val="{00000004-C756-4159-BDB1-2BFCD8B3DB23}"/>
            </c:ext>
          </c:extLst>
        </c:ser>
        <c:ser>
          <c:idx val="0"/>
          <c:order val="5"/>
          <c:tx>
            <c:strRef>
              <c:f>'Graf 22'!$N$12</c:f>
              <c:strCache>
                <c:ptCount val="1"/>
                <c:pt idx="0">
                  <c:v>MoF forecast</c:v>
                </c:pt>
              </c:strCache>
            </c:strRef>
          </c:tx>
          <c:spPr>
            <a:ln w="19050">
              <a:solidFill>
                <a:sysClr val="windowText" lastClr="000000"/>
              </a:solidFill>
            </a:ln>
          </c:spPr>
          <c:marker>
            <c:symbol val="none"/>
          </c:marker>
          <c:cat>
            <c:numRef>
              <c:f>'Graf 22'!$P$7:$V$7</c:f>
              <c:numCache>
                <c:formatCode>General</c:formatCode>
                <c:ptCount val="7"/>
                <c:pt idx="0">
                  <c:v>2021</c:v>
                </c:pt>
                <c:pt idx="1">
                  <c:v>2022</c:v>
                </c:pt>
                <c:pt idx="2">
                  <c:v>2023</c:v>
                </c:pt>
                <c:pt idx="3">
                  <c:v>2024</c:v>
                </c:pt>
                <c:pt idx="4">
                  <c:v>2025</c:v>
                </c:pt>
                <c:pt idx="5">
                  <c:v>2026</c:v>
                </c:pt>
                <c:pt idx="6">
                  <c:v>2027</c:v>
                </c:pt>
              </c:numCache>
            </c:numRef>
          </c:cat>
          <c:val>
            <c:numRef>
              <c:f>'Graf 22'!$P$12:$V$12</c:f>
              <c:numCache>
                <c:formatCode>0.0</c:formatCode>
                <c:ptCount val="7"/>
                <c:pt idx="0">
                  <c:v>5.4566147343907145</c:v>
                </c:pt>
                <c:pt idx="1">
                  <c:v>11.239179465439845</c:v>
                </c:pt>
                <c:pt idx="2">
                  <c:v>8.3809097312818395</c:v>
                </c:pt>
                <c:pt idx="3">
                  <c:v>6.171691605995048</c:v>
                </c:pt>
                <c:pt idx="4">
                  <c:v>6.0822149754171875</c:v>
                </c:pt>
                <c:pt idx="5">
                  <c:v>4.9204581721869536</c:v>
                </c:pt>
                <c:pt idx="6">
                  <c:v>4.3604732692116466</c:v>
                </c:pt>
              </c:numCache>
            </c:numRef>
          </c:val>
          <c:smooth val="0"/>
          <c:extLst>
            <c:ext xmlns:c16="http://schemas.microsoft.com/office/drawing/2014/chart" uri="{C3380CC4-5D6E-409C-BE32-E72D297353CC}">
              <c16:uniqueId val="{00000005-C756-4159-BDB1-2BFCD8B3DB23}"/>
            </c:ext>
          </c:extLst>
        </c:ser>
        <c:dLbls>
          <c:showLegendKey val="0"/>
          <c:showVal val="0"/>
          <c:showCatName val="0"/>
          <c:showSerName val="0"/>
          <c:showPercent val="0"/>
          <c:showBubbleSize val="0"/>
        </c:dLbls>
        <c:marker val="1"/>
        <c:smooth val="0"/>
        <c:axId val="489914456"/>
        <c:axId val="489916024"/>
      </c:lineChart>
      <c:catAx>
        <c:axId val="489914456"/>
        <c:scaling>
          <c:orientation val="minMax"/>
        </c:scaling>
        <c:delete val="0"/>
        <c:axPos val="b"/>
        <c:numFmt formatCode="General" sourceLinked="0"/>
        <c:majorTickMark val="none"/>
        <c:minorTickMark val="none"/>
        <c:tickLblPos val="low"/>
        <c:spPr>
          <a:ln w="12700">
            <a:solidFill>
              <a:srgbClr val="676868"/>
            </a:solidFill>
          </a:ln>
        </c:spPr>
        <c:txPr>
          <a:bodyPr rot="0" vert="horz"/>
          <a:lstStyle/>
          <a:p>
            <a:pPr>
              <a:defRPr/>
            </a:pPr>
            <a:endParaRPr lang="sk-SK"/>
          </a:p>
        </c:txPr>
        <c:crossAx val="489916024"/>
        <c:crosses val="autoZero"/>
        <c:auto val="1"/>
        <c:lblAlgn val="ctr"/>
        <c:lblOffset val="100"/>
        <c:noMultiLvlLbl val="0"/>
      </c:catAx>
      <c:valAx>
        <c:axId val="48991602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txPr>
          <a:bodyPr rot="0" vert="horz"/>
          <a:lstStyle/>
          <a:p>
            <a:pPr>
              <a:defRPr/>
            </a:pPr>
            <a:endParaRPr lang="sk-SK"/>
          </a:p>
        </c:txPr>
        <c:crossAx val="489914456"/>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5398204564034443"/>
          <c:y val="0.6862266807017291"/>
          <c:w val="0.19770420173187936"/>
          <c:h val="0.17946223336882156"/>
        </c:manualLayout>
      </c:layout>
      <c:overlay val="1"/>
    </c:legend>
    <c:plotVisOnly val="1"/>
    <c:dispBlanksAs val="gap"/>
    <c:showDLblsOverMax val="0"/>
  </c:chart>
  <c:spPr>
    <a:noFill/>
    <a:ln>
      <a:noFill/>
    </a:ln>
  </c:spPr>
  <c:txPr>
    <a:bodyPr/>
    <a:lstStyle/>
    <a:p>
      <a:pPr>
        <a:defRPr sz="1000" b="0" i="0" u="none" strike="noStrike" baseline="0">
          <a:solidFill>
            <a:sysClr val="windowText" lastClr="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349133537206939E-2"/>
          <c:y val="6.0294770845951945E-2"/>
          <c:w val="0.92565774719673799"/>
          <c:h val="0.73092744610281912"/>
        </c:manualLayout>
      </c:layout>
      <c:barChart>
        <c:barDir val="col"/>
        <c:grouping val="stacked"/>
        <c:varyColors val="0"/>
        <c:ser>
          <c:idx val="5"/>
          <c:order val="0"/>
          <c:tx>
            <c:strRef>
              <c:f>'Graf 1'!$D$4</c:f>
              <c:strCache>
                <c:ptCount val="1"/>
                <c:pt idx="0">
                  <c:v>Súkromná spotreba</c:v>
                </c:pt>
              </c:strCache>
            </c:strRef>
          </c:tx>
          <c:spPr>
            <a:solidFill>
              <a:srgbClr val="5B9BD5">
                <a:lumMod val="50000"/>
              </a:srgbClr>
            </a:solidFill>
            <a:ln>
              <a:noFill/>
            </a:ln>
            <a:effectLst/>
          </c:spPr>
          <c:invertIfNegative val="0"/>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1'!$G$4:$M$4</c:f>
              <c:numCache>
                <c:formatCode>0.0</c:formatCode>
                <c:ptCount val="7"/>
                <c:pt idx="0">
                  <c:v>1.4579723285199664</c:v>
                </c:pt>
                <c:pt idx="1">
                  <c:v>3.4222246123173532</c:v>
                </c:pt>
                <c:pt idx="2">
                  <c:v>-1.838505103639132</c:v>
                </c:pt>
                <c:pt idx="3">
                  <c:v>1.6265637276946849</c:v>
                </c:pt>
                <c:pt idx="4">
                  <c:v>0.79782474281455307</c:v>
                </c:pt>
                <c:pt idx="5">
                  <c:v>1.0305703060648195</c:v>
                </c:pt>
                <c:pt idx="6">
                  <c:v>1.2618981368547215</c:v>
                </c:pt>
              </c:numCache>
            </c:numRef>
          </c:val>
          <c:extLst>
            <c:ext xmlns:c16="http://schemas.microsoft.com/office/drawing/2014/chart" uri="{C3380CC4-5D6E-409C-BE32-E72D297353CC}">
              <c16:uniqueId val="{00000000-B434-4B00-8C98-846048C7FC44}"/>
            </c:ext>
          </c:extLst>
        </c:ser>
        <c:ser>
          <c:idx val="1"/>
          <c:order val="1"/>
          <c:tx>
            <c:strRef>
              <c:f>'Graf 1'!$D$5</c:f>
              <c:strCache>
                <c:ptCount val="1"/>
                <c:pt idx="0">
                  <c:v>Vládna spotreba</c:v>
                </c:pt>
              </c:strCache>
            </c:strRef>
          </c:tx>
          <c:spPr>
            <a:solidFill>
              <a:srgbClr val="2C9ADC"/>
            </a:solidFill>
            <a:ln>
              <a:noFill/>
            </a:ln>
            <a:effectLst/>
          </c:spPr>
          <c:invertIfNegative val="0"/>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1'!$G$5:$M$5</c:f>
              <c:numCache>
                <c:formatCode>0.0</c:formatCode>
                <c:ptCount val="7"/>
                <c:pt idx="0">
                  <c:v>0.77264619555017378</c:v>
                </c:pt>
                <c:pt idx="1">
                  <c:v>-0.8264788950378793</c:v>
                </c:pt>
                <c:pt idx="2">
                  <c:v>-0.11082971003218198</c:v>
                </c:pt>
                <c:pt idx="3">
                  <c:v>0.60135655212320882</c:v>
                </c:pt>
                <c:pt idx="4">
                  <c:v>1.7386254072402064E-2</c:v>
                </c:pt>
                <c:pt idx="5">
                  <c:v>-7.4274016080587063E-2</c:v>
                </c:pt>
                <c:pt idx="6">
                  <c:v>-3.6144854357725541E-2</c:v>
                </c:pt>
              </c:numCache>
            </c:numRef>
          </c:val>
          <c:extLst>
            <c:ext xmlns:c16="http://schemas.microsoft.com/office/drawing/2014/chart" uri="{C3380CC4-5D6E-409C-BE32-E72D297353CC}">
              <c16:uniqueId val="{00000001-B434-4B00-8C98-846048C7FC44}"/>
            </c:ext>
          </c:extLst>
        </c:ser>
        <c:ser>
          <c:idx val="4"/>
          <c:order val="2"/>
          <c:tx>
            <c:strRef>
              <c:f>'Graf 1'!$D$6</c:f>
              <c:strCache>
                <c:ptCount val="1"/>
                <c:pt idx="0">
                  <c:v>Investície</c:v>
                </c:pt>
              </c:strCache>
            </c:strRef>
          </c:tx>
          <c:spPr>
            <a:solidFill>
              <a:schemeClr val="accent5"/>
            </a:solidFill>
            <a:ln>
              <a:noFill/>
            </a:ln>
            <a:effectLst/>
          </c:spPr>
          <c:invertIfNegative val="0"/>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1'!$G$6:$M$6</c:f>
              <c:numCache>
                <c:formatCode>0.0</c:formatCode>
                <c:ptCount val="7"/>
                <c:pt idx="0">
                  <c:v>0.70043167780184712</c:v>
                </c:pt>
                <c:pt idx="1">
                  <c:v>1.1230305361006101</c:v>
                </c:pt>
                <c:pt idx="2">
                  <c:v>2.1707207722862654</c:v>
                </c:pt>
                <c:pt idx="3">
                  <c:v>-5.938751395789249E-2</c:v>
                </c:pt>
                <c:pt idx="4">
                  <c:v>2.3044764132708617</c:v>
                </c:pt>
                <c:pt idx="5">
                  <c:v>8.4198977890627219E-2</c:v>
                </c:pt>
                <c:pt idx="6">
                  <c:v>-1.1280794793771114</c:v>
                </c:pt>
              </c:numCache>
            </c:numRef>
          </c:val>
          <c:extLst>
            <c:ext xmlns:c16="http://schemas.microsoft.com/office/drawing/2014/chart" uri="{C3380CC4-5D6E-409C-BE32-E72D297353CC}">
              <c16:uniqueId val="{00000002-B434-4B00-8C98-846048C7FC44}"/>
            </c:ext>
          </c:extLst>
        </c:ser>
        <c:ser>
          <c:idx val="2"/>
          <c:order val="3"/>
          <c:tx>
            <c:strRef>
              <c:f>'Graf 1'!$D$7</c:f>
              <c:strCache>
                <c:ptCount val="1"/>
                <c:pt idx="0">
                  <c:v>Čistý export</c:v>
                </c:pt>
              </c:strCache>
            </c:strRef>
          </c:tx>
          <c:spPr>
            <a:solidFill>
              <a:schemeClr val="accent3"/>
            </a:solidFill>
            <a:ln>
              <a:noFill/>
            </a:ln>
            <a:effectLst/>
          </c:spPr>
          <c:invertIfNegative val="0"/>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1'!$G$7:$M$7</c:f>
              <c:numCache>
                <c:formatCode>0.0</c:formatCode>
                <c:ptCount val="7"/>
                <c:pt idx="0">
                  <c:v>-0.72584369411162819</c:v>
                </c:pt>
                <c:pt idx="1">
                  <c:v>-1.0554468524726361</c:v>
                </c:pt>
                <c:pt idx="2">
                  <c:v>5.9019822723265127</c:v>
                </c:pt>
                <c:pt idx="3">
                  <c:v>-2.4800073612235649</c:v>
                </c:pt>
                <c:pt idx="4">
                  <c:v>-2.4597821949542955</c:v>
                </c:pt>
                <c:pt idx="5">
                  <c:v>1.3176060384498212</c:v>
                </c:pt>
                <c:pt idx="6">
                  <c:v>0.94679443638247074</c:v>
                </c:pt>
              </c:numCache>
            </c:numRef>
          </c:val>
          <c:extLst>
            <c:ext xmlns:c16="http://schemas.microsoft.com/office/drawing/2014/chart" uri="{C3380CC4-5D6E-409C-BE32-E72D297353CC}">
              <c16:uniqueId val="{00000003-B434-4B00-8C98-846048C7FC44}"/>
            </c:ext>
          </c:extLst>
        </c:ser>
        <c:ser>
          <c:idx val="3"/>
          <c:order val="4"/>
          <c:tx>
            <c:strRef>
              <c:f>'Graf 1'!$D$8</c:f>
              <c:strCache>
                <c:ptCount val="1"/>
                <c:pt idx="0">
                  <c:v>Zásoby a št. disk.</c:v>
                </c:pt>
              </c:strCache>
            </c:strRef>
          </c:tx>
          <c:spPr>
            <a:solidFill>
              <a:srgbClr val="686767"/>
            </a:solidFill>
            <a:ln>
              <a:noFill/>
            </a:ln>
            <a:effectLst/>
          </c:spPr>
          <c:invertIfNegative val="0"/>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1'!$G$8:$M$8</c:f>
              <c:numCache>
                <c:formatCode>0.0</c:formatCode>
                <c:ptCount val="7"/>
                <c:pt idx="0">
                  <c:v>2.5660149167428221</c:v>
                </c:pt>
                <c:pt idx="1">
                  <c:v>-0.79329320219726285</c:v>
                </c:pt>
                <c:pt idx="2">
                  <c:v>-4.5269132597900796</c:v>
                </c:pt>
                <c:pt idx="3">
                  <c:v>2.6116357754605612</c:v>
                </c:pt>
                <c:pt idx="4">
                  <c:v>1.5638836330604162</c:v>
                </c:pt>
                <c:pt idx="5">
                  <c:v>-5.9764914834737052E-9</c:v>
                </c:pt>
                <c:pt idx="6">
                  <c:v>-1.3151025836028482E-8</c:v>
                </c:pt>
              </c:numCache>
            </c:numRef>
          </c:val>
          <c:extLst>
            <c:ext xmlns:c16="http://schemas.microsoft.com/office/drawing/2014/chart" uri="{C3380CC4-5D6E-409C-BE32-E72D297353CC}">
              <c16:uniqueId val="{00000004-B434-4B00-8C98-846048C7FC44}"/>
            </c:ext>
          </c:extLst>
        </c:ser>
        <c:dLbls>
          <c:showLegendKey val="0"/>
          <c:showVal val="0"/>
          <c:showCatName val="0"/>
          <c:showSerName val="0"/>
          <c:showPercent val="0"/>
          <c:showBubbleSize val="0"/>
        </c:dLbls>
        <c:gapWidth val="150"/>
        <c:overlap val="100"/>
        <c:axId val="557539920"/>
        <c:axId val="561011080"/>
      </c:barChart>
      <c:lineChart>
        <c:grouping val="stacked"/>
        <c:varyColors val="0"/>
        <c:ser>
          <c:idx val="0"/>
          <c:order val="5"/>
          <c:tx>
            <c:strRef>
              <c:f>'Graf 1'!$D$9</c:f>
              <c:strCache>
                <c:ptCount val="1"/>
                <c:pt idx="0">
                  <c:v>Rast HDP</c:v>
                </c:pt>
              </c:strCache>
            </c:strRef>
          </c:tx>
          <c:spPr>
            <a:ln w="19050" cap="rnd">
              <a:solidFill>
                <a:sysClr val="windowText" lastClr="000000"/>
              </a:solidFill>
              <a:round/>
            </a:ln>
            <a:effectLst/>
          </c:spPr>
          <c:marker>
            <c:symbol val="circle"/>
            <c:size val="5"/>
            <c:spPr>
              <a:solidFill>
                <a:sysClr val="windowText" lastClr="000000"/>
              </a:solidFill>
              <a:ln w="12700">
                <a:noFill/>
              </a:ln>
              <a:effectLst/>
            </c:spPr>
          </c:marker>
          <c:dLbls>
            <c:dLbl>
              <c:idx val="0"/>
              <c:layout>
                <c:manualLayout>
                  <c:x val="-4.721900385549424E-2"/>
                  <c:y val="-3.4301176564911509E-2"/>
                </c:manualLayout>
              </c:layout>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34-4B00-8C98-846048C7FC44}"/>
                </c:ext>
              </c:extLst>
            </c:dLbl>
            <c:dLbl>
              <c:idx val="1"/>
              <c:layout>
                <c:manualLayout>
                  <c:x val="-5.1758144649765331E-2"/>
                  <c:y val="-9.5394359704155052E-2"/>
                </c:manualLayout>
              </c:layout>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34-4B00-8C98-846048C7FC44}"/>
                </c:ext>
              </c:extLst>
            </c:dLbl>
            <c:dLbl>
              <c:idx val="3"/>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7-B434-4B00-8C98-846048C7FC44}"/>
                </c:ext>
              </c:extLst>
            </c:dLbl>
            <c:dLbl>
              <c:idx val="4"/>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8-B434-4B00-8C98-846048C7FC44}"/>
                </c:ext>
              </c:extLst>
            </c:dLbl>
            <c:dLbl>
              <c:idx val="5"/>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9-B434-4B00-8C98-846048C7FC44}"/>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1'!$G$3:$M$3</c:f>
              <c:numCache>
                <c:formatCode>General</c:formatCode>
                <c:ptCount val="7"/>
                <c:pt idx="0">
                  <c:v>2021</c:v>
                </c:pt>
                <c:pt idx="1">
                  <c:v>2022</c:v>
                </c:pt>
                <c:pt idx="2">
                  <c:v>2023</c:v>
                </c:pt>
                <c:pt idx="3">
                  <c:v>2024</c:v>
                </c:pt>
                <c:pt idx="4">
                  <c:v>2025</c:v>
                </c:pt>
                <c:pt idx="5">
                  <c:v>2026</c:v>
                </c:pt>
                <c:pt idx="6">
                  <c:v>2027</c:v>
                </c:pt>
              </c:numCache>
            </c:numRef>
          </c:cat>
          <c:val>
            <c:numRef>
              <c:f>'Graf 1'!$G$9:$M$9</c:f>
              <c:numCache>
                <c:formatCode>0.0</c:formatCode>
                <c:ptCount val="7"/>
                <c:pt idx="0">
                  <c:v>4.7712214245031692</c:v>
                </c:pt>
                <c:pt idx="1">
                  <c:v>1.8700361987101788</c:v>
                </c:pt>
                <c:pt idx="2">
                  <c:v>1.5964549711513953</c:v>
                </c:pt>
                <c:pt idx="3">
                  <c:v>2.3001611800970156</c:v>
                </c:pt>
                <c:pt idx="4">
                  <c:v>2.2237888482639301</c:v>
                </c:pt>
                <c:pt idx="5">
                  <c:v>2.3581013003481921</c:v>
                </c:pt>
                <c:pt idx="6">
                  <c:v>1.0444682263513361</c:v>
                </c:pt>
              </c:numCache>
            </c:numRef>
          </c:val>
          <c:smooth val="0"/>
          <c:extLst>
            <c:ext xmlns:c16="http://schemas.microsoft.com/office/drawing/2014/chart" uri="{C3380CC4-5D6E-409C-BE32-E72D297353CC}">
              <c16:uniqueId val="{0000000A-B434-4B00-8C98-846048C7FC44}"/>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b"/>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valAx>
      <c:spPr>
        <a:noFill/>
        <a:ln>
          <a:noFill/>
        </a:ln>
        <a:effectLst/>
      </c:spPr>
    </c:plotArea>
    <c:legend>
      <c:legendPos val="b"/>
      <c:layout>
        <c:manualLayout>
          <c:xMode val="edge"/>
          <c:yMode val="edge"/>
          <c:x val="4.169191919191919E-2"/>
          <c:y val="0.86819527363184079"/>
          <c:w val="0.95830808080808072"/>
          <c:h val="0.1062786069651741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349133537206939E-2"/>
          <c:y val="6.0294770845951945E-2"/>
          <c:w val="0.92565774719673799"/>
          <c:h val="0.73092744610281912"/>
        </c:manualLayout>
      </c:layout>
      <c:barChart>
        <c:barDir val="col"/>
        <c:grouping val="stacked"/>
        <c:varyColors val="0"/>
        <c:ser>
          <c:idx val="5"/>
          <c:order val="0"/>
          <c:tx>
            <c:strRef>
              <c:f>'Graf 1'!$D$31</c:f>
              <c:strCache>
                <c:ptCount val="1"/>
                <c:pt idx="0">
                  <c:v>Private consumption</c:v>
                </c:pt>
              </c:strCache>
            </c:strRef>
          </c:tx>
          <c:spPr>
            <a:solidFill>
              <a:srgbClr val="5B9BD5">
                <a:lumMod val="50000"/>
              </a:srgbClr>
            </a:solidFill>
            <a:ln>
              <a:noFill/>
            </a:ln>
            <a:effectLst/>
          </c:spPr>
          <c:invertIfNegative val="0"/>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1'!$E$31:$L$31</c:f>
              <c:numCache>
                <c:formatCode>0.0</c:formatCode>
                <c:ptCount val="8"/>
                <c:pt idx="0">
                  <c:v>1.5063755425606582</c:v>
                </c:pt>
                <c:pt idx="1">
                  <c:v>-0.62816263366429981</c:v>
                </c:pt>
                <c:pt idx="2">
                  <c:v>1.4579723285199664</c:v>
                </c:pt>
                <c:pt idx="3">
                  <c:v>3.4222246123173532</c:v>
                </c:pt>
                <c:pt idx="4">
                  <c:v>-1.838505103639132</c:v>
                </c:pt>
                <c:pt idx="5">
                  <c:v>1.6265637276946849</c:v>
                </c:pt>
                <c:pt idx="6">
                  <c:v>0.79782474281455307</c:v>
                </c:pt>
                <c:pt idx="7">
                  <c:v>1.0305703060648195</c:v>
                </c:pt>
              </c:numCache>
            </c:numRef>
          </c:val>
          <c:extLst>
            <c:ext xmlns:c16="http://schemas.microsoft.com/office/drawing/2014/chart" uri="{C3380CC4-5D6E-409C-BE32-E72D297353CC}">
              <c16:uniqueId val="{00000000-62F5-4559-B20E-5F289C46DADA}"/>
            </c:ext>
          </c:extLst>
        </c:ser>
        <c:ser>
          <c:idx val="1"/>
          <c:order val="1"/>
          <c:tx>
            <c:strRef>
              <c:f>'Graf 1'!$D$32</c:f>
              <c:strCache>
                <c:ptCount val="1"/>
                <c:pt idx="0">
                  <c:v>Government consumption</c:v>
                </c:pt>
              </c:strCache>
            </c:strRef>
          </c:tx>
          <c:spPr>
            <a:solidFill>
              <a:srgbClr val="2C9ADC"/>
            </a:solidFill>
            <a:ln>
              <a:noFill/>
            </a:ln>
            <a:effectLst/>
          </c:spPr>
          <c:invertIfNegative val="0"/>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1'!$E$32:$L$32</c:f>
              <c:numCache>
                <c:formatCode>0.0</c:formatCode>
                <c:ptCount val="8"/>
                <c:pt idx="0">
                  <c:v>0.79727249521012211</c:v>
                </c:pt>
                <c:pt idx="1">
                  <c:v>-0.10861819956220259</c:v>
                </c:pt>
                <c:pt idx="2">
                  <c:v>0.77264619555017378</c:v>
                </c:pt>
                <c:pt idx="3">
                  <c:v>-0.8264788950378793</c:v>
                </c:pt>
                <c:pt idx="4">
                  <c:v>-0.11082971003218198</c:v>
                </c:pt>
                <c:pt idx="5">
                  <c:v>0.60135655212320882</c:v>
                </c:pt>
                <c:pt idx="6">
                  <c:v>1.7386254072402064E-2</c:v>
                </c:pt>
                <c:pt idx="7">
                  <c:v>-7.4274016080587063E-2</c:v>
                </c:pt>
              </c:numCache>
            </c:numRef>
          </c:val>
          <c:extLst>
            <c:ext xmlns:c16="http://schemas.microsoft.com/office/drawing/2014/chart" uri="{C3380CC4-5D6E-409C-BE32-E72D297353CC}">
              <c16:uniqueId val="{00000001-62F5-4559-B20E-5F289C46DADA}"/>
            </c:ext>
          </c:extLst>
        </c:ser>
        <c:ser>
          <c:idx val="4"/>
          <c:order val="2"/>
          <c:tx>
            <c:strRef>
              <c:f>'Graf 1'!$D$33</c:f>
              <c:strCache>
                <c:ptCount val="1"/>
                <c:pt idx="0">
                  <c:v>Fixed investment</c:v>
                </c:pt>
              </c:strCache>
            </c:strRef>
          </c:tx>
          <c:spPr>
            <a:solidFill>
              <a:schemeClr val="accent5"/>
            </a:solidFill>
            <a:ln>
              <a:noFill/>
            </a:ln>
            <a:effectLst/>
          </c:spPr>
          <c:invertIfNegative val="0"/>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1'!$E$33:$L$33</c:f>
              <c:numCache>
                <c:formatCode>0.0</c:formatCode>
                <c:ptCount val="8"/>
                <c:pt idx="0">
                  <c:v>1.4000152299334114</c:v>
                </c:pt>
                <c:pt idx="1">
                  <c:v>-2.3539560184226165</c:v>
                </c:pt>
                <c:pt idx="2">
                  <c:v>0.70043167780184712</c:v>
                </c:pt>
                <c:pt idx="3">
                  <c:v>1.1230305361006101</c:v>
                </c:pt>
                <c:pt idx="4">
                  <c:v>2.1707207722862654</c:v>
                </c:pt>
                <c:pt idx="5">
                  <c:v>-5.938751395789249E-2</c:v>
                </c:pt>
                <c:pt idx="6">
                  <c:v>2.3044764132708617</c:v>
                </c:pt>
                <c:pt idx="7">
                  <c:v>8.4198977890627219E-2</c:v>
                </c:pt>
              </c:numCache>
            </c:numRef>
          </c:val>
          <c:extLst>
            <c:ext xmlns:c16="http://schemas.microsoft.com/office/drawing/2014/chart" uri="{C3380CC4-5D6E-409C-BE32-E72D297353CC}">
              <c16:uniqueId val="{00000002-62F5-4559-B20E-5F289C46DADA}"/>
            </c:ext>
          </c:extLst>
        </c:ser>
        <c:ser>
          <c:idx val="2"/>
          <c:order val="3"/>
          <c:tx>
            <c:strRef>
              <c:f>'Graf 1'!$D$34</c:f>
              <c:strCache>
                <c:ptCount val="1"/>
                <c:pt idx="0">
                  <c:v>Net export</c:v>
                </c:pt>
              </c:strCache>
            </c:strRef>
          </c:tx>
          <c:spPr>
            <a:solidFill>
              <a:schemeClr val="accent3"/>
            </a:solidFill>
            <a:ln>
              <a:noFill/>
            </a:ln>
            <a:effectLst/>
          </c:spPr>
          <c:invertIfNegative val="0"/>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1'!$E$34:$L$34</c:f>
              <c:numCache>
                <c:formatCode>0.0</c:formatCode>
                <c:ptCount val="8"/>
                <c:pt idx="0">
                  <c:v>-1.2653237200542451</c:v>
                </c:pt>
                <c:pt idx="1">
                  <c:v>1.5329622617637559</c:v>
                </c:pt>
                <c:pt idx="2">
                  <c:v>-0.72584369411162819</c:v>
                </c:pt>
                <c:pt idx="3">
                  <c:v>-1.0554468524726361</c:v>
                </c:pt>
                <c:pt idx="4">
                  <c:v>5.9019822723265127</c:v>
                </c:pt>
                <c:pt idx="5">
                  <c:v>-2.4800073612235649</c:v>
                </c:pt>
                <c:pt idx="6">
                  <c:v>-2.4597821949542955</c:v>
                </c:pt>
                <c:pt idx="7">
                  <c:v>1.3176060384498212</c:v>
                </c:pt>
              </c:numCache>
            </c:numRef>
          </c:val>
          <c:extLst>
            <c:ext xmlns:c16="http://schemas.microsoft.com/office/drawing/2014/chart" uri="{C3380CC4-5D6E-409C-BE32-E72D297353CC}">
              <c16:uniqueId val="{00000003-62F5-4559-B20E-5F289C46DADA}"/>
            </c:ext>
          </c:extLst>
        </c:ser>
        <c:ser>
          <c:idx val="3"/>
          <c:order val="4"/>
          <c:tx>
            <c:strRef>
              <c:f>'Graf 1'!$D$35</c:f>
              <c:strCache>
                <c:ptCount val="1"/>
                <c:pt idx="0">
                  <c:v>Inventories</c:v>
                </c:pt>
              </c:strCache>
            </c:strRef>
          </c:tx>
          <c:spPr>
            <a:solidFill>
              <a:srgbClr val="686767"/>
            </a:solidFill>
            <a:ln>
              <a:noFill/>
            </a:ln>
            <a:effectLst/>
          </c:spPr>
          <c:invertIfNegative val="0"/>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1'!$E$35:$L$35</c:f>
              <c:numCache>
                <c:formatCode>0.0</c:formatCode>
                <c:ptCount val="8"/>
                <c:pt idx="0">
                  <c:v>7.29166501138276E-2</c:v>
                </c:pt>
                <c:pt idx="1">
                  <c:v>-1.771948619778694</c:v>
                </c:pt>
                <c:pt idx="2">
                  <c:v>2.5660149167428221</c:v>
                </c:pt>
                <c:pt idx="3">
                  <c:v>-0.79329320219726285</c:v>
                </c:pt>
                <c:pt idx="4">
                  <c:v>-4.5269132597900796</c:v>
                </c:pt>
                <c:pt idx="5">
                  <c:v>2.6116357754605612</c:v>
                </c:pt>
                <c:pt idx="6">
                  <c:v>1.5638836330604162</c:v>
                </c:pt>
                <c:pt idx="7">
                  <c:v>-5.9764914834737052E-9</c:v>
                </c:pt>
              </c:numCache>
            </c:numRef>
          </c:val>
          <c:extLst>
            <c:ext xmlns:c16="http://schemas.microsoft.com/office/drawing/2014/chart" uri="{C3380CC4-5D6E-409C-BE32-E72D297353CC}">
              <c16:uniqueId val="{00000004-62F5-4559-B20E-5F289C46DADA}"/>
            </c:ext>
          </c:extLst>
        </c:ser>
        <c:dLbls>
          <c:showLegendKey val="0"/>
          <c:showVal val="0"/>
          <c:showCatName val="0"/>
          <c:showSerName val="0"/>
          <c:showPercent val="0"/>
          <c:showBubbleSize val="0"/>
        </c:dLbls>
        <c:gapWidth val="150"/>
        <c:overlap val="100"/>
        <c:axId val="557539920"/>
        <c:axId val="561011080"/>
      </c:barChart>
      <c:lineChart>
        <c:grouping val="stacked"/>
        <c:varyColors val="0"/>
        <c:ser>
          <c:idx val="0"/>
          <c:order val="5"/>
          <c:tx>
            <c:strRef>
              <c:f>'Graf 1'!$D$36</c:f>
              <c:strCache>
                <c:ptCount val="1"/>
                <c:pt idx="0">
                  <c:v>GDP growth</c:v>
                </c:pt>
              </c:strCache>
            </c:strRef>
          </c:tx>
          <c:spPr>
            <a:ln w="19050" cap="rnd">
              <a:solidFill>
                <a:sysClr val="windowText" lastClr="000000"/>
              </a:solidFill>
              <a:round/>
            </a:ln>
            <a:effectLst/>
          </c:spPr>
          <c:marker>
            <c:symbol val="circle"/>
            <c:size val="5"/>
            <c:spPr>
              <a:solidFill>
                <a:sysClr val="windowText" lastClr="000000"/>
              </a:solidFill>
              <a:ln w="12700">
                <a:noFill/>
              </a:ln>
              <a:effectLst/>
            </c:spPr>
          </c:marker>
          <c:dLbls>
            <c:dLbl>
              <c:idx val="0"/>
              <c:layout>
                <c:manualLayout>
                  <c:x val="-4.721900385549424E-2"/>
                  <c:y val="-3.4301176564911509E-2"/>
                </c:manualLayout>
              </c:layout>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F5-4559-B20E-5F289C46DADA}"/>
                </c:ext>
              </c:extLst>
            </c:dLbl>
            <c:dLbl>
              <c:idx val="1"/>
              <c:layout>
                <c:manualLayout>
                  <c:x val="-5.1758144649765331E-2"/>
                  <c:y val="-9.0303261109218089E-2"/>
                </c:manualLayout>
              </c:layout>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F5-4559-B20E-5F289C46DADA}"/>
                </c:ext>
              </c:extLst>
            </c:dLbl>
            <c:dLbl>
              <c:idx val="3"/>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7-62F5-4559-B20E-5F289C46DADA}"/>
                </c:ext>
              </c:extLst>
            </c:dLbl>
            <c:dLbl>
              <c:idx val="4"/>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8-62F5-4559-B20E-5F289C46DADA}"/>
                </c:ext>
              </c:extLst>
            </c:dLbl>
            <c:dLbl>
              <c:idx val="5"/>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9-62F5-4559-B20E-5F289C46DAD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1'!$E$3:$L$3</c:f>
              <c:numCache>
                <c:formatCode>General</c:formatCode>
                <c:ptCount val="8"/>
                <c:pt idx="0">
                  <c:v>2019</c:v>
                </c:pt>
                <c:pt idx="1">
                  <c:v>2020</c:v>
                </c:pt>
                <c:pt idx="2">
                  <c:v>2021</c:v>
                </c:pt>
                <c:pt idx="3">
                  <c:v>2022</c:v>
                </c:pt>
                <c:pt idx="4">
                  <c:v>2023</c:v>
                </c:pt>
                <c:pt idx="5">
                  <c:v>2024</c:v>
                </c:pt>
                <c:pt idx="6">
                  <c:v>2025</c:v>
                </c:pt>
                <c:pt idx="7">
                  <c:v>2026</c:v>
                </c:pt>
              </c:numCache>
            </c:numRef>
          </c:cat>
          <c:val>
            <c:numRef>
              <c:f>'Graf 1'!$E$36:$L$36</c:f>
              <c:numCache>
                <c:formatCode>0.0</c:formatCode>
                <c:ptCount val="8"/>
                <c:pt idx="0">
                  <c:v>2.511256197763756</c:v>
                </c:pt>
                <c:pt idx="1">
                  <c:v>-3.3297232096640594</c:v>
                </c:pt>
                <c:pt idx="2">
                  <c:v>4.7712214245031692</c:v>
                </c:pt>
                <c:pt idx="3">
                  <c:v>1.8700361987101788</c:v>
                </c:pt>
                <c:pt idx="4">
                  <c:v>1.5964549711513953</c:v>
                </c:pt>
                <c:pt idx="5">
                  <c:v>2.3001611800970156</c:v>
                </c:pt>
                <c:pt idx="6">
                  <c:v>2.2237888482639301</c:v>
                </c:pt>
                <c:pt idx="7">
                  <c:v>2.3581013003481921</c:v>
                </c:pt>
              </c:numCache>
            </c:numRef>
          </c:val>
          <c:smooth val="0"/>
          <c:extLst>
            <c:ext xmlns:c16="http://schemas.microsoft.com/office/drawing/2014/chart" uri="{C3380CC4-5D6E-409C-BE32-E72D297353CC}">
              <c16:uniqueId val="{0000000A-62F5-4559-B20E-5F289C46DADA}"/>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b"/>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valAx>
      <c:spPr>
        <a:noFill/>
        <a:ln>
          <a:noFill/>
        </a:ln>
        <a:effectLst/>
      </c:spPr>
    </c:plotArea>
    <c:legend>
      <c:legendPos val="b"/>
      <c:layout>
        <c:manualLayout>
          <c:xMode val="edge"/>
          <c:yMode val="edge"/>
          <c:x val="4.169191919191919E-2"/>
          <c:y val="0.86819527363184079"/>
          <c:w val="0.95830808080808072"/>
          <c:h val="0.1062786069651741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349133537206939E-2"/>
          <c:y val="6.0294770845951945E-2"/>
          <c:w val="0.92565774719673799"/>
          <c:h val="0.73092744610281912"/>
        </c:manualLayout>
      </c:layout>
      <c:barChart>
        <c:barDir val="col"/>
        <c:grouping val="stacked"/>
        <c:varyColors val="0"/>
        <c:ser>
          <c:idx val="5"/>
          <c:order val="0"/>
          <c:tx>
            <c:strRef>
              <c:f>'Graf 2'!$D$4</c:f>
              <c:strCache>
                <c:ptCount val="1"/>
                <c:pt idx="0">
                  <c:v>EÚ fondy</c:v>
                </c:pt>
              </c:strCache>
            </c:strRef>
          </c:tx>
          <c:spPr>
            <a:solidFill>
              <a:srgbClr val="5B9BD5">
                <a:lumMod val="50000"/>
              </a:srgbClr>
            </a:solidFill>
            <a:ln>
              <a:noFill/>
            </a:ln>
            <a:effectLst/>
          </c:spPr>
          <c:invertIfNegative val="0"/>
          <c:cat>
            <c:numRef>
              <c:f>'Graf 2'!$E$3:$K$3</c:f>
              <c:numCache>
                <c:formatCode>General</c:formatCode>
                <c:ptCount val="7"/>
                <c:pt idx="0">
                  <c:v>2021</c:v>
                </c:pt>
                <c:pt idx="1">
                  <c:v>2022</c:v>
                </c:pt>
                <c:pt idx="2">
                  <c:v>2023</c:v>
                </c:pt>
                <c:pt idx="3">
                  <c:v>2024</c:v>
                </c:pt>
                <c:pt idx="4">
                  <c:v>2025</c:v>
                </c:pt>
                <c:pt idx="5">
                  <c:v>2026</c:v>
                </c:pt>
                <c:pt idx="6">
                  <c:v>2027</c:v>
                </c:pt>
              </c:numCache>
            </c:numRef>
          </c:cat>
          <c:val>
            <c:numRef>
              <c:f>'Graf 2'!$E$4:$K$4</c:f>
              <c:numCache>
                <c:formatCode>0.0</c:formatCode>
                <c:ptCount val="7"/>
                <c:pt idx="0">
                  <c:v>2366.3225701700003</c:v>
                </c:pt>
                <c:pt idx="1">
                  <c:v>2203.3151951699997</c:v>
                </c:pt>
                <c:pt idx="2">
                  <c:v>4555.8749231700003</c:v>
                </c:pt>
                <c:pt idx="3">
                  <c:v>2662.5483933500036</c:v>
                </c:pt>
                <c:pt idx="4">
                  <c:v>2480.6647464264552</c:v>
                </c:pt>
                <c:pt idx="5">
                  <c:v>2923.6729261375472</c:v>
                </c:pt>
                <c:pt idx="6">
                  <c:v>3121.5887247333344</c:v>
                </c:pt>
              </c:numCache>
            </c:numRef>
          </c:val>
          <c:extLst>
            <c:ext xmlns:c16="http://schemas.microsoft.com/office/drawing/2014/chart" uri="{C3380CC4-5D6E-409C-BE32-E72D297353CC}">
              <c16:uniqueId val="{00000000-5621-4D64-BDED-CDA6388B9B50}"/>
            </c:ext>
          </c:extLst>
        </c:ser>
        <c:ser>
          <c:idx val="1"/>
          <c:order val="1"/>
          <c:tx>
            <c:strRef>
              <c:f>'Graf 2'!$D$5</c:f>
              <c:strCache>
                <c:ptCount val="1"/>
                <c:pt idx="0">
                  <c:v>RRP</c:v>
                </c:pt>
              </c:strCache>
            </c:strRef>
          </c:tx>
          <c:spPr>
            <a:solidFill>
              <a:srgbClr val="686767">
                <a:lumMod val="40000"/>
                <a:lumOff val="60000"/>
              </a:srgbClr>
            </a:solidFill>
            <a:ln>
              <a:noFill/>
            </a:ln>
            <a:effectLst/>
          </c:spPr>
          <c:invertIfNegative val="0"/>
          <c:cat>
            <c:numRef>
              <c:f>'Graf 2'!$E$3:$K$3</c:f>
              <c:numCache>
                <c:formatCode>General</c:formatCode>
                <c:ptCount val="7"/>
                <c:pt idx="0">
                  <c:v>2021</c:v>
                </c:pt>
                <c:pt idx="1">
                  <c:v>2022</c:v>
                </c:pt>
                <c:pt idx="2">
                  <c:v>2023</c:v>
                </c:pt>
                <c:pt idx="3">
                  <c:v>2024</c:v>
                </c:pt>
                <c:pt idx="4">
                  <c:v>2025</c:v>
                </c:pt>
                <c:pt idx="5">
                  <c:v>2026</c:v>
                </c:pt>
                <c:pt idx="6">
                  <c:v>2027</c:v>
                </c:pt>
              </c:numCache>
            </c:numRef>
          </c:cat>
          <c:val>
            <c:numRef>
              <c:f>'Graf 2'!$E$5:$K$5</c:f>
              <c:numCache>
                <c:formatCode>0.0</c:formatCode>
                <c:ptCount val="7"/>
                <c:pt idx="0">
                  <c:v>6.07593885</c:v>
                </c:pt>
                <c:pt idx="1">
                  <c:v>49.047309489999996</c:v>
                </c:pt>
                <c:pt idx="2">
                  <c:v>358.88365780413449</c:v>
                </c:pt>
                <c:pt idx="3">
                  <c:v>629.66569976428138</c:v>
                </c:pt>
                <c:pt idx="4">
                  <c:v>2746.8790413725069</c:v>
                </c:pt>
                <c:pt idx="5">
                  <c:v>2587.4156990775095</c:v>
                </c:pt>
                <c:pt idx="6">
                  <c:v>0</c:v>
                </c:pt>
              </c:numCache>
            </c:numRef>
          </c:val>
          <c:extLst>
            <c:ext xmlns:c16="http://schemas.microsoft.com/office/drawing/2014/chart" uri="{C3380CC4-5D6E-409C-BE32-E72D297353CC}">
              <c16:uniqueId val="{00000001-5621-4D64-BDED-CDA6388B9B50}"/>
            </c:ext>
          </c:extLst>
        </c:ser>
        <c:dLbls>
          <c:showLegendKey val="0"/>
          <c:showVal val="0"/>
          <c:showCatName val="0"/>
          <c:showSerName val="0"/>
          <c:showPercent val="0"/>
          <c:showBubbleSize val="0"/>
        </c:dLbls>
        <c:gapWidth val="150"/>
        <c:overlap val="100"/>
        <c:axId val="557539920"/>
        <c:axId val="561011080"/>
      </c:barChart>
      <c:catAx>
        <c:axId val="557539920"/>
        <c:scaling>
          <c:orientation val="minMax"/>
        </c:scaling>
        <c:delete val="0"/>
        <c:axPos val="b"/>
        <c:numFmt formatCode="General" sourceLinked="1"/>
        <c:majorTickMark val="none"/>
        <c:minorTickMark val="none"/>
        <c:tickLblPos val="high"/>
        <c:spPr>
          <a:noFill/>
          <a:ln w="12700" cap="flat" cmpd="sng" algn="ctr">
            <a:solidFill>
              <a:srgbClr val="686767"/>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valAx>
      <c:spPr>
        <a:noFill/>
        <a:ln>
          <a:noFill/>
        </a:ln>
        <a:effectLst/>
      </c:spPr>
    </c:plotArea>
    <c:legend>
      <c:legendPos val="b"/>
      <c:layout>
        <c:manualLayout>
          <c:xMode val="edge"/>
          <c:yMode val="edge"/>
          <c:x val="4.169191919191919E-2"/>
          <c:y val="0.86819527363184079"/>
          <c:w val="0.95830808080808072"/>
          <c:h val="0.1062786069651741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349133537206939E-2"/>
          <c:y val="6.0294770845951945E-2"/>
          <c:w val="0.92565774719673799"/>
          <c:h val="0.73092744610281912"/>
        </c:manualLayout>
      </c:layout>
      <c:barChart>
        <c:barDir val="col"/>
        <c:grouping val="stacked"/>
        <c:varyColors val="0"/>
        <c:ser>
          <c:idx val="5"/>
          <c:order val="0"/>
          <c:tx>
            <c:strRef>
              <c:f>'Graf 2'!$D$24</c:f>
              <c:strCache>
                <c:ptCount val="1"/>
                <c:pt idx="0">
                  <c:v>EU funds - capital</c:v>
                </c:pt>
              </c:strCache>
            </c:strRef>
          </c:tx>
          <c:spPr>
            <a:solidFill>
              <a:srgbClr val="5B9BD5">
                <a:lumMod val="50000"/>
              </a:srgbClr>
            </a:solidFill>
            <a:ln>
              <a:noFill/>
            </a:ln>
            <a:effectLst/>
          </c:spPr>
          <c:invertIfNegative val="0"/>
          <c:cat>
            <c:numRef>
              <c:f>'Graf 2'!$E$3:$K$3</c:f>
              <c:numCache>
                <c:formatCode>General</c:formatCode>
                <c:ptCount val="7"/>
                <c:pt idx="0">
                  <c:v>2021</c:v>
                </c:pt>
                <c:pt idx="1">
                  <c:v>2022</c:v>
                </c:pt>
                <c:pt idx="2">
                  <c:v>2023</c:v>
                </c:pt>
                <c:pt idx="3">
                  <c:v>2024</c:v>
                </c:pt>
                <c:pt idx="4">
                  <c:v>2025</c:v>
                </c:pt>
                <c:pt idx="5">
                  <c:v>2026</c:v>
                </c:pt>
                <c:pt idx="6">
                  <c:v>2027</c:v>
                </c:pt>
              </c:numCache>
            </c:numRef>
          </c:cat>
          <c:val>
            <c:numRef>
              <c:f>'Graf 2'!$E$24:$K$24</c:f>
              <c:numCache>
                <c:formatCode>0.0</c:formatCode>
                <c:ptCount val="7"/>
                <c:pt idx="0">
                  <c:v>2366.3225701700003</c:v>
                </c:pt>
                <c:pt idx="1">
                  <c:v>2203.3151951699997</c:v>
                </c:pt>
                <c:pt idx="2">
                  <c:v>4555.8749231700003</c:v>
                </c:pt>
                <c:pt idx="3">
                  <c:v>2662.5483933500036</c:v>
                </c:pt>
                <c:pt idx="4">
                  <c:v>2480.6647464264552</c:v>
                </c:pt>
                <c:pt idx="5">
                  <c:v>2923.6729261375472</c:v>
                </c:pt>
                <c:pt idx="6">
                  <c:v>3121.5887247333344</c:v>
                </c:pt>
              </c:numCache>
            </c:numRef>
          </c:val>
          <c:extLst>
            <c:ext xmlns:c16="http://schemas.microsoft.com/office/drawing/2014/chart" uri="{C3380CC4-5D6E-409C-BE32-E72D297353CC}">
              <c16:uniqueId val="{00000000-2DC4-4874-87BE-28744AFD7264}"/>
            </c:ext>
          </c:extLst>
        </c:ser>
        <c:ser>
          <c:idx val="1"/>
          <c:order val="1"/>
          <c:tx>
            <c:strRef>
              <c:f>'Graf 2'!$D$25</c:f>
              <c:strCache>
                <c:ptCount val="1"/>
                <c:pt idx="0">
                  <c:v>RRF - other</c:v>
                </c:pt>
              </c:strCache>
            </c:strRef>
          </c:tx>
          <c:spPr>
            <a:solidFill>
              <a:srgbClr val="686767">
                <a:lumMod val="40000"/>
                <a:lumOff val="60000"/>
              </a:srgbClr>
            </a:solidFill>
            <a:ln>
              <a:noFill/>
            </a:ln>
            <a:effectLst/>
          </c:spPr>
          <c:invertIfNegative val="0"/>
          <c:cat>
            <c:numRef>
              <c:f>'Graf 2'!$E$3:$K$3</c:f>
              <c:numCache>
                <c:formatCode>General</c:formatCode>
                <c:ptCount val="7"/>
                <c:pt idx="0">
                  <c:v>2021</c:v>
                </c:pt>
                <c:pt idx="1">
                  <c:v>2022</c:v>
                </c:pt>
                <c:pt idx="2">
                  <c:v>2023</c:v>
                </c:pt>
                <c:pt idx="3">
                  <c:v>2024</c:v>
                </c:pt>
                <c:pt idx="4">
                  <c:v>2025</c:v>
                </c:pt>
                <c:pt idx="5">
                  <c:v>2026</c:v>
                </c:pt>
                <c:pt idx="6">
                  <c:v>2027</c:v>
                </c:pt>
              </c:numCache>
            </c:numRef>
          </c:cat>
          <c:val>
            <c:numRef>
              <c:f>'Graf 2'!$E$25:$K$25</c:f>
              <c:numCache>
                <c:formatCode>0.0</c:formatCode>
                <c:ptCount val="7"/>
                <c:pt idx="0">
                  <c:v>6.07593885</c:v>
                </c:pt>
                <c:pt idx="1">
                  <c:v>49.047309489999996</c:v>
                </c:pt>
                <c:pt idx="2">
                  <c:v>358.88365780413449</c:v>
                </c:pt>
                <c:pt idx="3">
                  <c:v>629.66569976428138</c:v>
                </c:pt>
                <c:pt idx="4">
                  <c:v>2746.8790413725069</c:v>
                </c:pt>
                <c:pt idx="5">
                  <c:v>2587.4156990775095</c:v>
                </c:pt>
                <c:pt idx="6">
                  <c:v>0</c:v>
                </c:pt>
              </c:numCache>
            </c:numRef>
          </c:val>
          <c:extLst>
            <c:ext xmlns:c16="http://schemas.microsoft.com/office/drawing/2014/chart" uri="{C3380CC4-5D6E-409C-BE32-E72D297353CC}">
              <c16:uniqueId val="{00000001-2DC4-4874-87BE-28744AFD7264}"/>
            </c:ext>
          </c:extLst>
        </c:ser>
        <c:dLbls>
          <c:showLegendKey val="0"/>
          <c:showVal val="0"/>
          <c:showCatName val="0"/>
          <c:showSerName val="0"/>
          <c:showPercent val="0"/>
          <c:showBubbleSize val="0"/>
        </c:dLbls>
        <c:gapWidth val="150"/>
        <c:overlap val="100"/>
        <c:axId val="557539920"/>
        <c:axId val="561011080"/>
      </c:barChart>
      <c:catAx>
        <c:axId val="557539920"/>
        <c:scaling>
          <c:orientation val="minMax"/>
        </c:scaling>
        <c:delete val="0"/>
        <c:axPos val="b"/>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valAx>
      <c:spPr>
        <a:noFill/>
        <a:ln>
          <a:noFill/>
        </a:ln>
        <a:effectLst/>
      </c:spPr>
    </c:plotArea>
    <c:legend>
      <c:legendPos val="b"/>
      <c:layout>
        <c:manualLayout>
          <c:xMode val="edge"/>
          <c:yMode val="edge"/>
          <c:x val="4.169191919191919E-2"/>
          <c:y val="0.86819527363184079"/>
          <c:w val="0.95830808080808072"/>
          <c:h val="0.1062786069651741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 3'!$E$4</c:f>
              <c:strCache>
                <c:ptCount val="1"/>
                <c:pt idx="0">
                  <c:v>Foreign workers employment</c:v>
                </c:pt>
              </c:strCache>
            </c:strRef>
          </c:tx>
          <c:spPr>
            <a:solidFill>
              <a:schemeClr val="bg1">
                <a:lumMod val="75000"/>
              </a:schemeClr>
            </a:solidFill>
            <a:ln>
              <a:noFill/>
            </a:ln>
            <a:effectLst/>
          </c:spPr>
          <c:invertIfNegative val="0"/>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3'!$F$4:$L$4</c:f>
              <c:numCache>
                <c:formatCode>0.0</c:formatCode>
                <c:ptCount val="7"/>
                <c:pt idx="0">
                  <c:v>0.47827472966396839</c:v>
                </c:pt>
                <c:pt idx="1">
                  <c:v>0.70462123094124873</c:v>
                </c:pt>
                <c:pt idx="2">
                  <c:v>0.38353783845742334</c:v>
                </c:pt>
                <c:pt idx="3">
                  <c:v>0.58921551942395933</c:v>
                </c:pt>
                <c:pt idx="4">
                  <c:v>0.37288490807704483</c:v>
                </c:pt>
                <c:pt idx="5">
                  <c:v>0.25708584522012295</c:v>
                </c:pt>
                <c:pt idx="6">
                  <c:v>0.23028323467269565</c:v>
                </c:pt>
              </c:numCache>
            </c:numRef>
          </c:val>
          <c:extLst>
            <c:ext xmlns:c16="http://schemas.microsoft.com/office/drawing/2014/chart" uri="{C3380CC4-5D6E-409C-BE32-E72D297353CC}">
              <c16:uniqueId val="{00000000-7B84-4B4A-8AC4-02208C62C2D0}"/>
            </c:ext>
          </c:extLst>
        </c:ser>
        <c:ser>
          <c:idx val="1"/>
          <c:order val="1"/>
          <c:tx>
            <c:strRef>
              <c:f>'Graf 3'!$E$5</c:f>
              <c:strCache>
                <c:ptCount val="1"/>
                <c:pt idx="0">
                  <c:v>Domestic employment</c:v>
                </c:pt>
              </c:strCache>
            </c:strRef>
          </c:tx>
          <c:spPr>
            <a:solidFill>
              <a:srgbClr val="2C9ADC"/>
            </a:solidFill>
            <a:ln>
              <a:noFill/>
            </a:ln>
            <a:effectLst/>
          </c:spPr>
          <c:invertIfNegative val="0"/>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3'!$F$5:$L$5</c:f>
              <c:numCache>
                <c:formatCode>0.0</c:formatCode>
                <c:ptCount val="7"/>
                <c:pt idx="0">
                  <c:v>1.2901493063795459</c:v>
                </c:pt>
                <c:pt idx="1">
                  <c:v>-0.42608094518304895</c:v>
                </c:pt>
                <c:pt idx="2">
                  <c:v>-0.48637698068927088</c:v>
                </c:pt>
                <c:pt idx="3">
                  <c:v>-0.17318202713522279</c:v>
                </c:pt>
                <c:pt idx="4">
                  <c:v>-0.17005665962183353</c:v>
                </c:pt>
                <c:pt idx="5">
                  <c:v>-0.20551100197902511</c:v>
                </c:pt>
                <c:pt idx="6">
                  <c:v>-0.38059836680400239</c:v>
                </c:pt>
              </c:numCache>
            </c:numRef>
          </c:val>
          <c:extLst>
            <c:ext xmlns:c16="http://schemas.microsoft.com/office/drawing/2014/chart" uri="{C3380CC4-5D6E-409C-BE32-E72D297353CC}">
              <c16:uniqueId val="{00000001-7B84-4B4A-8AC4-02208C62C2D0}"/>
            </c:ext>
          </c:extLst>
        </c:ser>
        <c:dLbls>
          <c:showLegendKey val="0"/>
          <c:showVal val="0"/>
          <c:showCatName val="0"/>
          <c:showSerName val="0"/>
          <c:showPercent val="0"/>
          <c:showBubbleSize val="0"/>
        </c:dLbls>
        <c:gapWidth val="150"/>
        <c:overlap val="100"/>
        <c:axId val="2144281183"/>
        <c:axId val="2144287423"/>
      </c:barChart>
      <c:lineChart>
        <c:grouping val="standard"/>
        <c:varyColors val="0"/>
        <c:ser>
          <c:idx val="2"/>
          <c:order val="2"/>
          <c:tx>
            <c:strRef>
              <c:f>'Graf 3'!$E$6</c:f>
              <c:strCache>
                <c:ptCount val="1"/>
                <c:pt idx="0">
                  <c:v>Employment growth</c:v>
                </c:pt>
              </c:strCache>
            </c:strRef>
          </c:tx>
          <c:spPr>
            <a:ln w="28575" cap="rnd">
              <a:solidFill>
                <a:schemeClr val="tx1"/>
              </a:solidFill>
              <a:round/>
            </a:ln>
            <a:effectLst/>
          </c:spPr>
          <c:marker>
            <c:symbol val="none"/>
          </c:marker>
          <c:dLbls>
            <c:dLbl>
              <c:idx val="0"/>
              <c:layout>
                <c:manualLayout>
                  <c:x val="-3.6111111111111108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84-4B4A-8AC4-02208C62C2D0}"/>
                </c:ext>
              </c:extLst>
            </c:dLbl>
            <c:dLbl>
              <c:idx val="1"/>
              <c:layout>
                <c:manualLayout>
                  <c:x val="-2.5000000000000001E-2"/>
                  <c:y val="-0.1620370370370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84-4B4A-8AC4-02208C62C2D0}"/>
                </c:ext>
              </c:extLst>
            </c:dLbl>
            <c:dLbl>
              <c:idx val="2"/>
              <c:layout>
                <c:manualLayout>
                  <c:x val="-4.1666666666666664E-2"/>
                  <c:y val="0.152777777777777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84-4B4A-8AC4-02208C62C2D0}"/>
                </c:ext>
              </c:extLst>
            </c:dLbl>
            <c:dLbl>
              <c:idx val="3"/>
              <c:layout>
                <c:manualLayout>
                  <c:x val="-4.166666666666666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84-4B4A-8AC4-02208C62C2D0}"/>
                </c:ext>
              </c:extLst>
            </c:dLbl>
            <c:dLbl>
              <c:idx val="4"/>
              <c:layout>
                <c:manualLayout>
                  <c:x val="-3.3333333333333437E-2"/>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84-4B4A-8AC4-02208C62C2D0}"/>
                </c:ext>
              </c:extLst>
            </c:dLbl>
            <c:dLbl>
              <c:idx val="5"/>
              <c:layout>
                <c:manualLayout>
                  <c:x val="-3.3333333333333437E-2"/>
                  <c:y val="-9.7222222222222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84-4B4A-8AC4-02208C62C2D0}"/>
                </c:ext>
              </c:extLst>
            </c:dLbl>
            <c:dLbl>
              <c:idx val="6"/>
              <c:layout>
                <c:manualLayout>
                  <c:x val="-3.6111111111111316E-2"/>
                  <c:y val="0.106481481481481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84-4B4A-8AC4-02208C62C2D0}"/>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3'!$F$3:$L$3</c:f>
              <c:numCache>
                <c:formatCode>General</c:formatCode>
                <c:ptCount val="7"/>
                <c:pt idx="0">
                  <c:v>2022</c:v>
                </c:pt>
                <c:pt idx="1">
                  <c:v>2023</c:v>
                </c:pt>
                <c:pt idx="2">
                  <c:v>2024</c:v>
                </c:pt>
                <c:pt idx="3">
                  <c:v>2025</c:v>
                </c:pt>
                <c:pt idx="4">
                  <c:v>2026</c:v>
                </c:pt>
                <c:pt idx="5">
                  <c:v>2027</c:v>
                </c:pt>
                <c:pt idx="6">
                  <c:v>2028</c:v>
                </c:pt>
              </c:numCache>
            </c:numRef>
          </c:cat>
          <c:val>
            <c:numRef>
              <c:f>'Graf 3'!$F$6:$L$6</c:f>
              <c:numCache>
                <c:formatCode>0.0</c:formatCode>
                <c:ptCount val="7"/>
                <c:pt idx="0">
                  <c:v>1.7684240360435144</c:v>
                </c:pt>
                <c:pt idx="1">
                  <c:v>0.27854028575819978</c:v>
                </c:pt>
                <c:pt idx="2">
                  <c:v>-0.10283914223184754</c:v>
                </c:pt>
                <c:pt idx="3">
                  <c:v>0.41603349228873654</c:v>
                </c:pt>
                <c:pt idx="4">
                  <c:v>0.2028282484552113</c:v>
                </c:pt>
                <c:pt idx="5">
                  <c:v>5.1574843241097845E-2</c:v>
                </c:pt>
                <c:pt idx="6">
                  <c:v>-0.15031513213130676</c:v>
                </c:pt>
              </c:numCache>
            </c:numRef>
          </c:val>
          <c:smooth val="0"/>
          <c:extLst>
            <c:ext xmlns:c16="http://schemas.microsoft.com/office/drawing/2014/chart" uri="{C3380CC4-5D6E-409C-BE32-E72D297353CC}">
              <c16:uniqueId val="{00000002-7B84-4B4A-8AC4-02208C62C2D0}"/>
            </c:ext>
          </c:extLst>
        </c:ser>
        <c:dLbls>
          <c:showLegendKey val="0"/>
          <c:showVal val="0"/>
          <c:showCatName val="0"/>
          <c:showSerName val="0"/>
          <c:showPercent val="0"/>
          <c:showBubbleSize val="0"/>
        </c:dLbls>
        <c:marker val="1"/>
        <c:smooth val="0"/>
        <c:axId val="2144281183"/>
        <c:axId val="2144287423"/>
      </c:lineChart>
      <c:catAx>
        <c:axId val="2144281183"/>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144287423"/>
        <c:crosses val="autoZero"/>
        <c:auto val="1"/>
        <c:lblAlgn val="ctr"/>
        <c:lblOffset val="100"/>
        <c:noMultiLvlLbl val="0"/>
      </c:catAx>
      <c:valAx>
        <c:axId val="2144287423"/>
        <c:scaling>
          <c:orientation val="minMax"/>
        </c:scaling>
        <c:delete val="0"/>
        <c:axPos val="l"/>
        <c:majorGridlines>
          <c:spPr>
            <a:ln w="3175" cap="flat" cmpd="sng" algn="ctr">
              <a:solidFill>
                <a:srgbClr val="686767">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144281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Contents!A1"/><Relationship Id="rId4"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Obsah_Content!A1"/><Relationship Id="rId4" Type="http://schemas.openxmlformats.org/officeDocument/2006/relationships/hyperlink" Target="#Contents!A1"/></Relationships>
</file>

<file path=xl/drawings/_rels/drawing1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34.xml"/><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Contents!A1"/><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hyperlink" Target="#Contents!A1"/><Relationship Id="rId1" Type="http://schemas.openxmlformats.org/officeDocument/2006/relationships/chart" Target="../charts/chart37.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hyperlink" Target="#Contents!A1"/><Relationship Id="rId1" Type="http://schemas.openxmlformats.org/officeDocument/2006/relationships/chart" Target="../charts/chart39.xml"/><Relationship Id="rId5" Type="http://schemas.openxmlformats.org/officeDocument/2006/relationships/chart" Target="../charts/chart42.xml"/><Relationship Id="rId4" Type="http://schemas.openxmlformats.org/officeDocument/2006/relationships/chart" Target="../charts/chart41.xml"/></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44.xml"/><Relationship Id="rId1" Type="http://schemas.openxmlformats.org/officeDocument/2006/relationships/chart" Target="../charts/chart43.xml"/></Relationships>
</file>

<file path=xl/drawings/_rels/drawing29.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46.xml"/><Relationship Id="rId1" Type="http://schemas.openxmlformats.org/officeDocument/2006/relationships/chart" Target="../charts/chart45.xml"/></Relationships>
</file>

<file path=xl/drawings/_rels/drawing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6.xml"/><Relationship Id="rId1" Type="http://schemas.openxmlformats.org/officeDocument/2006/relationships/chart" Target="../charts/chart5.xml"/></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48.xml"/><Relationship Id="rId1" Type="http://schemas.openxmlformats.org/officeDocument/2006/relationships/chart" Target="../charts/chart47.xml"/></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1282700</xdr:colOff>
      <xdr:row>2</xdr:row>
      <xdr:rowOff>0</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0" y="19050"/>
          <a:ext cx="1282700" cy="34290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800" b="1">
              <a:solidFill>
                <a:srgbClr val="FFFFFF"/>
              </a:solidFill>
              <a:latin typeface="Arial Narrow" panose="020B0606020202030204" pitchFamily="34" charset="0"/>
            </a:rPr>
            <a:t>Obsah /</a:t>
          </a:r>
          <a:r>
            <a:rPr lang="sk-SK" sz="800" b="1" baseline="0">
              <a:solidFill>
                <a:srgbClr val="FFFFFF"/>
              </a:solidFill>
              <a:latin typeface="Arial Narrow" panose="020B0606020202030204" pitchFamily="34" charset="0"/>
            </a:rPr>
            <a:t> </a:t>
          </a:r>
          <a:r>
            <a:rPr lang="sk-SK" sz="800" b="1">
              <a:solidFill>
                <a:srgbClr val="FFFFFF"/>
              </a:solidFill>
              <a:latin typeface="Arial Narrow" panose="020B0606020202030204" pitchFamily="34" charset="0"/>
            </a:rPr>
            <a:t>Table of Content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4</xdr:row>
      <xdr:rowOff>181610</xdr:rowOff>
    </xdr:from>
    <xdr:to>
      <xdr:col>7</xdr:col>
      <xdr:colOff>446040</xdr:colOff>
      <xdr:row>16</xdr:row>
      <xdr:rowOff>147050</xdr:rowOff>
    </xdr:to>
    <xdr:graphicFrame macro="">
      <xdr:nvGraphicFramePr>
        <xdr:cNvPr id="2" name="Graf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91440</xdr:rowOff>
    </xdr:from>
    <xdr:to>
      <xdr:col>7</xdr:col>
      <xdr:colOff>468900</xdr:colOff>
      <xdr:row>33</xdr:row>
      <xdr:rowOff>56880</xdr:rowOff>
    </xdr:to>
    <xdr:graphicFrame macro="">
      <xdr:nvGraphicFramePr>
        <xdr:cNvPr id="4" name="Graf 3">
          <a:extLst>
            <a:ext uri="{FF2B5EF4-FFF2-40B4-BE49-F238E27FC236}">
              <a16:creationId xmlns:a16="http://schemas.microsoft.com/office/drawing/2014/main" id="{0E1544A2-BEA9-4592-9365-EAFD4F2D6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371475</xdr:colOff>
      <xdr:row>3</xdr:row>
      <xdr:rowOff>38100</xdr:rowOff>
    </xdr:to>
    <xdr:sp macro="" textlink="">
      <xdr:nvSpPr>
        <xdr:cNvPr id="6" name="Rounded Rectangle 5_ContentButton">
          <a:hlinkClick xmlns:r="http://schemas.openxmlformats.org/officeDocument/2006/relationships" r:id="rId3"/>
          <a:extLst>
            <a:ext uri="{FF2B5EF4-FFF2-40B4-BE49-F238E27FC236}">
              <a16:creationId xmlns:a16="http://schemas.microsoft.com/office/drawing/2014/main" id="{4CAFD2A3-BE93-4C79-8574-9AE7F09E4B4D}"/>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64768</xdr:colOff>
      <xdr:row>10</xdr:row>
      <xdr:rowOff>94016</xdr:rowOff>
    </xdr:from>
    <xdr:to>
      <xdr:col>19</xdr:col>
      <xdr:colOff>247649</xdr:colOff>
      <xdr:row>26</xdr:row>
      <xdr:rowOff>57149</xdr:rowOff>
    </xdr:to>
    <xdr:graphicFrame macro="">
      <xdr:nvGraphicFramePr>
        <xdr:cNvPr id="2" name="Graf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47624</xdr:colOff>
      <xdr:row>10</xdr:row>
      <xdr:rowOff>99731</xdr:rowOff>
    </xdr:from>
    <xdr:to>
      <xdr:col>34</xdr:col>
      <xdr:colOff>171449</xdr:colOff>
      <xdr:row>26</xdr:row>
      <xdr:rowOff>47625</xdr:rowOff>
    </xdr:to>
    <xdr:graphicFrame macro="">
      <xdr:nvGraphicFramePr>
        <xdr:cNvPr id="5" name="Graf 4">
          <a:extLst>
            <a:ext uri="{FF2B5EF4-FFF2-40B4-BE49-F238E27FC236}">
              <a16:creationId xmlns:a16="http://schemas.microsoft.com/office/drawing/2014/main" id="{A4302E27-ECEB-4303-89F5-72ABFFA85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28575</xdr:colOff>
      <xdr:row>3</xdr:row>
      <xdr:rowOff>38100</xdr:rowOff>
    </xdr:to>
    <xdr:sp macro="" textlink="">
      <xdr:nvSpPr>
        <xdr:cNvPr id="6" name="Rounded Rectangle 5_ContentButton">
          <a:hlinkClick xmlns:r="http://schemas.openxmlformats.org/officeDocument/2006/relationships" r:id="rId3"/>
          <a:extLst>
            <a:ext uri="{FF2B5EF4-FFF2-40B4-BE49-F238E27FC236}">
              <a16:creationId xmlns:a16="http://schemas.microsoft.com/office/drawing/2014/main" id="{FE748941-EE68-40FF-AD66-D67B6A0BD10B}"/>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533400</xdr:colOff>
      <xdr:row>9</xdr:row>
      <xdr:rowOff>11430</xdr:rowOff>
    </xdr:from>
    <xdr:to>
      <xdr:col>9</xdr:col>
      <xdr:colOff>533399</xdr:colOff>
      <xdr:row>21</xdr:row>
      <xdr:rowOff>12870</xdr:rowOff>
    </xdr:to>
    <xdr:graphicFrame macro="">
      <xdr:nvGraphicFramePr>
        <xdr:cNvPr id="2" name="Graf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571499</xdr:colOff>
      <xdr:row>27</xdr:row>
      <xdr:rowOff>0</xdr:rowOff>
    </xdr:from>
    <xdr:to>
      <xdr:col>10</xdr:col>
      <xdr:colOff>9524</xdr:colOff>
      <xdr:row>39</xdr:row>
      <xdr:rowOff>1440</xdr:rowOff>
    </xdr:to>
    <xdr:graphicFrame macro="">
      <xdr:nvGraphicFramePr>
        <xdr:cNvPr id="4" name="Graf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323850</xdr:colOff>
      <xdr:row>3</xdr:row>
      <xdr:rowOff>38100</xdr:rowOff>
    </xdr:to>
    <xdr:sp macro="" textlink="">
      <xdr:nvSpPr>
        <xdr:cNvPr id="3" name="Rounded Rectangle 5_ContentButton">
          <a:hlinkClick xmlns:r="http://schemas.openxmlformats.org/officeDocument/2006/relationships" r:id="rId3"/>
          <a:extLst>
            <a:ext uri="{FF2B5EF4-FFF2-40B4-BE49-F238E27FC236}">
              <a16:creationId xmlns:a16="http://schemas.microsoft.com/office/drawing/2014/main" id="{05C9FE97-8576-47D9-B5CE-BB3476DEA418}"/>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27</xdr:row>
      <xdr:rowOff>59055</xdr:rowOff>
    </xdr:from>
    <xdr:to>
      <xdr:col>7</xdr:col>
      <xdr:colOff>247650</xdr:colOff>
      <xdr:row>40</xdr:row>
      <xdr:rowOff>0</xdr:rowOff>
    </xdr:to>
    <xdr:graphicFrame macro="">
      <xdr:nvGraphicFramePr>
        <xdr:cNvPr id="2" name="Graf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7</xdr:row>
      <xdr:rowOff>85724</xdr:rowOff>
    </xdr:from>
    <xdr:to>
      <xdr:col>7</xdr:col>
      <xdr:colOff>371475</xdr:colOff>
      <xdr:row>21</xdr:row>
      <xdr:rowOff>76199</xdr:rowOff>
    </xdr:to>
    <xdr:graphicFrame macro="">
      <xdr:nvGraphicFramePr>
        <xdr:cNvPr id="3" name="Graf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266700</xdr:colOff>
      <xdr:row>3</xdr:row>
      <xdr:rowOff>38100</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90FA461D-FDC2-4FD6-A787-31D4AC79C262}"/>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392205</xdr:colOff>
      <xdr:row>33</xdr:row>
      <xdr:rowOff>36471</xdr:rowOff>
    </xdr:from>
    <xdr:to>
      <xdr:col>25</xdr:col>
      <xdr:colOff>343713</xdr:colOff>
      <xdr:row>46</xdr:row>
      <xdr:rowOff>29543</xdr:rowOff>
    </xdr:to>
    <xdr:graphicFrame macro="">
      <xdr:nvGraphicFramePr>
        <xdr:cNvPr id="13" name="Graf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382835</xdr:colOff>
      <xdr:row>33</xdr:row>
      <xdr:rowOff>21598</xdr:rowOff>
    </xdr:from>
    <xdr:to>
      <xdr:col>13</xdr:col>
      <xdr:colOff>290335</xdr:colOff>
      <xdr:row>46</xdr:row>
      <xdr:rowOff>15978</xdr:rowOff>
    </xdr:to>
    <xdr:graphicFrame macro="">
      <xdr:nvGraphicFramePr>
        <xdr:cNvPr id="14" name="Graf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891886</xdr:colOff>
      <xdr:row>13</xdr:row>
      <xdr:rowOff>34636</xdr:rowOff>
    </xdr:from>
    <xdr:to>
      <xdr:col>4</xdr:col>
      <xdr:colOff>110838</xdr:colOff>
      <xdr:row>27</xdr:row>
      <xdr:rowOff>121228</xdr:rowOff>
    </xdr:to>
    <xdr:graphicFrame macro="">
      <xdr:nvGraphicFramePr>
        <xdr:cNvPr id="8" name="Graf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302561</xdr:colOff>
      <xdr:row>13</xdr:row>
      <xdr:rowOff>33618</xdr:rowOff>
    </xdr:from>
    <xdr:to>
      <xdr:col>18</xdr:col>
      <xdr:colOff>261101</xdr:colOff>
      <xdr:row>27</xdr:row>
      <xdr:rowOff>120210</xdr:rowOff>
    </xdr:to>
    <xdr:graphicFrame macro="">
      <xdr:nvGraphicFramePr>
        <xdr:cNvPr id="2" name="Graf 1">
          <a:extLst>
            <a:ext uri="{FF2B5EF4-FFF2-40B4-BE49-F238E27FC236}">
              <a16:creationId xmlns:a16="http://schemas.microsoft.com/office/drawing/2014/main" id="{9B802B8E-5398-42BE-9DC6-947082F8B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1</xdr:col>
      <xdr:colOff>265019</xdr:colOff>
      <xdr:row>3</xdr:row>
      <xdr:rowOff>53228</xdr:rowOff>
    </xdr:to>
    <xdr:sp macro="" textlink="">
      <xdr:nvSpPr>
        <xdr:cNvPr id="3" name="Rounded Rectangle 5_ContentButton">
          <a:hlinkClick xmlns:r="http://schemas.openxmlformats.org/officeDocument/2006/relationships" r:id="rId5"/>
          <a:extLst>
            <a:ext uri="{FF2B5EF4-FFF2-40B4-BE49-F238E27FC236}">
              <a16:creationId xmlns:a16="http://schemas.microsoft.com/office/drawing/2014/main" id="{C6346670-4A8C-4274-93CC-300E324E250F}"/>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0.25183</cdr:x>
      <cdr:y>0.07828</cdr:y>
    </cdr:from>
    <cdr:to>
      <cdr:x>0.29523</cdr:x>
      <cdr:y>0.10778</cdr:y>
    </cdr:to>
    <cdr:sp macro="" textlink="">
      <cdr:nvSpPr>
        <cdr:cNvPr id="2" name="Šípka: doľava 1">
          <a:extLst xmlns:a="http://schemas.openxmlformats.org/drawingml/2006/main">
            <a:ext uri="{FF2B5EF4-FFF2-40B4-BE49-F238E27FC236}">
              <a16:creationId xmlns:a16="http://schemas.microsoft.com/office/drawing/2014/main" id="{B2666328-2FB0-2525-A649-1DBD4C9A86B2}"/>
            </a:ext>
          </a:extLst>
        </cdr:cNvPr>
        <cdr:cNvSpPr/>
      </cdr:nvSpPr>
      <cdr:spPr>
        <a:xfrm xmlns:a="http://schemas.openxmlformats.org/drawingml/2006/main">
          <a:off x="1139209" y="198339"/>
          <a:ext cx="196290" cy="74756"/>
        </a:xfrm>
        <a:prstGeom xmlns:a="http://schemas.openxmlformats.org/drawingml/2006/main" prst="leftArrow">
          <a:avLst/>
        </a:prstGeom>
        <a:solidFill xmlns:a="http://schemas.openxmlformats.org/drawingml/2006/main">
          <a:srgbClr val="7FC8E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0.28084</cdr:x>
      <cdr:y>0.06314</cdr:y>
    </cdr:from>
    <cdr:to>
      <cdr:x>0.50436</cdr:x>
      <cdr:y>0.11035</cdr:y>
    </cdr:to>
    <cdr:sp macro="" textlink="">
      <cdr:nvSpPr>
        <cdr:cNvPr id="3" name="BlokTextu 2">
          <a:extLst xmlns:a="http://schemas.openxmlformats.org/drawingml/2006/main">
            <a:ext uri="{FF2B5EF4-FFF2-40B4-BE49-F238E27FC236}">
              <a16:creationId xmlns:a16="http://schemas.microsoft.com/office/drawing/2014/main" id="{04E86B07-9BD9-E786-F636-DC2EE114ED9E}"/>
            </a:ext>
          </a:extLst>
        </cdr:cNvPr>
        <cdr:cNvSpPr txBox="1"/>
      </cdr:nvSpPr>
      <cdr:spPr>
        <a:xfrm xmlns:a="http://schemas.openxmlformats.org/drawingml/2006/main">
          <a:off x="1269203" y="159704"/>
          <a:ext cx="1010175" cy="11942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7FC8E8"/>
              </a:solidFill>
            </a:rPr>
            <a:t>Finančná kríza</a:t>
          </a:r>
        </a:p>
      </cdr:txBody>
    </cdr:sp>
  </cdr:relSizeAnchor>
  <cdr:relSizeAnchor xmlns:cdr="http://schemas.openxmlformats.org/drawingml/2006/chartDrawing">
    <cdr:from>
      <cdr:x>0.66776</cdr:x>
      <cdr:y>0.6907</cdr:y>
    </cdr:from>
    <cdr:to>
      <cdr:x>0.71255</cdr:x>
      <cdr:y>0.7266</cdr:y>
    </cdr:to>
    <cdr:sp macro="" textlink="">
      <cdr:nvSpPr>
        <cdr:cNvPr id="4" name="Šípka: doľava 3">
          <a:extLst xmlns:a="http://schemas.openxmlformats.org/drawingml/2006/main">
            <a:ext uri="{FF2B5EF4-FFF2-40B4-BE49-F238E27FC236}">
              <a16:creationId xmlns:a16="http://schemas.microsoft.com/office/drawing/2014/main" id="{2B82BDFA-3C42-43D3-E432-7A19247D2D77}"/>
            </a:ext>
          </a:extLst>
        </cdr:cNvPr>
        <cdr:cNvSpPr/>
      </cdr:nvSpPr>
      <cdr:spPr>
        <a:xfrm xmlns:a="http://schemas.openxmlformats.org/drawingml/2006/main" rot="10800000">
          <a:off x="3020691" y="1750077"/>
          <a:ext cx="202623" cy="90980"/>
        </a:xfrm>
        <a:prstGeom xmlns:a="http://schemas.openxmlformats.org/drawingml/2006/main" prst="leftArrow">
          <a:avLst/>
        </a:prstGeom>
        <a:solidFill xmlns:a="http://schemas.openxmlformats.org/drawingml/2006/main">
          <a:srgbClr val="C3C2C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0.52172</cdr:x>
      <cdr:y>0.6737</cdr:y>
    </cdr:from>
    <cdr:to>
      <cdr:x>0.68537</cdr:x>
      <cdr:y>0.74829</cdr:y>
    </cdr:to>
    <cdr:sp macro="" textlink="">
      <cdr:nvSpPr>
        <cdr:cNvPr id="5" name="BlokTextu 2">
          <a:extLst xmlns:a="http://schemas.openxmlformats.org/drawingml/2006/main">
            <a:ext uri="{FF2B5EF4-FFF2-40B4-BE49-F238E27FC236}">
              <a16:creationId xmlns:a16="http://schemas.microsoft.com/office/drawing/2014/main" id="{CCBC22C5-1939-802E-7CD8-CB52570E60EE}"/>
            </a:ext>
          </a:extLst>
        </cdr:cNvPr>
        <cdr:cNvSpPr txBox="1"/>
      </cdr:nvSpPr>
      <cdr:spPr>
        <a:xfrm xmlns:a="http://schemas.openxmlformats.org/drawingml/2006/main">
          <a:off x="2357820" y="1704114"/>
          <a:ext cx="739587" cy="1886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C3C2C2"/>
              </a:solidFill>
            </a:rPr>
            <a:t>COVID-19</a:t>
          </a:r>
        </a:p>
      </cdr:txBody>
    </cdr:sp>
  </cdr:relSizeAnchor>
  <cdr:relSizeAnchor xmlns:cdr="http://schemas.openxmlformats.org/drawingml/2006/chartDrawing">
    <cdr:from>
      <cdr:x>0.66617</cdr:x>
      <cdr:y>0.75795</cdr:y>
    </cdr:from>
    <cdr:to>
      <cdr:x>0.81353</cdr:x>
      <cdr:y>0.79311</cdr:y>
    </cdr:to>
    <cdr:sp macro="" textlink="">
      <cdr:nvSpPr>
        <cdr:cNvPr id="6" name="Šípka: doľava 5">
          <a:extLst xmlns:a="http://schemas.openxmlformats.org/drawingml/2006/main">
            <a:ext uri="{FF2B5EF4-FFF2-40B4-BE49-F238E27FC236}">
              <a16:creationId xmlns:a16="http://schemas.microsoft.com/office/drawing/2014/main" id="{B249755D-9B43-025A-F0BF-1DB4FB15B3A4}"/>
            </a:ext>
          </a:extLst>
        </cdr:cNvPr>
        <cdr:cNvSpPr/>
      </cdr:nvSpPr>
      <cdr:spPr>
        <a:xfrm xmlns:a="http://schemas.openxmlformats.org/drawingml/2006/main" rot="10800000">
          <a:off x="3013527" y="1920482"/>
          <a:ext cx="666586" cy="89094"/>
        </a:xfrm>
        <a:prstGeom xmlns:a="http://schemas.openxmlformats.org/drawingml/2006/main" prst="leftArrow">
          <a:avLst/>
        </a:prstGeom>
        <a:solidFill xmlns:a="http://schemas.openxmlformats.org/drawingml/2006/main">
          <a:srgbClr val="7FC8E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solidFill>
              <a:srgbClr val="7FC8E8"/>
            </a:solidFill>
          </a:endParaRPr>
        </a:p>
      </cdr:txBody>
    </cdr:sp>
  </cdr:relSizeAnchor>
  <cdr:relSizeAnchor xmlns:cdr="http://schemas.openxmlformats.org/drawingml/2006/chartDrawing">
    <cdr:from>
      <cdr:x>0.43741</cdr:x>
      <cdr:y>0.74232</cdr:y>
    </cdr:from>
    <cdr:to>
      <cdr:x>0.69458</cdr:x>
      <cdr:y>0.80588</cdr:y>
    </cdr:to>
    <cdr:sp macro="" textlink="">
      <cdr:nvSpPr>
        <cdr:cNvPr id="7" name="BlokTextu 2">
          <a:extLst xmlns:a="http://schemas.openxmlformats.org/drawingml/2006/main">
            <a:ext uri="{FF2B5EF4-FFF2-40B4-BE49-F238E27FC236}">
              <a16:creationId xmlns:a16="http://schemas.microsoft.com/office/drawing/2014/main" id="{9369F202-950A-4C24-9936-F5CBB7673914}"/>
            </a:ext>
          </a:extLst>
        </cdr:cNvPr>
        <cdr:cNvSpPr txBox="1"/>
      </cdr:nvSpPr>
      <cdr:spPr>
        <a:xfrm xmlns:a="http://schemas.openxmlformats.org/drawingml/2006/main">
          <a:off x="1976821" y="1877679"/>
          <a:ext cx="1162210" cy="16077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7FC8E8"/>
              </a:solidFill>
            </a:rPr>
            <a:t>Energetická kríza</a:t>
          </a:r>
        </a:p>
      </cdr:txBody>
    </cdr:sp>
  </cdr:relSizeAnchor>
</c:userShapes>
</file>

<file path=xl/drawings/drawing16.xml><?xml version="1.0" encoding="utf-8"?>
<c:userShapes xmlns:c="http://schemas.openxmlformats.org/drawingml/2006/chart">
  <cdr:relSizeAnchor xmlns:cdr="http://schemas.openxmlformats.org/drawingml/2006/chartDrawing">
    <cdr:from>
      <cdr:x>0.25183</cdr:x>
      <cdr:y>0.07828</cdr:y>
    </cdr:from>
    <cdr:to>
      <cdr:x>0.29523</cdr:x>
      <cdr:y>0.10778</cdr:y>
    </cdr:to>
    <cdr:sp macro="" textlink="">
      <cdr:nvSpPr>
        <cdr:cNvPr id="2" name="Šípka: doľava 1">
          <a:extLst xmlns:a="http://schemas.openxmlformats.org/drawingml/2006/main">
            <a:ext uri="{FF2B5EF4-FFF2-40B4-BE49-F238E27FC236}">
              <a16:creationId xmlns:a16="http://schemas.microsoft.com/office/drawing/2014/main" id="{B2666328-2FB0-2525-A649-1DBD4C9A86B2}"/>
            </a:ext>
          </a:extLst>
        </cdr:cNvPr>
        <cdr:cNvSpPr/>
      </cdr:nvSpPr>
      <cdr:spPr>
        <a:xfrm xmlns:a="http://schemas.openxmlformats.org/drawingml/2006/main">
          <a:off x="1139209" y="198339"/>
          <a:ext cx="196290" cy="74756"/>
        </a:xfrm>
        <a:prstGeom xmlns:a="http://schemas.openxmlformats.org/drawingml/2006/main" prst="leftArrow">
          <a:avLst/>
        </a:prstGeom>
        <a:solidFill xmlns:a="http://schemas.openxmlformats.org/drawingml/2006/main">
          <a:srgbClr val="7FC8E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0.28084</cdr:x>
      <cdr:y>0.06314</cdr:y>
    </cdr:from>
    <cdr:to>
      <cdr:x>0.50436</cdr:x>
      <cdr:y>0.11035</cdr:y>
    </cdr:to>
    <cdr:sp macro="" textlink="">
      <cdr:nvSpPr>
        <cdr:cNvPr id="3" name="BlokTextu 2">
          <a:extLst xmlns:a="http://schemas.openxmlformats.org/drawingml/2006/main">
            <a:ext uri="{FF2B5EF4-FFF2-40B4-BE49-F238E27FC236}">
              <a16:creationId xmlns:a16="http://schemas.microsoft.com/office/drawing/2014/main" id="{04E86B07-9BD9-E786-F636-DC2EE114ED9E}"/>
            </a:ext>
          </a:extLst>
        </cdr:cNvPr>
        <cdr:cNvSpPr txBox="1"/>
      </cdr:nvSpPr>
      <cdr:spPr>
        <a:xfrm xmlns:a="http://schemas.openxmlformats.org/drawingml/2006/main">
          <a:off x="1269203" y="159704"/>
          <a:ext cx="1010175" cy="11942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7FC8E8"/>
              </a:solidFill>
            </a:rPr>
            <a:t>Financial crisis</a:t>
          </a:r>
        </a:p>
      </cdr:txBody>
    </cdr:sp>
  </cdr:relSizeAnchor>
  <cdr:relSizeAnchor xmlns:cdr="http://schemas.openxmlformats.org/drawingml/2006/chartDrawing">
    <cdr:from>
      <cdr:x>0.66776</cdr:x>
      <cdr:y>0.6907</cdr:y>
    </cdr:from>
    <cdr:to>
      <cdr:x>0.71255</cdr:x>
      <cdr:y>0.7266</cdr:y>
    </cdr:to>
    <cdr:sp macro="" textlink="">
      <cdr:nvSpPr>
        <cdr:cNvPr id="4" name="Šípka: doľava 3">
          <a:extLst xmlns:a="http://schemas.openxmlformats.org/drawingml/2006/main">
            <a:ext uri="{FF2B5EF4-FFF2-40B4-BE49-F238E27FC236}">
              <a16:creationId xmlns:a16="http://schemas.microsoft.com/office/drawing/2014/main" id="{2B82BDFA-3C42-43D3-E432-7A19247D2D77}"/>
            </a:ext>
          </a:extLst>
        </cdr:cNvPr>
        <cdr:cNvSpPr/>
      </cdr:nvSpPr>
      <cdr:spPr>
        <a:xfrm xmlns:a="http://schemas.openxmlformats.org/drawingml/2006/main" rot="10800000">
          <a:off x="3020691" y="1750077"/>
          <a:ext cx="202623" cy="90980"/>
        </a:xfrm>
        <a:prstGeom xmlns:a="http://schemas.openxmlformats.org/drawingml/2006/main" prst="leftArrow">
          <a:avLst/>
        </a:prstGeom>
        <a:solidFill xmlns:a="http://schemas.openxmlformats.org/drawingml/2006/main">
          <a:srgbClr val="C3C2C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0.52172</cdr:x>
      <cdr:y>0.6737</cdr:y>
    </cdr:from>
    <cdr:to>
      <cdr:x>0.68537</cdr:x>
      <cdr:y>0.74829</cdr:y>
    </cdr:to>
    <cdr:sp macro="" textlink="">
      <cdr:nvSpPr>
        <cdr:cNvPr id="5" name="BlokTextu 2">
          <a:extLst xmlns:a="http://schemas.openxmlformats.org/drawingml/2006/main">
            <a:ext uri="{FF2B5EF4-FFF2-40B4-BE49-F238E27FC236}">
              <a16:creationId xmlns:a16="http://schemas.microsoft.com/office/drawing/2014/main" id="{CCBC22C5-1939-802E-7CD8-CB52570E60EE}"/>
            </a:ext>
          </a:extLst>
        </cdr:cNvPr>
        <cdr:cNvSpPr txBox="1"/>
      </cdr:nvSpPr>
      <cdr:spPr>
        <a:xfrm xmlns:a="http://schemas.openxmlformats.org/drawingml/2006/main">
          <a:off x="2357820" y="1704114"/>
          <a:ext cx="739587" cy="1886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C3C2C2"/>
              </a:solidFill>
            </a:rPr>
            <a:t>COVID-19</a:t>
          </a:r>
        </a:p>
      </cdr:txBody>
    </cdr:sp>
  </cdr:relSizeAnchor>
  <cdr:relSizeAnchor xmlns:cdr="http://schemas.openxmlformats.org/drawingml/2006/chartDrawing">
    <cdr:from>
      <cdr:x>0.66617</cdr:x>
      <cdr:y>0.75795</cdr:y>
    </cdr:from>
    <cdr:to>
      <cdr:x>0.81353</cdr:x>
      <cdr:y>0.79311</cdr:y>
    </cdr:to>
    <cdr:sp macro="" textlink="">
      <cdr:nvSpPr>
        <cdr:cNvPr id="6" name="Šípka: doľava 5">
          <a:extLst xmlns:a="http://schemas.openxmlformats.org/drawingml/2006/main">
            <a:ext uri="{FF2B5EF4-FFF2-40B4-BE49-F238E27FC236}">
              <a16:creationId xmlns:a16="http://schemas.microsoft.com/office/drawing/2014/main" id="{B249755D-9B43-025A-F0BF-1DB4FB15B3A4}"/>
            </a:ext>
          </a:extLst>
        </cdr:cNvPr>
        <cdr:cNvSpPr/>
      </cdr:nvSpPr>
      <cdr:spPr>
        <a:xfrm xmlns:a="http://schemas.openxmlformats.org/drawingml/2006/main" rot="10800000">
          <a:off x="3013527" y="1920482"/>
          <a:ext cx="666586" cy="89094"/>
        </a:xfrm>
        <a:prstGeom xmlns:a="http://schemas.openxmlformats.org/drawingml/2006/main" prst="leftArrow">
          <a:avLst/>
        </a:prstGeom>
        <a:solidFill xmlns:a="http://schemas.openxmlformats.org/drawingml/2006/main">
          <a:srgbClr val="7FC8E8"/>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solidFill>
              <a:srgbClr val="7FC8E8"/>
            </a:solidFill>
          </a:endParaRPr>
        </a:p>
      </cdr:txBody>
    </cdr:sp>
  </cdr:relSizeAnchor>
  <cdr:relSizeAnchor xmlns:cdr="http://schemas.openxmlformats.org/drawingml/2006/chartDrawing">
    <cdr:from>
      <cdr:x>0.48847</cdr:x>
      <cdr:y>0.74232</cdr:y>
    </cdr:from>
    <cdr:to>
      <cdr:x>0.69458</cdr:x>
      <cdr:y>0.80185</cdr:y>
    </cdr:to>
    <cdr:sp macro="" textlink="">
      <cdr:nvSpPr>
        <cdr:cNvPr id="7" name="BlokTextu 2">
          <a:extLst xmlns:a="http://schemas.openxmlformats.org/drawingml/2006/main">
            <a:ext uri="{FF2B5EF4-FFF2-40B4-BE49-F238E27FC236}">
              <a16:creationId xmlns:a16="http://schemas.microsoft.com/office/drawing/2014/main" id="{9369F202-950A-4C24-9936-F5CBB7673914}"/>
            </a:ext>
          </a:extLst>
        </cdr:cNvPr>
        <cdr:cNvSpPr txBox="1"/>
      </cdr:nvSpPr>
      <cdr:spPr>
        <a:xfrm xmlns:a="http://schemas.openxmlformats.org/drawingml/2006/main">
          <a:off x="2207558" y="1877680"/>
          <a:ext cx="931481" cy="1505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solidFill>
                <a:srgbClr val="7FC8E8"/>
              </a:solidFill>
            </a:rPr>
            <a:t>Energy crisis</a:t>
          </a:r>
        </a:p>
      </cdr:txBody>
    </cdr:sp>
  </cdr:relSizeAnchor>
</c:userShapes>
</file>

<file path=xl/drawings/drawing1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61383</xdr:rowOff>
    </xdr:to>
    <xdr:sp macro="" textlink="">
      <xdr:nvSpPr>
        <xdr:cNvPr id="2" name="Zaoblený obdĺžnik 2">
          <a:hlinkClick xmlns:r="http://schemas.openxmlformats.org/officeDocument/2006/relationships" r:id="rId1"/>
          <a:extLst>
            <a:ext uri="{FF2B5EF4-FFF2-40B4-BE49-F238E27FC236}">
              <a16:creationId xmlns:a16="http://schemas.microsoft.com/office/drawing/2014/main" id="{CD88B35A-07F2-4AA2-A21C-93EDE2C125C9}"/>
            </a:ext>
          </a:extLst>
        </xdr:cNvPr>
        <xdr:cNvSpPr/>
      </xdr:nvSpPr>
      <xdr:spPr>
        <a:xfrm>
          <a:off x="12211050" y="0"/>
          <a:ext cx="0" cy="2328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9</xdr:col>
      <xdr:colOff>0</xdr:colOff>
      <xdr:row>1</xdr:row>
      <xdr:rowOff>0</xdr:rowOff>
    </xdr:from>
    <xdr:to>
      <xdr:col>9</xdr:col>
      <xdr:colOff>0</xdr:colOff>
      <xdr:row>2</xdr:row>
      <xdr:rowOff>61383</xdr:rowOff>
    </xdr:to>
    <xdr:sp macro="" textlink="">
      <xdr:nvSpPr>
        <xdr:cNvPr id="3" name="Zaoblený obdĺžnik 4">
          <a:hlinkClick xmlns:r="http://schemas.openxmlformats.org/officeDocument/2006/relationships" r:id="rId1"/>
          <a:extLst>
            <a:ext uri="{FF2B5EF4-FFF2-40B4-BE49-F238E27FC236}">
              <a16:creationId xmlns:a16="http://schemas.microsoft.com/office/drawing/2014/main" id="{F5B1CAD4-D606-48BE-9CFC-18B7AEA74C3F}"/>
            </a:ext>
          </a:extLst>
        </xdr:cNvPr>
        <xdr:cNvSpPr/>
      </xdr:nvSpPr>
      <xdr:spPr>
        <a:xfrm>
          <a:off x="12211050" y="171450"/>
          <a:ext cx="0" cy="242358"/>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452004</xdr:colOff>
      <xdr:row>12</xdr:row>
      <xdr:rowOff>109393</xdr:rowOff>
    </xdr:from>
    <xdr:to>
      <xdr:col>6</xdr:col>
      <xdr:colOff>581025</xdr:colOff>
      <xdr:row>29</xdr:row>
      <xdr:rowOff>16740</xdr:rowOff>
    </xdr:to>
    <xdr:graphicFrame macro="">
      <xdr:nvGraphicFramePr>
        <xdr:cNvPr id="4" name="Graf 3">
          <a:extLst>
            <a:ext uri="{FF2B5EF4-FFF2-40B4-BE49-F238E27FC236}">
              <a16:creationId xmlns:a16="http://schemas.microsoft.com/office/drawing/2014/main" id="{D9F12F27-0BCC-4966-8730-072C40294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561975</xdr:colOff>
      <xdr:row>12</xdr:row>
      <xdr:rowOff>95250</xdr:rowOff>
    </xdr:from>
    <xdr:to>
      <xdr:col>12</xdr:col>
      <xdr:colOff>43962</xdr:colOff>
      <xdr:row>28</xdr:row>
      <xdr:rowOff>152400</xdr:rowOff>
    </xdr:to>
    <xdr:graphicFrame macro="">
      <xdr:nvGraphicFramePr>
        <xdr:cNvPr id="5" name="Graf 4">
          <a:extLst>
            <a:ext uri="{FF2B5EF4-FFF2-40B4-BE49-F238E27FC236}">
              <a16:creationId xmlns:a16="http://schemas.microsoft.com/office/drawing/2014/main" id="{177A8A94-19CB-4CCD-AC3B-3FAF3E95A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295275</xdr:colOff>
      <xdr:row>3</xdr:row>
      <xdr:rowOff>28575</xdr:rowOff>
    </xdr:to>
    <xdr:sp macro="" textlink="">
      <xdr:nvSpPr>
        <xdr:cNvPr id="7" name="Rounded Rectangle 5_ContentButton">
          <a:hlinkClick xmlns:r="http://schemas.openxmlformats.org/officeDocument/2006/relationships" r:id="rId4"/>
          <a:extLst>
            <a:ext uri="{FF2B5EF4-FFF2-40B4-BE49-F238E27FC236}">
              <a16:creationId xmlns:a16="http://schemas.microsoft.com/office/drawing/2014/main" id="{48481D57-9EDC-4A00-952F-4309E80436C7}"/>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588351</xdr:colOff>
      <xdr:row>4</xdr:row>
      <xdr:rowOff>299068</xdr:rowOff>
    </xdr:from>
    <xdr:to>
      <xdr:col>9</xdr:col>
      <xdr:colOff>47363</xdr:colOff>
      <xdr:row>17</xdr:row>
      <xdr:rowOff>60814</xdr:rowOff>
    </xdr:to>
    <xdr:graphicFrame macro="">
      <xdr:nvGraphicFramePr>
        <xdr:cNvPr id="2" name="Graf 1">
          <a:extLst>
            <a:ext uri="{FF2B5EF4-FFF2-40B4-BE49-F238E27FC236}">
              <a16:creationId xmlns:a16="http://schemas.microsoft.com/office/drawing/2014/main" id="{87CCF78B-DBEC-4D44-A460-4EC2DB9AA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18319</xdr:colOff>
      <xdr:row>22</xdr:row>
      <xdr:rowOff>153865</xdr:rowOff>
    </xdr:from>
    <xdr:to>
      <xdr:col>9</xdr:col>
      <xdr:colOff>51287</xdr:colOff>
      <xdr:row>35</xdr:row>
      <xdr:rowOff>132617</xdr:rowOff>
    </xdr:to>
    <xdr:graphicFrame macro="">
      <xdr:nvGraphicFramePr>
        <xdr:cNvPr id="3" name="Graf 2">
          <a:extLst>
            <a:ext uri="{FF2B5EF4-FFF2-40B4-BE49-F238E27FC236}">
              <a16:creationId xmlns:a16="http://schemas.microsoft.com/office/drawing/2014/main" id="{DE336876-7C97-4D2F-9744-BB9CE2830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701187</xdr:colOff>
      <xdr:row>3</xdr:row>
      <xdr:rowOff>40298</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E6DDF4F5-DD86-4106-A475-1B145A054F15}"/>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5862</xdr:colOff>
      <xdr:row>3</xdr:row>
      <xdr:rowOff>40298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8805720F-265E-42F4-B610-117BAB31FE36}"/>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1412</xdr:colOff>
      <xdr:row>0</xdr:row>
      <xdr:rowOff>0</xdr:rowOff>
    </xdr:from>
    <xdr:to>
      <xdr:col>0</xdr:col>
      <xdr:colOff>1598084</xdr:colOff>
      <xdr:row>2</xdr:row>
      <xdr:rowOff>148166</xdr:rowOff>
    </xdr:to>
    <xdr:sp macro="" textlink="">
      <xdr:nvSpPr>
        <xdr:cNvPr id="7" name="Zaoblený obdĺžnik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1412" y="0"/>
          <a:ext cx="1596672" cy="4868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k-SK" sz="1100" b="1">
              <a:solidFill>
                <a:schemeClr val="lt1"/>
              </a:solidFill>
              <a:effectLst/>
              <a:latin typeface="+mn-lt"/>
              <a:ea typeface="+mn-ea"/>
              <a:cs typeface="+mn-cs"/>
            </a:rPr>
            <a:t>Obsah /</a:t>
          </a:r>
          <a:br>
            <a:rPr lang="sk-SK" sz="1100" b="1">
              <a:solidFill>
                <a:schemeClr val="lt1"/>
              </a:solidFill>
              <a:effectLst/>
              <a:latin typeface="+mn-lt"/>
              <a:ea typeface="+mn-ea"/>
              <a:cs typeface="+mn-cs"/>
            </a:rPr>
          </a:br>
          <a:r>
            <a:rPr lang="sk-SK" sz="1100" b="1">
              <a:solidFill>
                <a:schemeClr val="lt1"/>
              </a:solidFill>
              <a:effectLst/>
              <a:latin typeface="+mn-lt"/>
              <a:ea typeface="+mn-ea"/>
              <a:cs typeface="+mn-cs"/>
            </a:rPr>
            <a:t>Table of Content</a:t>
          </a:r>
          <a:endParaRPr lang="sk-SK" sz="1000">
            <a:effectLst/>
          </a:endParaRPr>
        </a:p>
      </xdr:txBody>
    </xdr:sp>
    <xdr:clientData/>
  </xdr:twoCellAnchor>
  <xdr:twoCellAnchor>
    <xdr:from>
      <xdr:col>0</xdr:col>
      <xdr:colOff>390525</xdr:colOff>
      <xdr:row>5</xdr:row>
      <xdr:rowOff>11430</xdr:rowOff>
    </xdr:from>
    <xdr:to>
      <xdr:col>5</xdr:col>
      <xdr:colOff>379095</xdr:colOff>
      <xdr:row>18</xdr:row>
      <xdr:rowOff>38100</xdr:rowOff>
    </xdr:to>
    <xdr:graphicFrame macro="">
      <xdr:nvGraphicFramePr>
        <xdr:cNvPr id="3" name="Graf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276225</xdr:colOff>
      <xdr:row>27</xdr:row>
      <xdr:rowOff>152400</xdr:rowOff>
    </xdr:from>
    <xdr:to>
      <xdr:col>5</xdr:col>
      <xdr:colOff>264795</xdr:colOff>
      <xdr:row>40</xdr:row>
      <xdr:rowOff>169545</xdr:rowOff>
    </xdr:to>
    <xdr:graphicFrame macro="">
      <xdr:nvGraphicFramePr>
        <xdr:cNvPr id="2" name="Graf 1">
          <a:extLst>
            <a:ext uri="{FF2B5EF4-FFF2-40B4-BE49-F238E27FC236}">
              <a16:creationId xmlns:a16="http://schemas.microsoft.com/office/drawing/2014/main" id="{9392F034-51A8-4DB5-A07A-C123426FC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1057275</xdr:colOff>
      <xdr:row>3</xdr:row>
      <xdr:rowOff>57150</xdr:rowOff>
    </xdr:from>
    <xdr:to>
      <xdr:col>15</xdr:col>
      <xdr:colOff>45342</xdr:colOff>
      <xdr:row>19</xdr:row>
      <xdr:rowOff>137979</xdr:rowOff>
    </xdr:to>
    <xdr:graphicFrame macro="">
      <xdr:nvGraphicFramePr>
        <xdr:cNvPr id="5" name="Graf 4">
          <a:extLst>
            <a:ext uri="{FF2B5EF4-FFF2-40B4-BE49-F238E27FC236}">
              <a16:creationId xmlns:a16="http://schemas.microsoft.com/office/drawing/2014/main" id="{E10F9689-8D1E-483B-A9C8-7AD3AAC4C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1018442</xdr:colOff>
      <xdr:row>31</xdr:row>
      <xdr:rowOff>21981</xdr:rowOff>
    </xdr:from>
    <xdr:to>
      <xdr:col>15</xdr:col>
      <xdr:colOff>6509</xdr:colOff>
      <xdr:row>47</xdr:row>
      <xdr:rowOff>44194</xdr:rowOff>
    </xdr:to>
    <xdr:graphicFrame macro="">
      <xdr:nvGraphicFramePr>
        <xdr:cNvPr id="6" name="Graf 5">
          <a:extLst>
            <a:ext uri="{FF2B5EF4-FFF2-40B4-BE49-F238E27FC236}">
              <a16:creationId xmlns:a16="http://schemas.microsoft.com/office/drawing/2014/main" id="{CB172FF8-5632-4DA9-A8DB-9BD7343D9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701187</xdr:colOff>
      <xdr:row>3</xdr:row>
      <xdr:rowOff>40298</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F0896D9D-2177-40F8-B8BC-53698ED6CD68}"/>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1</xdr:col>
      <xdr:colOff>812556</xdr:colOff>
      <xdr:row>4</xdr:row>
      <xdr:rowOff>87191</xdr:rowOff>
    </xdr:from>
    <xdr:to>
      <xdr:col>8</xdr:col>
      <xdr:colOff>57150</xdr:colOff>
      <xdr:row>21</xdr:row>
      <xdr:rowOff>9525</xdr:rowOff>
    </xdr:to>
    <xdr:graphicFrame macro="">
      <xdr:nvGraphicFramePr>
        <xdr:cNvPr id="2" name="Graf 1">
          <a:extLst>
            <a:ext uri="{FF2B5EF4-FFF2-40B4-BE49-F238E27FC236}">
              <a16:creationId xmlns:a16="http://schemas.microsoft.com/office/drawing/2014/main" id="{DEC4EF8B-4D9A-400F-BA42-6A5D656CC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571500</xdr:colOff>
      <xdr:row>4</xdr:row>
      <xdr:rowOff>85725</xdr:rowOff>
    </xdr:from>
    <xdr:to>
      <xdr:col>16</xdr:col>
      <xdr:colOff>292344</xdr:colOff>
      <xdr:row>21</xdr:row>
      <xdr:rowOff>8059</xdr:rowOff>
    </xdr:to>
    <xdr:graphicFrame macro="">
      <xdr:nvGraphicFramePr>
        <xdr:cNvPr id="3" name="Graf 2">
          <a:extLst>
            <a:ext uri="{FF2B5EF4-FFF2-40B4-BE49-F238E27FC236}">
              <a16:creationId xmlns:a16="http://schemas.microsoft.com/office/drawing/2014/main" id="{11CB0DCD-59D0-4B90-9F70-BC6B917CA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5862</xdr:colOff>
      <xdr:row>3</xdr:row>
      <xdr:rowOff>40298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C953BCE7-568B-493D-AA73-55DFC1E47CCD}"/>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5862</xdr:colOff>
      <xdr:row>3</xdr:row>
      <xdr:rowOff>40298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D9C43CBD-CE2C-4ACB-896C-EAE16547A756}"/>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5862</xdr:colOff>
      <xdr:row>3</xdr:row>
      <xdr:rowOff>40298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966E381A-FFF3-4AD0-A823-37DAD12B72F7}"/>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520212</xdr:colOff>
      <xdr:row>3</xdr:row>
      <xdr:rowOff>40298</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8EEFB282-BB7E-4578-85DD-BC989961E8BE}"/>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748896</xdr:colOff>
      <xdr:row>5</xdr:row>
      <xdr:rowOff>60056</xdr:rowOff>
    </xdr:from>
    <xdr:to>
      <xdr:col>6</xdr:col>
      <xdr:colOff>131868</xdr:colOff>
      <xdr:row>26</xdr:row>
      <xdr:rowOff>151</xdr:rowOff>
    </xdr:to>
    <xdr:graphicFrame macro="">
      <xdr:nvGraphicFramePr>
        <xdr:cNvPr id="2" name="Graf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1225062</xdr:colOff>
      <xdr:row>3</xdr:row>
      <xdr:rowOff>40298</xdr:rowOff>
    </xdr:to>
    <xdr:sp macro="" textlink="">
      <xdr:nvSpPr>
        <xdr:cNvPr id="3" name="Rounded Rectangle 5_ContentButton">
          <a:hlinkClick xmlns:r="http://schemas.openxmlformats.org/officeDocument/2006/relationships" r:id="rId2"/>
          <a:extLst>
            <a:ext uri="{FF2B5EF4-FFF2-40B4-BE49-F238E27FC236}">
              <a16:creationId xmlns:a16="http://schemas.microsoft.com/office/drawing/2014/main" id="{FC2CDB33-65B6-4A92-BCB4-3B1673DF6513}"/>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7</xdr:col>
      <xdr:colOff>725365</xdr:colOff>
      <xdr:row>5</xdr:row>
      <xdr:rowOff>14654</xdr:rowOff>
    </xdr:from>
    <xdr:to>
      <xdr:col>14</xdr:col>
      <xdr:colOff>232894</xdr:colOff>
      <xdr:row>25</xdr:row>
      <xdr:rowOff>115941</xdr:rowOff>
    </xdr:to>
    <xdr:graphicFrame macro="">
      <xdr:nvGraphicFramePr>
        <xdr:cNvPr id="4" name="Graf 3">
          <a:extLst>
            <a:ext uri="{FF2B5EF4-FFF2-40B4-BE49-F238E27FC236}">
              <a16:creationId xmlns:a16="http://schemas.microsoft.com/office/drawing/2014/main" id="{0326A796-3286-46DE-9C9B-4E73F2999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16</xdr:row>
      <xdr:rowOff>0</xdr:rowOff>
    </xdr:from>
    <xdr:to>
      <xdr:col>7</xdr:col>
      <xdr:colOff>314325</xdr:colOff>
      <xdr:row>30</xdr:row>
      <xdr:rowOff>153517</xdr:rowOff>
    </xdr:to>
    <xdr:graphicFrame macro="">
      <xdr:nvGraphicFramePr>
        <xdr:cNvPr id="3" name="Chart 3">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1225062</xdr:colOff>
      <xdr:row>3</xdr:row>
      <xdr:rowOff>40298</xdr:rowOff>
    </xdr:to>
    <xdr:sp macro="" textlink="">
      <xdr:nvSpPr>
        <xdr:cNvPr id="2" name="Rounded Rectangle 5_ContentButton">
          <a:hlinkClick xmlns:r="http://schemas.openxmlformats.org/officeDocument/2006/relationships" r:id="rId2"/>
          <a:extLst>
            <a:ext uri="{FF2B5EF4-FFF2-40B4-BE49-F238E27FC236}">
              <a16:creationId xmlns:a16="http://schemas.microsoft.com/office/drawing/2014/main" id="{082AAFA7-A7EF-4A7E-B757-A82AE09B7CC0}"/>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11</xdr:col>
      <xdr:colOff>47625</xdr:colOff>
      <xdr:row>16</xdr:row>
      <xdr:rowOff>47625</xdr:rowOff>
    </xdr:from>
    <xdr:to>
      <xdr:col>20</xdr:col>
      <xdr:colOff>581025</xdr:colOff>
      <xdr:row>31</xdr:row>
      <xdr:rowOff>39217</xdr:rowOff>
    </xdr:to>
    <xdr:graphicFrame macro="">
      <xdr:nvGraphicFramePr>
        <xdr:cNvPr id="5" name="Chart 3">
          <a:extLst>
            <a:ext uri="{FF2B5EF4-FFF2-40B4-BE49-F238E27FC236}">
              <a16:creationId xmlns:a16="http://schemas.microsoft.com/office/drawing/2014/main" id="{340BA3AA-7F85-4CB6-8A2F-9FE1E47A2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371475</xdr:colOff>
      <xdr:row>16</xdr:row>
      <xdr:rowOff>142874</xdr:rowOff>
    </xdr:from>
    <xdr:to>
      <xdr:col>3</xdr:col>
      <xdr:colOff>504825</xdr:colOff>
      <xdr:row>32</xdr:row>
      <xdr:rowOff>0</xdr:rowOff>
    </xdr:to>
    <xdr:graphicFrame macro="">
      <xdr:nvGraphicFramePr>
        <xdr:cNvPr id="6" name="Graf 5">
          <a:extLst>
            <a:ext uri="{FF2B5EF4-FFF2-40B4-BE49-F238E27FC236}">
              <a16:creationId xmlns:a16="http://schemas.microsoft.com/office/drawing/2014/main" id="{8C454E6D-BE4F-4515-85C3-59838B28E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66675</xdr:colOff>
      <xdr:row>17</xdr:row>
      <xdr:rowOff>28575</xdr:rowOff>
    </xdr:from>
    <xdr:to>
      <xdr:col>17</xdr:col>
      <xdr:colOff>200025</xdr:colOff>
      <xdr:row>32</xdr:row>
      <xdr:rowOff>47626</xdr:rowOff>
    </xdr:to>
    <xdr:graphicFrame macro="">
      <xdr:nvGraphicFramePr>
        <xdr:cNvPr id="7" name="Graf 6">
          <a:extLst>
            <a:ext uri="{FF2B5EF4-FFF2-40B4-BE49-F238E27FC236}">
              <a16:creationId xmlns:a16="http://schemas.microsoft.com/office/drawing/2014/main" id="{C5297728-7A2C-48A2-BD72-E7545D2E2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161925</xdr:colOff>
      <xdr:row>2</xdr:row>
      <xdr:rowOff>138113</xdr:rowOff>
    </xdr:to>
    <xdr:sp macro="" textlink="">
      <xdr:nvSpPr>
        <xdr:cNvPr id="8" name="Rounded Rectangle 5_ContentButton">
          <a:hlinkClick xmlns:r="http://schemas.openxmlformats.org/officeDocument/2006/relationships" r:id="rId1"/>
          <a:extLst>
            <a:ext uri="{FF2B5EF4-FFF2-40B4-BE49-F238E27FC236}">
              <a16:creationId xmlns:a16="http://schemas.microsoft.com/office/drawing/2014/main" id="{00000000-0008-0000-1600-000008000000}"/>
            </a:ext>
          </a:extLst>
        </xdr:cNvPr>
        <xdr:cNvSpPr/>
      </xdr:nvSpPr>
      <xdr:spPr>
        <a:xfrm>
          <a:off x="0" y="0"/>
          <a:ext cx="1381125" cy="51911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579157</xdr:colOff>
      <xdr:row>10</xdr:row>
      <xdr:rowOff>78628</xdr:rowOff>
    </xdr:from>
    <xdr:to>
      <xdr:col>4</xdr:col>
      <xdr:colOff>646621</xdr:colOff>
      <xdr:row>23</xdr:row>
      <xdr:rowOff>64281</xdr:rowOff>
    </xdr:to>
    <xdr:graphicFrame macro="">
      <xdr:nvGraphicFramePr>
        <xdr:cNvPr id="2" name="Graf 1">
          <a:extLst>
            <a:ext uri="{FF2B5EF4-FFF2-40B4-BE49-F238E27FC236}">
              <a16:creationId xmlns:a16="http://schemas.microsoft.com/office/drawing/2014/main" id="{84A9B3DD-9066-4438-B569-9F5F69EFD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2678205</xdr:colOff>
      <xdr:row>10</xdr:row>
      <xdr:rowOff>78442</xdr:rowOff>
    </xdr:from>
    <xdr:to>
      <xdr:col>10</xdr:col>
      <xdr:colOff>325200</xdr:colOff>
      <xdr:row>23</xdr:row>
      <xdr:rowOff>64095</xdr:rowOff>
    </xdr:to>
    <xdr:graphicFrame macro="">
      <xdr:nvGraphicFramePr>
        <xdr:cNvPr id="4" name="Graf 3">
          <a:extLst>
            <a:ext uri="{FF2B5EF4-FFF2-40B4-BE49-F238E27FC236}">
              <a16:creationId xmlns:a16="http://schemas.microsoft.com/office/drawing/2014/main" id="{6CA717EA-8690-4AF0-9868-3732A5A4E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5862</xdr:colOff>
      <xdr:row>3</xdr:row>
      <xdr:rowOff>40298</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039C27D7-0365-41D8-AA16-BA14EDD1FA97}"/>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605117</xdr:colOff>
      <xdr:row>10</xdr:row>
      <xdr:rowOff>49025</xdr:rowOff>
    </xdr:from>
    <xdr:to>
      <xdr:col>9</xdr:col>
      <xdr:colOff>280146</xdr:colOff>
      <xdr:row>23</xdr:row>
      <xdr:rowOff>33618</xdr:rowOff>
    </xdr:to>
    <xdr:graphicFrame macro="">
      <xdr:nvGraphicFramePr>
        <xdr:cNvPr id="2" name="Graf 1">
          <a:extLst>
            <a:ext uri="{FF2B5EF4-FFF2-40B4-BE49-F238E27FC236}">
              <a16:creationId xmlns:a16="http://schemas.microsoft.com/office/drawing/2014/main" id="{26D0D3EB-AC96-4B0C-9A9C-E32F13A6EF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340099</xdr:colOff>
      <xdr:row>10</xdr:row>
      <xdr:rowOff>44823</xdr:rowOff>
    </xdr:from>
    <xdr:to>
      <xdr:col>23</xdr:col>
      <xdr:colOff>344580</xdr:colOff>
      <xdr:row>23</xdr:row>
      <xdr:rowOff>29416</xdr:rowOff>
    </xdr:to>
    <xdr:graphicFrame macro="">
      <xdr:nvGraphicFramePr>
        <xdr:cNvPr id="4" name="Graf 3">
          <a:extLst>
            <a:ext uri="{FF2B5EF4-FFF2-40B4-BE49-F238E27FC236}">
              <a16:creationId xmlns:a16="http://schemas.microsoft.com/office/drawing/2014/main" id="{23D8717E-2423-4D83-BABE-978FA3B02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5862</xdr:colOff>
      <xdr:row>3</xdr:row>
      <xdr:rowOff>40298</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C9F87E30-D380-4240-988E-481999DB73CC}"/>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30956</xdr:colOff>
      <xdr:row>11</xdr:row>
      <xdr:rowOff>104775</xdr:rowOff>
    </xdr:from>
    <xdr:to>
      <xdr:col>8</xdr:col>
      <xdr:colOff>381000</xdr:colOff>
      <xdr:row>24</xdr:row>
      <xdr:rowOff>23606</xdr:rowOff>
    </xdr:to>
    <xdr:graphicFrame macro="">
      <xdr:nvGraphicFramePr>
        <xdr:cNvPr id="3" name="Graf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31750</xdr:colOff>
      <xdr:row>38</xdr:row>
      <xdr:rowOff>139700</xdr:rowOff>
    </xdr:from>
    <xdr:to>
      <xdr:col>8</xdr:col>
      <xdr:colOff>200025</xdr:colOff>
      <xdr:row>51</xdr:row>
      <xdr:rowOff>157750</xdr:rowOff>
    </xdr:to>
    <xdr:graphicFrame macro="">
      <xdr:nvGraphicFramePr>
        <xdr:cNvPr id="4" name="Graf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9525</xdr:colOff>
      <xdr:row>3</xdr:row>
      <xdr:rowOff>28575</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77FF19F0-7FC0-415D-BA0E-ACB1B47AF1CA}"/>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0.40513</cdr:x>
      <cdr:y>0.4105</cdr:y>
    </cdr:from>
    <cdr:to>
      <cdr:x>0.75084</cdr:x>
      <cdr:y>0.55206</cdr:y>
    </cdr:to>
    <cdr:sp macro="" textlink="">
      <cdr:nvSpPr>
        <cdr:cNvPr id="2" name="BlokTextu 1">
          <a:extLst xmlns:a="http://schemas.openxmlformats.org/drawingml/2006/main">
            <a:ext uri="{FF2B5EF4-FFF2-40B4-BE49-F238E27FC236}">
              <a16:creationId xmlns:a16="http://schemas.microsoft.com/office/drawing/2014/main" id="{DDC3B9A1-65C7-E2FA-93F7-221F0B8C7CE9}"/>
            </a:ext>
          </a:extLst>
        </cdr:cNvPr>
        <cdr:cNvSpPr txBox="1"/>
      </cdr:nvSpPr>
      <cdr:spPr>
        <a:xfrm xmlns:a="http://schemas.openxmlformats.org/drawingml/2006/main">
          <a:off x="1079258" y="768447"/>
          <a:ext cx="920991" cy="2650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b="1" i="1">
              <a:latin typeface="Arial Narrow" panose="020B0606020202030204" pitchFamily="34" charset="0"/>
            </a:rPr>
            <a:t>úspora výdavkov</a:t>
          </a:r>
        </a:p>
      </cdr:txBody>
    </cdr:sp>
  </cdr:relSizeAnchor>
</c:userShapes>
</file>

<file path=xl/drawings/drawing31.xml><?xml version="1.0" encoding="utf-8"?>
<c:userShapes xmlns:c="http://schemas.openxmlformats.org/drawingml/2006/chart">
  <cdr:relSizeAnchor xmlns:cdr="http://schemas.openxmlformats.org/drawingml/2006/chartDrawing">
    <cdr:from>
      <cdr:x>0.40513</cdr:x>
      <cdr:y>0.4105</cdr:y>
    </cdr:from>
    <cdr:to>
      <cdr:x>0.75084</cdr:x>
      <cdr:y>0.55206</cdr:y>
    </cdr:to>
    <cdr:sp macro="" textlink="">
      <cdr:nvSpPr>
        <cdr:cNvPr id="2" name="BlokTextu 1">
          <a:extLst xmlns:a="http://schemas.openxmlformats.org/drawingml/2006/main">
            <a:ext uri="{FF2B5EF4-FFF2-40B4-BE49-F238E27FC236}">
              <a16:creationId xmlns:a16="http://schemas.microsoft.com/office/drawing/2014/main" id="{DDC3B9A1-65C7-E2FA-93F7-221F0B8C7CE9}"/>
            </a:ext>
          </a:extLst>
        </cdr:cNvPr>
        <cdr:cNvSpPr txBox="1"/>
      </cdr:nvSpPr>
      <cdr:spPr>
        <a:xfrm xmlns:a="http://schemas.openxmlformats.org/drawingml/2006/main">
          <a:off x="1079258" y="768447"/>
          <a:ext cx="920991" cy="2650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b="1" i="1">
              <a:latin typeface="Arial Narrow" panose="020B0606020202030204" pitchFamily="34" charset="0"/>
            </a:rPr>
            <a:t>expenditure savings</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263037</xdr:colOff>
      <xdr:row>3</xdr:row>
      <xdr:rowOff>2198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D3C041E9-F17B-4C16-864B-1A28F6C3793F}"/>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263037</xdr:colOff>
      <xdr:row>3</xdr:row>
      <xdr:rowOff>40298</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7B32717E-A806-4D7C-ABFE-3FCBB029F2A6}"/>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263037</xdr:colOff>
      <xdr:row>3</xdr:row>
      <xdr:rowOff>40298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19739A45-C475-46F6-A2E5-E1675E25404D}"/>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263037</xdr:colOff>
      <xdr:row>3</xdr:row>
      <xdr:rowOff>40298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9BA96B84-1528-414C-AD54-41829F187380}"/>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107577</xdr:colOff>
      <xdr:row>26</xdr:row>
      <xdr:rowOff>65556</xdr:rowOff>
    </xdr:to>
    <xdr:graphicFrame macro="">
      <xdr:nvGraphicFramePr>
        <xdr:cNvPr id="2" name="Graf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29</xdr:row>
      <xdr:rowOff>38100</xdr:rowOff>
    </xdr:from>
    <xdr:to>
      <xdr:col>10</xdr:col>
      <xdr:colOff>116840</xdr:colOff>
      <xdr:row>48</xdr:row>
      <xdr:rowOff>103505</xdr:rowOff>
    </xdr:to>
    <xdr:graphicFrame macro="">
      <xdr:nvGraphicFramePr>
        <xdr:cNvPr id="4" name="Graf 3">
          <a:extLst>
            <a:ext uri="{FF2B5EF4-FFF2-40B4-BE49-F238E27FC236}">
              <a16:creationId xmlns:a16="http://schemas.microsoft.com/office/drawing/2014/main" id="{00000000-0008-0000-2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263037</xdr:colOff>
      <xdr:row>3</xdr:row>
      <xdr:rowOff>40298</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49F38391-3D39-4F37-956E-7775CB0F10E8}"/>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263037</xdr:colOff>
      <xdr:row>3</xdr:row>
      <xdr:rowOff>40298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2A10B97E-EEBD-4F1F-8B3E-E5BA91A155EA}"/>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260656</xdr:colOff>
      <xdr:row>3</xdr:row>
      <xdr:rowOff>26010</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AB951918-F4BA-4C2C-B5CF-CA761758944C}"/>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722835</xdr:colOff>
      <xdr:row>3</xdr:row>
      <xdr:rowOff>32505</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1EF0CABE-4D04-49C2-AF58-1645DA44F32A}"/>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xdr:colOff>
      <xdr:row>3</xdr:row>
      <xdr:rowOff>28575</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3</xdr:col>
      <xdr:colOff>30956</xdr:colOff>
      <xdr:row>7</xdr:row>
      <xdr:rowOff>5556</xdr:rowOff>
    </xdr:from>
    <xdr:to>
      <xdr:col>8</xdr:col>
      <xdr:colOff>400050</xdr:colOff>
      <xdr:row>18</xdr:row>
      <xdr:rowOff>85725</xdr:rowOff>
    </xdr:to>
    <xdr:graphicFrame macro="">
      <xdr:nvGraphicFramePr>
        <xdr:cNvPr id="3" name="Graf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28</xdr:row>
      <xdr:rowOff>0</xdr:rowOff>
    </xdr:from>
    <xdr:to>
      <xdr:col>8</xdr:col>
      <xdr:colOff>304800</xdr:colOff>
      <xdr:row>39</xdr:row>
      <xdr:rowOff>95250</xdr:rowOff>
    </xdr:to>
    <xdr:graphicFrame macro="">
      <xdr:nvGraphicFramePr>
        <xdr:cNvPr id="4" name="Graf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729762</xdr:colOff>
      <xdr:row>3</xdr:row>
      <xdr:rowOff>40298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06C7ED83-0018-4D41-8787-08503F0ED680}"/>
            </a:ext>
          </a:extLst>
        </xdr:cNvPr>
        <xdr:cNvSpPr/>
      </xdr:nvSpPr>
      <xdr:spPr>
        <a:xfrm>
          <a:off x="0" y="0"/>
          <a:ext cx="1225062" cy="52607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600075</xdr:colOff>
      <xdr:row>9</xdr:row>
      <xdr:rowOff>128587</xdr:rowOff>
    </xdr:from>
    <xdr:to>
      <xdr:col>14</xdr:col>
      <xdr:colOff>142875</xdr:colOff>
      <xdr:row>24</xdr:row>
      <xdr:rowOff>14287</xdr:rowOff>
    </xdr:to>
    <xdr:graphicFrame macro="">
      <xdr:nvGraphicFramePr>
        <xdr:cNvPr id="7" name="Graf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9</xdr:row>
      <xdr:rowOff>123825</xdr:rowOff>
    </xdr:from>
    <xdr:to>
      <xdr:col>5</xdr:col>
      <xdr:colOff>561975</xdr:colOff>
      <xdr:row>24</xdr:row>
      <xdr:rowOff>9525</xdr:rowOff>
    </xdr:to>
    <xdr:graphicFrame macro="">
      <xdr:nvGraphicFramePr>
        <xdr:cNvPr id="8" name="Graf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600075</xdr:colOff>
      <xdr:row>3</xdr:row>
      <xdr:rowOff>38100</xdr:rowOff>
    </xdr:to>
    <xdr:sp macro="" textlink="">
      <xdr:nvSpPr>
        <xdr:cNvPr id="2" name="Rounded Rectangle 5_ContentButton">
          <a:hlinkClick xmlns:r="http://schemas.openxmlformats.org/officeDocument/2006/relationships" r:id="rId3"/>
          <a:extLst>
            <a:ext uri="{FF2B5EF4-FFF2-40B4-BE49-F238E27FC236}">
              <a16:creationId xmlns:a16="http://schemas.microsoft.com/office/drawing/2014/main" id="{5C09B723-5693-4933-93FF-E794626854A0}"/>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38101</xdr:colOff>
      <xdr:row>14</xdr:row>
      <xdr:rowOff>38100</xdr:rowOff>
    </xdr:from>
    <xdr:to>
      <xdr:col>8</xdr:col>
      <xdr:colOff>234316</xdr:colOff>
      <xdr:row>28</xdr:row>
      <xdr:rowOff>66676</xdr:rowOff>
    </xdr:to>
    <xdr:graphicFrame macro="">
      <xdr:nvGraphicFramePr>
        <xdr:cNvPr id="2" name="Graf 1">
          <a:extLst>
            <a:ext uri="{FF2B5EF4-FFF2-40B4-BE49-F238E27FC236}">
              <a16:creationId xmlns:a16="http://schemas.microsoft.com/office/drawing/2014/main" id="{1356D65C-9A52-45D1-92D3-C9E96B4AD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14</xdr:row>
      <xdr:rowOff>38100</xdr:rowOff>
    </xdr:from>
    <xdr:to>
      <xdr:col>16</xdr:col>
      <xdr:colOff>533400</xdr:colOff>
      <xdr:row>28</xdr:row>
      <xdr:rowOff>9525</xdr:rowOff>
    </xdr:to>
    <xdr:graphicFrame macro="">
      <xdr:nvGraphicFramePr>
        <xdr:cNvPr id="3" name="Graf 2">
          <a:extLst>
            <a:ext uri="{FF2B5EF4-FFF2-40B4-BE49-F238E27FC236}">
              <a16:creationId xmlns:a16="http://schemas.microsoft.com/office/drawing/2014/main" id="{60CF7BCD-D3FF-4F3A-937D-7BC4FC1E2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323850</xdr:colOff>
      <xdr:row>3</xdr:row>
      <xdr:rowOff>38100</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02CB2C5F-C707-408A-9E72-FBA8C302B184}"/>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591820</xdr:colOff>
      <xdr:row>8</xdr:row>
      <xdr:rowOff>145204</xdr:rowOff>
    </xdr:from>
    <xdr:to>
      <xdr:col>11</xdr:col>
      <xdr:colOff>359833</xdr:colOff>
      <xdr:row>20</xdr:row>
      <xdr:rowOff>70004</xdr:rowOff>
    </xdr:to>
    <xdr:graphicFrame macro="">
      <xdr:nvGraphicFramePr>
        <xdr:cNvPr id="2" name="Graf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0</xdr:rowOff>
    </xdr:from>
    <xdr:to>
      <xdr:col>11</xdr:col>
      <xdr:colOff>381000</xdr:colOff>
      <xdr:row>35</xdr:row>
      <xdr:rowOff>111067</xdr:rowOff>
    </xdr:to>
    <xdr:graphicFrame macro="">
      <xdr:nvGraphicFramePr>
        <xdr:cNvPr id="5" name="Graf 4">
          <a:extLst>
            <a:ext uri="{FF2B5EF4-FFF2-40B4-BE49-F238E27FC236}">
              <a16:creationId xmlns:a16="http://schemas.microsoft.com/office/drawing/2014/main" id="{4B5CA5E1-6BC6-420E-A8EC-99F9BB616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571500</xdr:colOff>
      <xdr:row>3</xdr:row>
      <xdr:rowOff>38100</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D1BD1AEA-EF4A-4746-A4D9-F6B76032009C}"/>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45720</xdr:colOff>
      <xdr:row>7</xdr:row>
      <xdr:rowOff>26670</xdr:rowOff>
    </xdr:from>
    <xdr:to>
      <xdr:col>12</xdr:col>
      <xdr:colOff>133350</xdr:colOff>
      <xdr:row>18</xdr:row>
      <xdr:rowOff>141244</xdr:rowOff>
    </xdr:to>
    <xdr:graphicFrame macro="">
      <xdr:nvGraphicFramePr>
        <xdr:cNvPr id="3" name="Graf 2">
          <a:extLst>
            <a:ext uri="{FF2B5EF4-FFF2-40B4-BE49-F238E27FC236}">
              <a16:creationId xmlns:a16="http://schemas.microsoft.com/office/drawing/2014/main" id="{00000000-0008-0000-2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590549</xdr:colOff>
      <xdr:row>22</xdr:row>
      <xdr:rowOff>144780</xdr:rowOff>
    </xdr:from>
    <xdr:to>
      <xdr:col>12</xdr:col>
      <xdr:colOff>104774</xdr:colOff>
      <xdr:row>34</xdr:row>
      <xdr:rowOff>84094</xdr:rowOff>
    </xdr:to>
    <xdr:graphicFrame macro="">
      <xdr:nvGraphicFramePr>
        <xdr:cNvPr id="4" name="Graf 3">
          <a:extLst>
            <a:ext uri="{FF2B5EF4-FFF2-40B4-BE49-F238E27FC236}">
              <a16:creationId xmlns:a16="http://schemas.microsoft.com/office/drawing/2014/main" id="{F8785C2F-E540-470A-9EFD-A431DC02D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390525</xdr:colOff>
      <xdr:row>3</xdr:row>
      <xdr:rowOff>38100</xdr:rowOff>
    </xdr:to>
    <xdr:sp macro="" textlink="">
      <xdr:nvSpPr>
        <xdr:cNvPr id="2" name="Rounded Rectangle 5_ContentButton">
          <a:hlinkClick xmlns:r="http://schemas.openxmlformats.org/officeDocument/2006/relationships" r:id="rId3"/>
          <a:extLst>
            <a:ext uri="{FF2B5EF4-FFF2-40B4-BE49-F238E27FC236}">
              <a16:creationId xmlns:a16="http://schemas.microsoft.com/office/drawing/2014/main" id="{C38F428E-9F4E-4B4B-B783-286022A2820B}"/>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598170</xdr:colOff>
      <xdr:row>5</xdr:row>
      <xdr:rowOff>76200</xdr:rowOff>
    </xdr:from>
    <xdr:to>
      <xdr:col>9</xdr:col>
      <xdr:colOff>571770</xdr:colOff>
      <xdr:row>17</xdr:row>
      <xdr:rowOff>41640</xdr:rowOff>
    </xdr:to>
    <xdr:graphicFrame macro="">
      <xdr:nvGraphicFramePr>
        <xdr:cNvPr id="2" name="Graf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0</xdr:rowOff>
    </xdr:from>
    <xdr:to>
      <xdr:col>9</xdr:col>
      <xdr:colOff>583200</xdr:colOff>
      <xdr:row>34</xdr:row>
      <xdr:rowOff>148320</xdr:rowOff>
    </xdr:to>
    <xdr:graphicFrame macro="">
      <xdr:nvGraphicFramePr>
        <xdr:cNvPr id="4" name="Graf 3">
          <a:extLst>
            <a:ext uri="{FF2B5EF4-FFF2-40B4-BE49-F238E27FC236}">
              <a16:creationId xmlns:a16="http://schemas.microsoft.com/office/drawing/2014/main" id="{273D1ABB-59CF-4236-B516-07682AE24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704850</xdr:colOff>
      <xdr:row>3</xdr:row>
      <xdr:rowOff>38100</xdr:rowOff>
    </xdr:to>
    <xdr:sp macro="" textlink="">
      <xdr:nvSpPr>
        <xdr:cNvPr id="6" name="Rounded Rectangle 5_ContentButton">
          <a:hlinkClick xmlns:r="http://schemas.openxmlformats.org/officeDocument/2006/relationships" r:id="rId3"/>
          <a:extLst>
            <a:ext uri="{FF2B5EF4-FFF2-40B4-BE49-F238E27FC236}">
              <a16:creationId xmlns:a16="http://schemas.microsoft.com/office/drawing/2014/main" id="{25A2BA60-4652-4C85-98E9-BB96A713C2D9}"/>
            </a:ext>
          </a:extLst>
        </xdr:cNvPr>
        <xdr:cNvSpPr/>
      </xdr:nvSpPr>
      <xdr:spPr>
        <a:xfrm>
          <a:off x="0" y="0"/>
          <a:ext cx="1228725"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idrozd/Desktop/NPC_2013_2015_OS_09/NPC_2010/Documents%20and%20Settings/PANTOLIN/My%20Local%20Documents/Slovenia/Wages_employ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havlat\AppData\Local\Microsoft\Windows\Temporary%20Internet%20Files\Content.Outlook\RKZTYI1L\K&#352;D%2014_16erik_final_dlh_20130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havlat/AppData/Local/Microsoft/Windows/Temporary%20Internet%20Files/Content.Outlook/RKZTYI1L/K&#352;D%2014_16erik_final_dlh_2013030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IFP_NEW\2_FISKAL\04_Modely\02_Dlh%20VS\01%20-%20Prognoza\K&#352;D%2019_21_08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FP_NEW/2_FISKAL/04_Modely/02_Dlh%20VS/01%20-%20Prognoza/K&#352;D%2019_21_08201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f.mfsr.sk\DfsRoot\ADRESARE\IFP_NEW\3_MAKRO\3_3_Databaza\FD\for%20GDP\vstupy\3Q2020\NAMAIN_T0102_Q_SK_2020Q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pskfap00002\research\research\macro\mac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f.mfsr.sk\DfsRoot\ADRESARE\IFP_NEW\3_MAKRO\3_3_Databaza\real_ec2013.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IFP_NEW\2_FISKAL\05_Dlh\11%20-%20DSA\DSA_2026_0610_DBP_V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FP_NEW/2_FISKAL/05_Dlh/11%20-%20DSA/DSA_2026_0610_DBP_V2.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DBP201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FK_maj_2016_22012016_preliminary_PJ_scenar%2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FP_NEW\2_FISKAL\04_Modely\01_Konsolidacne%20usilie%20a%20fiskalny%20impulz\Strukturalne_saldo_MODEL_FK_maj_2016_22012016_preliminary_PJ_scenar%20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BACFSPROF\rc3\2007\HCE_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IFP_NEW\5_MATERIALY\5_3_Strategicke_materialy\Program_stability\2021\Tabu&#318;ky\PS_2021_Tabulky_Komplet.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IFP_NEW/5_MATERIALY/5_3_Strategicke_materialy/Program_stability/2021/Tabu&#318;ky/PS_2021_Tabulky_Komplet.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IFP_NEW\1_DANE\1_5_Vybor\EDV\2019_zasadnutia\DV_2019_02\1-PROGNOZA\Prispevky_k_prognoze_201902_medzirocne_v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IFP_NEW/1_DANE/1_5_Vybor/EDV/2019_zasadnutia/DV_2019_02/1-PROGNOZA/Prispevky_k_prognoze_201902_medzirocne_v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IFP_NEW/1_DANE/1_05_Vybor/EDV/2020_zasadnutia/DV_2020_02/1-PROGNOZA/Prispevky_k_prognoze_202002_medzirocn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C3\CZE\REER\REERTOT99%20revis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IFP_NEW\5_MATERIALY\5_3_Strategicke_materialy\Navrh%20rozpoctoveho%20planu%20DBP\2017\Dane\Prispevky_k_prognoze_RVS_vs_201709_pre_DBP.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IFP_NEW/5_MATERIALY/5_3_Strategicke_materialy/Navrh%20rozpoctoveho%20planu%20DBP/2017/Dane/Prispevky_k_prognoze_RVS_vs_201709_pre_DBP.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DATA\O2\MKD\REP\TABLES\red98\Mk-red9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jkubala\AppData\Roaming\Microsoft\Excel\K&#352;D%2019_21%20aktualny_DBP%20(version%202).xlsb"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IFP_NEW\2_FISKAL\05_Dlh\01%20-%20Prognoza\2022\DLH_Model_2022_PS_2022.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FP_NEW/2_FISKAL/05_Dlh/01%20-%20Prognoza/2022/DLH_Model_2022_PS_2022.xlsm"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IFP_NEW/3_MAKRO/3_3_Databaza/Z&#225;loha%20SK_Inflacia.xlk"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83.xml.rels><?xml version="1.0" encoding="UTF-8" standalone="yes"?>
<Relationships xmlns="http://schemas.openxmlformats.org/package/2006/relationships"><Relationship Id="rId2" Type="http://schemas.openxmlformats.org/officeDocument/2006/relationships/externalLinkPath" Target="file:///U:\IFP_NEW\5_MATERIALY\5_3_Strategicke_materialy\Narodny%20fiskalny%20a%20strukturalny%20plan\2024\NFPE_2024-2027_RT.xlsx" TargetMode="External"/><Relationship Id="rId1" Type="http://schemas.openxmlformats.org/officeDocument/2006/relationships/externalLinkPath" Target="/IFP_NEW/5_MATERIALY/5_3_Strategicke_materialy/Narodny%20fiskalny%20a%20strukturalny%20plan/2024/NFPE_2024-2027_RT.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IFP_NEW/6_VSEOBECNE/6_4_Ludia/Kubas/Datab&#225;zy/ESI/ESI.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IFP_NEW/1_DANE/1_05_Vybor/EDV/2024_zasadnutia/DV_2024_09/2-VYSTUPY/2_Koment&#225;r/VpDP_tabulky_sept24.xlsx"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Graf%2029"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 val="my_table"/>
      <sheetName val="Assu__summary"/>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Wage_Data"/>
      <sheetName val="Wages_by_sector"/>
      <sheetName val="Priv_S_wages"/>
      <sheetName val="Pub_S_wages"/>
      <sheetName val="Wages_Manuf_"/>
      <sheetName val="Real_wages"/>
      <sheetName val="Real_wages_by_sector"/>
      <sheetName val="Employment_Data_Sectors_(wages)"/>
      <sheetName val="Employment_data_by_sectors"/>
      <sheetName val="Employment_Full_time_equivalent"/>
      <sheetName val="Employment_data"/>
      <sheetName val="Total_Employment"/>
      <sheetName val="Employment_public_services"/>
      <sheetName val="Employment_table"/>
      <sheetName val="Wages_and_Consumption"/>
      <sheetName val="Wages_and_tax_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
          <cell r="H6">
            <v>31509</v>
          </cell>
        </row>
      </sheetData>
      <sheetData sheetId="29"/>
      <sheetData sheetId="30"/>
      <sheetData sheetId="31"/>
      <sheetData sheetId="32"/>
      <sheetData sheetId="33"/>
      <sheetData sheetId="34"/>
      <sheetData sheetId="35"/>
      <sheetData sheetId="3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 val="[MFLOW96.XLS]_WIN_TEMP_MFLOW_60"/>
      <sheetName val="[MFLOW96.XLS]_WIN_TEMP_MFLOW9_2"/>
      <sheetName val="[MFLOW96.XLS]_WIN_TEMP_MFLOW9_3"/>
      <sheetName val="[MFLOW96.XLS]_WIN_TEMP_MFLOW9_4"/>
      <sheetName val="[MFLOW96.XLS]_WIN_TEMP_MFLOW9_5"/>
      <sheetName val="[MFLOW96.XLS]\WIN\TEMP\MFLOW96."/>
      <sheetName val="[MFLOW96.XLS]_WIN_TEMP_MFLOW9_6"/>
      <sheetName val="[MFLOW96.XLS]_WIN_TEMP_MFLOW_25"/>
      <sheetName val="[MFLOW96.XLS]_WIN_TEMP_MFLOW9_7"/>
      <sheetName val="[MFLOW96.XLS]_WIN_TEMP_MFLOW9_8"/>
      <sheetName val="[MFLOW96.XLS]_WIN_TEMP_MFLOW9_9"/>
      <sheetName val="[MFLOW96.XLS]_WIN_TEMP_MFLOW_10"/>
      <sheetName val="[MFLOW96.XLS]_WIN_TEMP_MFLOW_11"/>
      <sheetName val="[MFLOW96.XLS]_WIN_TEMP_MFLOW_13"/>
      <sheetName val="[MFLOW96.XLS]_WIN_TEMP_MFLOW_12"/>
      <sheetName val="[MFLOW96.XLS]_WIN_TEMP_MFLOW_16"/>
      <sheetName val="[MFLOW96.XLS]_WIN_TEMP_MFLOW_14"/>
      <sheetName val="[MFLOW96.XLS]_WIN_TEMP_MFLOW_15"/>
      <sheetName val="[MFLOW96.XLS]_WIN_TEMP_MFLOW_17"/>
      <sheetName val="[MFLOW96.XLS]_WIN_TEMP_MFLOW_20"/>
      <sheetName val="[MFLOW96.XLS]_WIN_TEMP_MFLOW_18"/>
      <sheetName val="[MFLOW96.XLS]_WIN_TEMP_MFLOW_19"/>
      <sheetName val="[MFLOW96.XLS]_WIN_TEMP_MFLOW_21"/>
      <sheetName val="[MFLOW96.XLS]_WIN_TEMP_MFLOW_22"/>
      <sheetName val="[MFLOW96.XLS]_WIN_TEMP_MFLOW_23"/>
      <sheetName val="[MFLOW96.XLS]_WIN_TEMP_MFLOW_24"/>
      <sheetName val="[MFLOW96.XLS]_WIN_TEMP_MFLOW_26"/>
      <sheetName val="[MFLOW96.XLS]_WIN_TEMP_MFLOW_27"/>
      <sheetName val="[MFLOW96.XLS]_WIN_TEMP_MFLOW_28"/>
      <sheetName val="[MFLOW96.XLS]_WIN_TEMP_MFLOW_29"/>
      <sheetName val="[MFLOW96.XLS]_WIN_TEMP_MFLOW_31"/>
      <sheetName val="[MFLOW96.XLS]_WIN_TEMP_MFLOW_30"/>
      <sheetName val="[MFLOW96.XLS]_WIN_TEMP_MFLOW_32"/>
      <sheetName val="[MFLOW96.XLS]_WIN_TEMP_MFLOW_33"/>
      <sheetName val="[MFLOW96.XLS]_WIN_TEMP_MFLOW_34"/>
      <sheetName val="[MFLOW96.XLS]_WIN_TEMP_MFLOW_37"/>
      <sheetName val="[MFLOW96.XLS]_WIN_TEMP_MFLOW_35"/>
      <sheetName val="[MFLOW96.XLS]_WIN_TEMP_MFLOW_36"/>
      <sheetName val="[MFLOW96.XLS]_WIN_TEMP_MFLOW_39"/>
      <sheetName val="[MFLOW96.XLS]_WIN_TEMP_MFLOW_38"/>
      <sheetName val="[MFLOW96.XLS]_WIN_TEMP_MFLOW_40"/>
      <sheetName val="[MFLOW96.XLS]_WIN_TEMP_MFLOW_41"/>
      <sheetName val="[MFLOW96.XLS]_WIN_TEMP_MFLOW_42"/>
      <sheetName val="[MFLOW96.XLS]_WIN_TEMP_MFLOW_45"/>
      <sheetName val="[MFLOW96.XLS]_WIN_TEMP_MFLOW_43"/>
      <sheetName val="[MFLOW96.XLS]_WIN_TEMP_MFLOW_44"/>
      <sheetName val="[MFLOW96.XLS]_WIN_TEMP_MFLOW_46"/>
      <sheetName val="[MFLOW96.XLS]_WIN_TEMP_MFLOW_53"/>
      <sheetName val="[MFLOW96.XLS]_WIN_TEMP_MFLOW_49"/>
      <sheetName val="[MFLOW96.XLS]_WIN_TEMP_MFLOW_47"/>
      <sheetName val="[MFLOW96.XLS]_WIN_TEMP_MFLOW_48"/>
      <sheetName val="[MFLOW96.XLS]_WIN_TEMP_MFLOW_50"/>
      <sheetName val="[MFLOW96.XLS]_WIN_TEMP_MFLOW_51"/>
      <sheetName val="[MFLOW96.XLS]_WIN_TEMP_MFLOW_52"/>
      <sheetName val="[MFLOW96.XLS]_WIN_TEMP_MFLOW_54"/>
      <sheetName val="[MFLOW96.XLS]_WIN_TEMP_MFLOW_55"/>
      <sheetName val="[MFLOW96.XLS]_WIN_TEMP_MFLOW_56"/>
      <sheetName val="[MFLOW96.XLS]_WIN_TEMP_MFLOW_57"/>
      <sheetName val="[MFLOW96.XLS]_WIN_TEMP_MFLOW_58"/>
      <sheetName val="[MFLOW96.XLS]_WIN_TEMP_MFLOW_59"/>
      <sheetName val="[MFLOW96.XLS]_WIN_TEMP_MFLOW_70"/>
      <sheetName val="[MFLOW96.XLS]_WIN_TEMP_MFLOW_69"/>
      <sheetName val="[MFLOW96.XLS]_WIN_TEMP_MFLOW_61"/>
      <sheetName val="[MFLOW96.XLS]_WIN_TEMP_MFLOW_62"/>
      <sheetName val="[MFLOW96.XLS]_WIN_TEMP_MFLOW_64"/>
      <sheetName val="[MFLOW96.XLS]_WIN_TEMP_MFLOW_63"/>
      <sheetName val="[MFLOW96.XLS]_WIN_TEMP_MFLOW_66"/>
      <sheetName val="[MFLOW96.XLS]_WIN_TEMP_MFLOW_65"/>
      <sheetName val="[MFLOW96.XLS]_WIN_TEMP_MFLOW_67"/>
      <sheetName val="[MFLOW96.XLS]_WIN_TEMP_MFLOW_68"/>
      <sheetName val="[MFLOW96.XLS]_WIN_TEMP_MFLOW_83"/>
      <sheetName val="[MFLOW96.XLS]_WIN_TEMP_MFLOW_76"/>
      <sheetName val="[MFLOW96.XLS]_WIN_TEMP_MFLOW_72"/>
      <sheetName val="[MFLOW96.XLS]_WIN_TEMP_MFLOW_71"/>
      <sheetName val="[MFLOW96.XLS]_WIN_TEMP_MFLOW_74"/>
      <sheetName val="[MFLOW96.XLS]_WIN_TEMP_MFLOW_73"/>
      <sheetName val="[MFLOW96.XLS]_WIN_TEMP_MFLOW_75"/>
      <sheetName val="[MFLOW96.XLS]_WIN_TEMP_MFLOW_77"/>
      <sheetName val="[MFLOW96.XLS]_WIN_TEMP_MFLOW_78"/>
      <sheetName val="[MFLOW96.XLS]_WIN_TEMP_MFLOW_79"/>
      <sheetName val="[MFLOW96.XLS]_WIN_TEMP_MFLOW_80"/>
      <sheetName val="[MFLOW96.XLS]_WIN_TEMP_MFLOW_82"/>
      <sheetName val="[MFLOW96.XLS]_WIN_TEMP_MFLOW_81"/>
      <sheetName val="[MFLOW96.XLS]_WIN_TEMP_MFLOW_84"/>
      <sheetName val="[MFLOW96.XLS]_WIN_TEMP_MFLO_136"/>
      <sheetName val="[MFLOW96.XLS]_WIN_TEMP_MFLOW_85"/>
      <sheetName val="[MFLOW96.XLS]_WIN_TEMP_MFLOW_86"/>
      <sheetName val="[MFLOW96.XLS]_WIN_TEMP_MFLOW_87"/>
      <sheetName val="[MFLOW96.XLS]_WIN_TEMP_MFLOW_89"/>
      <sheetName val="[MFLOW96.XLS]_WIN_TEMP_MFLOW_88"/>
      <sheetName val="[MFLOW96.XLS]_WIN_TEMP_MFLOW_99"/>
      <sheetName val="[MFLOW96.XLS]_WIN_TEMP_MFLOW_94"/>
      <sheetName val="[MFLOW96.XLS]_WIN_TEMP_MFLOW_92"/>
      <sheetName val="[MFLOW96.XLS]_WIN_TEMP_MFLOW_91"/>
      <sheetName val="[MFLOW96.XLS]_WIN_TEMP_MFLOW_90"/>
      <sheetName val="[MFLOW96.XLS]_WIN_TEMP_MFLOW_93"/>
      <sheetName val="[MFLOW96.XLS]_WIN_TEMP_MFLOW_95"/>
      <sheetName val="[MFLOW96.XLS]_WIN_TEMP_MFLOW_98"/>
      <sheetName val="[MFLOW96.XLS]_WIN_TEMP_MFLOW_96"/>
      <sheetName val="[MFLOW96.XLS]_WIN_TEMP_MFLOW_97"/>
      <sheetName val="[MFLOW96.XLS]_WIN_TEMP_MFLO_100"/>
      <sheetName val="[MFLOW96.XLS]_WIN_TEMP_MFLO_101"/>
      <sheetName val="[MFLOW96.XLS]_WIN_TEMP_MFLO_102"/>
      <sheetName val="[MFLOW96.XLS]_WIN_TEMP_MFLO_103"/>
      <sheetName val="[MFLOW96.XLS]_WIN_TEMP_MFLO_104"/>
      <sheetName val="[MFLOW96.XLS]_WIN_TEMP_MFLO_107"/>
      <sheetName val="[MFLOW96.XLS]_WIN_TEMP_MFLO_105"/>
      <sheetName val="[MFLOW96.XLS]_WIN_TEMP_MFLO_106"/>
      <sheetName val="[MFLOW96.XLS]_WIN_TEMP_MFLO_108"/>
      <sheetName val="[MFLOW96.XLS]_WIN_TEMP_MFLO_125"/>
      <sheetName val="[MFLOW96.XLS]_WIN_TEMP_MFLO_110"/>
      <sheetName val="[MFLOW96.XLS]_WIN_TEMP_MFLO_109"/>
      <sheetName val="[MFLOW96.XLS]_WIN_TEMP_MFLO_111"/>
      <sheetName val="[MFLOW96.XLS]_WIN_TEMP_MFLO_112"/>
      <sheetName val="[MFLOW96.XLS]_WIN_TEMP_MFLO_113"/>
      <sheetName val="[MFLOW96.XLS]_WIN_TEMP_MFLO_114"/>
      <sheetName val="[MFLOW96.XLS]_WIN_TEMP_MFLO_115"/>
      <sheetName val="[MFLOW96.XLS]_WIN_TEMP_MFLO_116"/>
      <sheetName val="[MFLOW96.XLS]_WIN_TEMP_MFLO_121"/>
      <sheetName val="[MFLOW96.XLS]_WIN_TEMP_MFLO_120"/>
      <sheetName val="[MFLOW96.XLS]_WIN_TEMP_MFLO_117"/>
      <sheetName val="[MFLOW96.XLS]_WIN_TEMP_MFLO_119"/>
      <sheetName val="[MFLOW96.XLS]_WIN_TEMP_MFLO_118"/>
      <sheetName val="[MFLOW96.XLS]_WIN_TEMP_MFLO_122"/>
      <sheetName val="[MFLOW96.XLS]_WIN_TEMP_MFLO_123"/>
      <sheetName val="[MFLOW96.XLS]_WIN_TEMP_MFLO_124"/>
      <sheetName val="[MFLOW96.XLS]_WIN_TEMP_MFLO_129"/>
      <sheetName val="[MFLOW96.XLS]_WIN_TEMP_MFLO_126"/>
      <sheetName val="[MFLOW96.XLS]_WIN_TEMP_MFLO_128"/>
      <sheetName val="[MFLOW96.XLS]_WIN_TEMP_MFLO_127"/>
      <sheetName val="[MFLOW96.XLS]_WIN_TEMP_MFLO_130"/>
      <sheetName val="[MFLOW96.XLS]_WIN_TEMP_MFLO_133"/>
      <sheetName val="[MFLOW96.XLS]_WIN_TEMP_MFLO_131"/>
      <sheetName val="[MFLOW96.XLS]_WIN_TEMP_MFLO_132"/>
      <sheetName val="[MFLOW96.XLS]_WIN_TEMP_MFLO_135"/>
      <sheetName val="[MFLOW96.XLS]_WIN_TEMP_MFLO_134"/>
      <sheetName val="[MFLOW96.XLS]_WIN_TEMP_MFLO_143"/>
      <sheetName val="[MFLOW96.XLS]_WIN_TEMP_MFLO_137"/>
      <sheetName val="[MFLOW96.XLS]_WIN_TEMP_MFLO_138"/>
      <sheetName val="[MFLOW96.XLS]_WIN_TEMP_MFLO_139"/>
      <sheetName val="[MFLOW96.XLS]_WIN_TEMP_MFLO_140"/>
      <sheetName val="[MFLOW96.XLS]_WIN_TEMP_MFLO_141"/>
      <sheetName val="[MFLOW96.XLS]_WIN_TEMP_MFLO_142"/>
      <sheetName val="[MFLOW96.XLS]_WIN_TEMP_MFLO_144"/>
      <sheetName val="[MFLOW96.XLS]_WIN_TEMP_MFLO_145"/>
      <sheetName val="[MFLOW96.XLS]_WIN_TEMP_MFLO_146"/>
      <sheetName val="[MFLOW96.XLS]_WIN_TEMP_MFLO_148"/>
      <sheetName val="[MFLOW96.XLS]_WIN_TEMP_MFLO_147"/>
      <sheetName val="[MFLOW96.XLS]_WIN_TEMP_MFLO_149"/>
      <sheetName val="[MFLOW96.XLS]_WIN_TEMP_MFLO_153"/>
      <sheetName val="[MFLOW96.XLS]_WIN_TEMP_MFLO_150"/>
      <sheetName val="[MFLOW96.XLS]_WIN_TEMP_MFLO_152"/>
      <sheetName val="[MFLOW96.XLS]_WIN_TEMP_MFLO_151"/>
      <sheetName val="[MFLOW96.XLS]_WIN_TEMP_MFLO_154"/>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 val="BoP"/>
      <sheetName val="RES"/>
      <sheetName val="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splatnos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row>
        <row r="12">
          <cell r="B12" t="str">
            <v>+</v>
          </cell>
        </row>
        <row r="13">
          <cell r="B13" t="str">
            <v>+</v>
          </cell>
        </row>
        <row r="14">
          <cell r="B14" t="str">
            <v>+</v>
          </cell>
        </row>
        <row r="15">
          <cell r="B15" t="str">
            <v>+</v>
          </cell>
        </row>
        <row r="16">
          <cell r="B16" t="str">
            <v>+</v>
          </cell>
        </row>
        <row r="17">
          <cell r="B17" t="str">
            <v>+</v>
          </cell>
        </row>
        <row r="18">
          <cell r="B18" t="str">
            <v>+</v>
          </cell>
        </row>
        <row r="19">
          <cell r="B19" t="str">
            <v>+</v>
          </cell>
        </row>
        <row r="20">
          <cell r="B20" t="str">
            <v>+</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Z207">
            <v>0.51348097145076543</v>
          </cell>
        </row>
        <row r="208">
          <cell r="B208" t="str">
            <v>+</v>
          </cell>
          <cell r="AZ208">
            <v>0.50145143880579912</v>
          </cell>
        </row>
        <row r="209">
          <cell r="B209" t="str">
            <v>+</v>
          </cell>
          <cell r="AZ209">
            <v>0.47119476502599783</v>
          </cell>
        </row>
        <row r="210">
          <cell r="B210" t="str">
            <v>+</v>
          </cell>
          <cell r="AZ210">
            <v>0.46201037289063729</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84.389999389648438</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101.33999633789063</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1019.1599731445313</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80.889999389648438</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452.98001098632813</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352.66000366210938</v>
          </cell>
          <cell r="C43" t="str">
            <v>n.a.</v>
          </cell>
          <cell r="D43">
            <v>69.05999755859375</v>
          </cell>
          <cell r="E43" t="str">
            <v>n.a.</v>
          </cell>
        </row>
        <row r="44">
          <cell r="A44" t="str">
            <v>1991M9</v>
          </cell>
          <cell r="B44">
            <v>282.48001098632813</v>
          </cell>
          <cell r="C44" t="str">
            <v>n.a.</v>
          </cell>
          <cell r="D44">
            <v>64.580001831054688</v>
          </cell>
          <cell r="E44" t="str">
            <v>n.a.</v>
          </cell>
        </row>
        <row r="45">
          <cell r="A45" t="str">
            <v>1991M10</v>
          </cell>
          <cell r="B45">
            <v>202.72999572753906</v>
          </cell>
          <cell r="C45" t="str">
            <v>n.a.</v>
          </cell>
          <cell r="D45">
            <v>57.459999084472656</v>
          </cell>
          <cell r="E45" t="str">
            <v>n.a.</v>
          </cell>
        </row>
        <row r="46">
          <cell r="A46" t="str">
            <v>1991M11</v>
          </cell>
          <cell r="B46">
            <v>184.85000610351563</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2_QN_V"/>
      <sheetName val="0102_QN_Y"/>
      <sheetName val="0102_QN_L"/>
      <sheetName val="0102_QS_V"/>
      <sheetName val="0102_QS_L"/>
      <sheetName val="Parameters"/>
    </sheetNames>
    <sheetDataSet>
      <sheetData sheetId="0">
        <row r="505">
          <cell r="A505" t="str">
            <v>A</v>
          </cell>
        </row>
        <row r="506">
          <cell r="A506" t="str">
            <v>B</v>
          </cell>
        </row>
        <row r="507">
          <cell r="A507" t="str">
            <v>D</v>
          </cell>
        </row>
        <row r="508">
          <cell r="A508" t="str">
            <v>E</v>
          </cell>
        </row>
        <row r="509">
          <cell r="A509" t="str">
            <v>F</v>
          </cell>
        </row>
        <row r="510">
          <cell r="A510" t="str">
            <v>I</v>
          </cell>
        </row>
        <row r="511">
          <cell r="A511" t="str">
            <v>J</v>
          </cell>
        </row>
        <row r="512">
          <cell r="A512" t="str">
            <v>L</v>
          </cell>
        </row>
        <row r="513">
          <cell r="A513" t="str">
            <v>M</v>
          </cell>
        </row>
        <row r="514">
          <cell r="A514" t="str">
            <v>N</v>
          </cell>
        </row>
        <row r="515">
          <cell r="A515" t="str">
            <v>P</v>
          </cell>
        </row>
        <row r="516">
          <cell r="A516" t="str">
            <v>U</v>
          </cell>
        </row>
        <row r="517">
          <cell r="A517" t="str">
            <v>V</v>
          </cell>
        </row>
        <row r="520">
          <cell r="A520" t="str">
            <v>F</v>
          </cell>
        </row>
        <row r="521">
          <cell r="A521" t="str">
            <v>N</v>
          </cell>
        </row>
        <row r="522">
          <cell r="A522" t="str">
            <v>C</v>
          </cell>
        </row>
        <row r="523">
          <cell r="A523" t="str">
            <v>D</v>
          </cell>
        </row>
        <row r="524">
          <cell r="A524" t="str">
            <v>S</v>
          </cell>
        </row>
        <row r="527">
          <cell r="A527" t="str">
            <v>C</v>
          </cell>
        </row>
        <row r="528">
          <cell r="A528" t="str">
            <v>N</v>
          </cell>
        </row>
        <row r="529">
          <cell r="A529" t="str">
            <v>S</v>
          </cell>
        </row>
        <row r="530">
          <cell r="A530" t="str">
            <v>W</v>
          </cell>
        </row>
        <row r="531">
          <cell r="A531" t="str">
            <v>Y</v>
          </cell>
        </row>
        <row r="534">
          <cell r="A534" t="str">
            <v>L</v>
          </cell>
        </row>
        <row r="535">
          <cell r="A535" t="str">
            <v>V</v>
          </cell>
        </row>
        <row r="536">
          <cell r="A536" t="str">
            <v>Y</v>
          </cell>
        </row>
        <row r="537">
          <cell r="A537" t="str">
            <v>_Z</v>
          </cell>
        </row>
        <row r="540">
          <cell r="A540" t="str">
            <v>N</v>
          </cell>
        </row>
        <row r="541">
          <cell r="A541" t="str">
            <v>GO1</v>
          </cell>
        </row>
        <row r="542">
          <cell r="A542" t="str">
            <v>GO4</v>
          </cell>
        </row>
      </sheetData>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Príloha _10 M"/>
      <sheetName val="i-REER"/>
      <sheetName val="SV BOP"/>
      <sheetName val="my_table"/>
      <sheetName val="staff_report_table"/>
      <sheetName val="Assu__summary"/>
      <sheetName val="Príloha__10_M"/>
      <sheetName val="SV_BOP"/>
      <sheetName val="REER"/>
      <sheetName val="C"/>
      <sheetName val="H"/>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-6237.1207885742188</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easonality"/>
      <sheetName val="MacroData"/>
      <sheetName val="tab"/>
      <sheetName val="inflation"/>
      <sheetName val="global economics"/>
      <sheetName val="KEY ECON FORECASTS"/>
      <sheetName val="ing fn"/>
      <sheetName val="graphs"/>
      <sheetName val="CHART DATA 2"/>
      <sheetName val="Sheet3"/>
      <sheetName val="Sheet4"/>
      <sheetName val="Bi-Monthly Tab"/>
      <sheetName val="Vulnerability"/>
      <sheetName val="forecasts"/>
      <sheetName val="CHART DATA 1"/>
      <sheetName val="fiscalpolicy"/>
      <sheetName val="fiscal side"/>
      <sheetName val="Sheet1"/>
      <sheetName val="Sheet2"/>
      <sheetName val="new table"/>
      <sheetName val="Sheet5"/>
      <sheetName val="gdp"/>
      <sheetName val="stat office"/>
      <sheetName val="ING_Lon"/>
      <sheetName val="Sheet6"/>
      <sheetName val="SSQ data"/>
      <sheetName val="investments"/>
      <sheetName val="Tabelle1"/>
      <sheetName val="CEE"/>
      <sheetName val="all"/>
      <sheetName val="Jano2"/>
      <sheetName val="IR"/>
      <sheetName val="annual report"/>
      <sheetName val="global econ 2"/>
      <sheetName val="Temporary"/>
      <sheetName val="for weekly"/>
      <sheetName val="for Ella - Equity"/>
      <sheetName val="output1 &amp; for models"/>
      <sheetName val="macro"/>
      <sheetName val="quarterly output"/>
    </sheetNames>
    <sheetDataSet>
      <sheetData sheetId="0"/>
      <sheetData sheetId="1" refreshError="1">
        <row r="3458">
          <cell r="K3458" t="e">
            <v>#DIV/0!</v>
          </cell>
        </row>
      </sheetData>
      <sheetData sheetId="2" refreshError="1">
        <row r="1">
          <cell r="A1" t="str">
            <v>KEY MACROECONOMIC INDICATORS</v>
          </cell>
          <cell r="C1" t="str">
            <v>99</v>
          </cell>
          <cell r="D1">
            <v>36770</v>
          </cell>
          <cell r="E1">
            <v>36800</v>
          </cell>
          <cell r="F1">
            <v>36831</v>
          </cell>
          <cell r="G1">
            <v>36861</v>
          </cell>
          <cell r="H1">
            <v>36892</v>
          </cell>
        </row>
        <row r="2">
          <cell r="A2" t="str">
            <v>Real Economy</v>
          </cell>
        </row>
        <row r="3">
          <cell r="A3" t="str">
            <v>Real GDP growth</v>
          </cell>
          <cell r="B3" t="str">
            <v>YTD</v>
          </cell>
          <cell r="C3">
            <v>1.9098838132348028E-2</v>
          </cell>
          <cell r="D3">
            <v>1.9607424385304162E-2</v>
          </cell>
        </row>
        <row r="4">
          <cell r="A4" t="str">
            <v>Industrial production</v>
          </cell>
          <cell r="B4" t="str">
            <v>YoY</v>
          </cell>
          <cell r="C4">
            <v>-1.6E-2</v>
          </cell>
          <cell r="D4">
            <v>5.7560975609756149E-2</v>
          </cell>
          <cell r="E4">
            <v>0.15059055118110254</v>
          </cell>
          <cell r="F4">
            <v>0.10757717492984087</v>
          </cell>
          <cell r="G4">
            <v>8.7448559670781911E-2</v>
          </cell>
        </row>
        <row r="5">
          <cell r="B5" t="str">
            <v>trend estimate</v>
          </cell>
          <cell r="C5">
            <v>-1.6E-2</v>
          </cell>
          <cell r="D5">
            <v>9.1051461999867536E-2</v>
          </cell>
          <cell r="E5">
            <v>9.5413728023756875E-2</v>
          </cell>
          <cell r="F5">
            <v>8.9265999046303765E-2</v>
          </cell>
        </row>
        <row r="6">
          <cell r="A6" t="str">
            <v>Construction output</v>
          </cell>
          <cell r="B6" t="str">
            <v>YoY</v>
          </cell>
          <cell r="C6">
            <v>-0.17</v>
          </cell>
          <cell r="D6">
            <v>0.11599999999999994</v>
          </cell>
          <cell r="E6">
            <v>0.11700000000000003</v>
          </cell>
          <cell r="F6">
            <v>9.5999999999999946E-2</v>
          </cell>
          <cell r="G6">
            <v>0.11</v>
          </cell>
        </row>
        <row r="7">
          <cell r="B7" t="str">
            <v>trend estimate</v>
          </cell>
          <cell r="C7">
            <v>-0.17</v>
          </cell>
          <cell r="D7">
            <v>0.25691924719552972</v>
          </cell>
          <cell r="E7">
            <v>0.1855904535449977</v>
          </cell>
          <cell r="F7">
            <v>0.14635483522662862</v>
          </cell>
          <cell r="G7">
            <v>0.10685024013617994</v>
          </cell>
        </row>
        <row r="8">
          <cell r="A8" t="str">
            <v>Unemployment</v>
          </cell>
          <cell r="B8" t="str">
            <v>NLB data</v>
          </cell>
          <cell r="C8">
            <v>0.1918</v>
          </cell>
          <cell r="D8">
            <v>0.1658</v>
          </cell>
          <cell r="E8">
            <v>0.1613</v>
          </cell>
          <cell r="F8">
            <v>0.16700000000000001</v>
          </cell>
          <cell r="G8">
            <v>0.17879999999999999</v>
          </cell>
          <cell r="H8">
            <v>0.19789999999999999</v>
          </cell>
        </row>
        <row r="9">
          <cell r="B9" t="str">
            <v>Core unemployment (sa)</v>
          </cell>
          <cell r="C9">
            <v>0.17469999999999999</v>
          </cell>
          <cell r="D9">
            <v>0.19005553390727822</v>
          </cell>
          <cell r="E9">
            <v>0.18968220549500117</v>
          </cell>
          <cell r="F9">
            <v>0.19079774816639022</v>
          </cell>
          <cell r="G9">
            <v>0.19446447038087261</v>
          </cell>
          <cell r="H9">
            <v>0.20141463097807488</v>
          </cell>
        </row>
        <row r="10">
          <cell r="A10" t="str">
            <v>Retail Sales</v>
          </cell>
          <cell r="B10" t="str">
            <v>YoY</v>
          </cell>
          <cell r="C10">
            <v>6.5000000000000002E-2</v>
          </cell>
          <cell r="D10">
            <v>5.2999999999999971E-2</v>
          </cell>
          <cell r="E10">
            <v>6.5999999999999948E-2</v>
          </cell>
          <cell r="F10">
            <v>7.2000000000000022E-2</v>
          </cell>
          <cell r="G10">
            <v>0.10100000000000001</v>
          </cell>
        </row>
        <row r="11">
          <cell r="B11" t="str">
            <v>3M MA, calendar adjusted</v>
          </cell>
          <cell r="C11">
            <v>6.5000000000000002E-2</v>
          </cell>
          <cell r="D11">
            <v>3.8831486208138921E-2</v>
          </cell>
          <cell r="E11">
            <v>5.3300928533241532E-2</v>
          </cell>
          <cell r="F11">
            <v>6.3358378807693017E-2</v>
          </cell>
          <cell r="G11">
            <v>8.1674479628443208E-2</v>
          </cell>
        </row>
        <row r="13">
          <cell r="A13" t="str">
            <v>Interest Rates</v>
          </cell>
        </row>
        <row r="14">
          <cell r="A14" t="str">
            <v xml:space="preserve">1M </v>
          </cell>
          <cell r="B14" t="str">
            <v>average</v>
          </cell>
          <cell r="C14">
            <v>0.14997619047619051</v>
          </cell>
          <cell r="D14">
            <v>8.0210526315789482E-2</v>
          </cell>
          <cell r="E14">
            <v>8.0027272727272725E-2</v>
          </cell>
          <cell r="F14">
            <v>8.1033333333333332E-2</v>
          </cell>
          <cell r="G14">
            <v>8.0842105263157882E-2</v>
          </cell>
          <cell r="H14">
            <v>7.7577272727272731E-2</v>
          </cell>
        </row>
        <row r="15">
          <cell r="A15" t="str">
            <v>1Y</v>
          </cell>
          <cell r="B15" t="str">
            <v>average</v>
          </cell>
          <cell r="C15">
            <v>0.1445238095238095</v>
          </cell>
          <cell r="D15">
            <v>7.9026315789473681E-2</v>
          </cell>
          <cell r="E15">
            <v>7.8254545454545452E-2</v>
          </cell>
          <cell r="F15">
            <v>7.8380952380952384E-2</v>
          </cell>
          <cell r="G15">
            <v>7.8631578947368413E-2</v>
          </cell>
          <cell r="H15">
            <v>7.648636363636363E-2</v>
          </cell>
        </row>
        <row r="16">
          <cell r="A16" t="str">
            <v>3Y</v>
          </cell>
          <cell r="B16" t="str">
            <v>average</v>
          </cell>
          <cell r="C16">
            <v>0.14249999999999999</v>
          </cell>
          <cell r="D16">
            <v>8.1157894736842082E-2</v>
          </cell>
          <cell r="E16">
            <v>8.16727272727273E-2</v>
          </cell>
          <cell r="F16">
            <v>8.0761904761904729E-2</v>
          </cell>
          <cell r="G16">
            <v>8.1342105263157924E-2</v>
          </cell>
          <cell r="H16">
            <v>0.08</v>
          </cell>
        </row>
        <row r="17">
          <cell r="A17" t="str">
            <v>Spread (3Y - 1M)</v>
          </cell>
          <cell r="B17" t="str">
            <v>average</v>
          </cell>
          <cell r="C17">
            <v>-7.4761904761905026E-3</v>
          </cell>
          <cell r="D17">
            <v>9.4736842105259456E-4</v>
          </cell>
          <cell r="E17">
            <v>1.6454545454545767E-3</v>
          </cell>
          <cell r="F17">
            <v>-2.7142857142861134E-4</v>
          </cell>
          <cell r="G17">
            <v>5.0000000000004262E-4</v>
          </cell>
          <cell r="H17">
            <v>2.422727272727263E-3</v>
          </cell>
        </row>
        <row r="18">
          <cell r="A18" t="str">
            <v>Real interest rates</v>
          </cell>
          <cell r="B18" t="str">
            <v>1Y less Core CPI</v>
          </cell>
          <cell r="C18">
            <v>6.9318438609748512E-2</v>
          </cell>
          <cell r="D18">
            <v>2.8623751944207632E-2</v>
          </cell>
          <cell r="E18">
            <v>2.8868841082581476E-2</v>
          </cell>
          <cell r="F18">
            <v>2.8008534204911895E-2</v>
          </cell>
          <cell r="G18">
            <v>3.1196538190600753E-2</v>
          </cell>
          <cell r="H18">
            <v>3.5083041958042127E-2</v>
          </cell>
        </row>
        <row r="20">
          <cell r="A20" t="str">
            <v>Monetary Indicators</v>
          </cell>
        </row>
        <row r="21">
          <cell r="A21" t="str">
            <v xml:space="preserve">M2 </v>
          </cell>
          <cell r="B21" t="str">
            <v>YoY</v>
          </cell>
          <cell r="C21">
            <v>0.12336408496030894</v>
          </cell>
          <cell r="D21">
            <v>0.18547734627831725</v>
          </cell>
          <cell r="E21">
            <v>0.15111903347197478</v>
          </cell>
          <cell r="F21">
            <v>0.15171321053674</v>
          </cell>
          <cell r="G21">
            <v>0.14915966386554624</v>
          </cell>
          <cell r="H21">
            <v>0.15741270749856898</v>
          </cell>
        </row>
        <row r="22">
          <cell r="A22" t="str">
            <v>NDA</v>
          </cell>
          <cell r="B22" t="str">
            <v>YoY</v>
          </cell>
          <cell r="C22">
            <v>0.10488203690726459</v>
          </cell>
          <cell r="D22">
            <v>3.950510093336225E-2</v>
          </cell>
          <cell r="E22">
            <v>4.846665236971899E-2</v>
          </cell>
          <cell r="F22">
            <v>4.2480154473288893E-2</v>
          </cell>
          <cell r="G22">
            <v>9.5983086680761054E-2</v>
          </cell>
          <cell r="H22" t="str">
            <v/>
          </cell>
        </row>
        <row r="23">
          <cell r="A23" t="str">
            <v>CPI Inflation</v>
          </cell>
          <cell r="B23" t="str">
            <v>YoY</v>
          </cell>
          <cell r="C23">
            <v>0.140737597116118</v>
          </cell>
          <cell r="D23">
            <v>8.6956521739130377E-2</v>
          </cell>
          <cell r="E23">
            <v>8.5256897837434786E-2</v>
          </cell>
          <cell r="F23">
            <v>8.618127786032681E-2</v>
          </cell>
          <cell r="G23">
            <v>8.3716147740470426E-2</v>
          </cell>
          <cell r="H23">
            <v>7.6984155628541551E-2</v>
          </cell>
        </row>
        <row r="24">
          <cell r="A24" t="str">
            <v>Core CPI</v>
          </cell>
          <cell r="B24" t="str">
            <v>YoY</v>
          </cell>
          <cell r="C24">
            <v>7.0330191829328037E-2</v>
          </cell>
          <cell r="D24">
            <v>4.9000000000000002E-2</v>
          </cell>
          <cell r="E24">
            <v>4.8000000000000001E-2</v>
          </cell>
          <cell r="F24">
            <v>4.9000000000000002E-2</v>
          </cell>
          <cell r="G24">
            <v>4.5999999999999999E-2</v>
          </cell>
          <cell r="H24">
            <v>0.04</v>
          </cell>
        </row>
        <row r="25">
          <cell r="A25" t="str">
            <v>Demand-Pull Inflation</v>
          </cell>
          <cell r="B25" t="str">
            <v>YoY</v>
          </cell>
          <cell r="C25">
            <v>8.6417145757776037E-2</v>
          </cell>
          <cell r="D25">
            <v>4.1121935918467134E-2</v>
          </cell>
          <cell r="E25">
            <v>3.73234240999476E-2</v>
          </cell>
          <cell r="F25">
            <v>3.9113953689227321E-2</v>
          </cell>
          <cell r="G25">
            <v>3.6814623237925614E-2</v>
          </cell>
          <cell r="H25">
            <v>4.0020934545468068E-2</v>
          </cell>
        </row>
        <row r="26">
          <cell r="A26" t="str">
            <v>Demand-Pull Inflation</v>
          </cell>
          <cell r="B26" t="str">
            <v>MoM</v>
          </cell>
          <cell r="D26">
            <v>2.4801329606694098E-3</v>
          </cell>
          <cell r="E26">
            <v>2.316811254817381E-3</v>
          </cell>
          <cell r="F26">
            <v>5.4784525224811104E-3</v>
          </cell>
          <cell r="G26">
            <v>1.0032356402550394E-3</v>
          </cell>
          <cell r="H26">
            <v>4.5905275545969721E-3</v>
          </cell>
        </row>
        <row r="27">
          <cell r="A27" t="str">
            <v xml:space="preserve">PPI </v>
          </cell>
          <cell r="B27" t="str">
            <v>YoY</v>
          </cell>
          <cell r="C27">
            <v>7.6853526220614921E-2</v>
          </cell>
          <cell r="D27">
            <v>9.0831191088260432E-2</v>
          </cell>
          <cell r="E27">
            <v>8.7986463620981281E-2</v>
          </cell>
          <cell r="F27">
            <v>8.8087248322147538E-2</v>
          </cell>
          <cell r="G27">
            <v>9.0680100755667681E-2</v>
          </cell>
          <cell r="H27">
            <v>7.8642384105960472E-2</v>
          </cell>
        </row>
        <row r="28">
          <cell r="A28" t="str">
            <v>Ex-fuel PPI</v>
          </cell>
          <cell r="B28" t="str">
            <v>YoY</v>
          </cell>
          <cell r="C28">
            <v>6.2633528217642898E-2</v>
          </cell>
          <cell r="D28">
            <v>7.4930573829491198E-2</v>
          </cell>
          <cell r="E28">
            <v>7.2986404780520875E-2</v>
          </cell>
          <cell r="F28">
            <v>7.5888700419520116E-2</v>
          </cell>
          <cell r="G28">
            <v>8.0382207165838881E-2</v>
          </cell>
          <cell r="H28">
            <v>7.2668363603513031E-2</v>
          </cell>
        </row>
        <row r="29">
          <cell r="A29" t="str">
            <v>Ex-fuel PPI</v>
          </cell>
          <cell r="B29" t="str">
            <v>MoM, seas. adj., 3M  MA</v>
          </cell>
          <cell r="D29">
            <v>1.8221376187632643E-4</v>
          </cell>
          <cell r="E29">
            <v>9.1114302355321808E-3</v>
          </cell>
          <cell r="F29">
            <v>9.0934461719325288E-3</v>
          </cell>
          <cell r="G29">
            <v>2.0805288887983941E-3</v>
          </cell>
          <cell r="H29" t="str">
            <v/>
          </cell>
        </row>
        <row r="30">
          <cell r="A30" t="str">
            <v>MCI</v>
          </cell>
          <cell r="B30" t="str">
            <v>(+) restrictive monetary stance</v>
          </cell>
          <cell r="C30">
            <v>2.4899559499146934E-2</v>
          </cell>
          <cell r="D30">
            <v>-8.9501120472252442E-3</v>
          </cell>
          <cell r="E30">
            <v>-1.4829313933549637E-2</v>
          </cell>
          <cell r="F30">
            <v>-9.2633726152946735E-3</v>
          </cell>
          <cell r="G30">
            <v>-1.3835075558515353E-2</v>
          </cell>
          <cell r="H30">
            <v>-1.0193518611054983E-2</v>
          </cell>
        </row>
        <row r="32">
          <cell r="A32" t="str">
            <v>Fiscal Stance</v>
          </cell>
        </row>
        <row r="33">
          <cell r="A33" t="str">
            <v xml:space="preserve">General Fiscal Deficit </v>
          </cell>
          <cell r="B33" t="str">
            <v>Last 12m, NCTG&amp;NPF</v>
          </cell>
          <cell r="C33">
            <v>-24.273591000000003</v>
          </cell>
          <cell r="D33">
            <v>-23.726454055999969</v>
          </cell>
          <cell r="E33">
            <v>-15.838454056000009</v>
          </cell>
          <cell r="F33">
            <v>-23.038454056000006</v>
          </cell>
          <cell r="G33">
            <v>-35.829863055999986</v>
          </cell>
          <cell r="H33">
            <v>-318.82086305600001</v>
          </cell>
        </row>
        <row r="34">
          <cell r="B34" t="str">
            <v>Last 12m/GDP</v>
          </cell>
          <cell r="C34">
            <v>-2.9772595136710402E-2</v>
          </cell>
          <cell r="D34">
            <v>-2.7325186448175109E-2</v>
          </cell>
          <cell r="E34">
            <v>-1.8103706901102346E-2</v>
          </cell>
          <cell r="F34">
            <v>-2.6138190779201691E-2</v>
          </cell>
          <cell r="G34">
            <v>-4.0359952400869453E-2</v>
          </cell>
          <cell r="H34">
            <v>-0.35670939210010116</v>
          </cell>
        </row>
        <row r="36">
          <cell r="A36" t="str">
            <v>External Economy</v>
          </cell>
        </row>
        <row r="37">
          <cell r="A37" t="str">
            <v>Gross Foreign Debt</v>
          </cell>
          <cell r="B37" t="str">
            <v>USDbn</v>
          </cell>
          <cell r="C37">
            <v>10.517890996</v>
          </cell>
          <cell r="D37">
            <v>10.955692683000001</v>
          </cell>
          <cell r="E37">
            <v>10.453810966000001</v>
          </cell>
          <cell r="F37">
            <v>10.820595097</v>
          </cell>
          <cell r="G37" t="str">
            <v/>
          </cell>
          <cell r="H37" t="str">
            <v/>
          </cell>
        </row>
        <row r="38">
          <cell r="B38" t="str">
            <v>% of GDP</v>
          </cell>
          <cell r="C38">
            <v>0.54232950744342134</v>
          </cell>
          <cell r="D38">
            <v>0.62438570387731795</v>
          </cell>
          <cell r="E38">
            <v>0.61000205302884014</v>
          </cell>
          <cell r="F38">
            <v>0.61428508786383873</v>
          </cell>
          <cell r="H38" t="str">
            <v/>
          </cell>
        </row>
        <row r="39">
          <cell r="B39" t="str">
            <v>out of which Gov't SKK Debt,US$m</v>
          </cell>
          <cell r="C39">
            <v>27.445229000000001</v>
          </cell>
          <cell r="D39">
            <v>228.14088699999999</v>
          </cell>
          <cell r="E39">
            <v>124.182496</v>
          </cell>
          <cell r="F39">
            <v>127.98589699999999</v>
          </cell>
        </row>
        <row r="40">
          <cell r="A40" t="str">
            <v>Foreign Trade</v>
          </cell>
          <cell r="B40" t="str">
            <v>% of GDP (last 12m)</v>
          </cell>
          <cell r="C40">
            <v>-5.5494923143446791E-2</v>
          </cell>
          <cell r="D40">
            <v>-3.4709209696121762E-2</v>
          </cell>
          <cell r="E40">
            <v>-3.94091244214426E-2</v>
          </cell>
          <cell r="F40">
            <v>-4.3981818453770832E-2</v>
          </cell>
          <cell r="G40">
            <v>-4.7712337085177706E-2</v>
          </cell>
          <cell r="H40">
            <v>-5.0639797035512218E-2</v>
          </cell>
        </row>
        <row r="41">
          <cell r="B41" t="str">
            <v>Skbn, monthly</v>
          </cell>
          <cell r="D41">
            <v>-1.1729999999999947</v>
          </cell>
          <cell r="E41">
            <v>-5.7859999999999943</v>
          </cell>
          <cell r="F41">
            <v>-8.3799999999999955</v>
          </cell>
          <cell r="G41">
            <v>-10.725999999999999</v>
          </cell>
          <cell r="H41">
            <v>-5.3100000000000023</v>
          </cell>
        </row>
        <row r="42">
          <cell r="A42" t="str">
            <v>Current Account</v>
          </cell>
          <cell r="B42" t="str">
            <v>% of GDP (last 12m)</v>
          </cell>
          <cell r="C42">
            <v>-5.5009212245782854E-2</v>
          </cell>
          <cell r="D42">
            <v>-2.2692968366026012E-2</v>
          </cell>
          <cell r="E42">
            <v>-2.8922923123375532E-2</v>
          </cell>
          <cell r="F42">
            <v>-3.4222451938284666E-2</v>
          </cell>
          <cell r="G42" t="str">
            <v/>
          </cell>
          <cell r="H42">
            <v>0</v>
          </cell>
        </row>
        <row r="43">
          <cell r="B43" t="str">
            <v>USDm, monthly</v>
          </cell>
          <cell r="C43">
            <v>-224.81999999999994</v>
          </cell>
          <cell r="D43">
            <v>-168.85</v>
          </cell>
          <cell r="E43">
            <v>-297.18</v>
          </cell>
          <cell r="F43" t="str">
            <v/>
          </cell>
          <cell r="G43" t="str">
            <v/>
          </cell>
          <cell r="H43">
            <v>0</v>
          </cell>
        </row>
        <row r="44">
          <cell r="A44" t="str">
            <v xml:space="preserve">Capital Account </v>
          </cell>
          <cell r="B44" t="str">
            <v>USDm, monthly</v>
          </cell>
          <cell r="C44">
            <v>940.32</v>
          </cell>
          <cell r="D44">
            <v>1082.53</v>
          </cell>
          <cell r="E44">
            <v>1061.6400000000001</v>
          </cell>
          <cell r="F44">
            <v>0</v>
          </cell>
          <cell r="G44">
            <v>0</v>
          </cell>
          <cell r="H44">
            <v>0</v>
          </cell>
        </row>
        <row r="45">
          <cell r="A45" t="str">
            <v xml:space="preserve">Balance of Payments </v>
          </cell>
          <cell r="B45" t="str">
            <v>USDm, monthly</v>
          </cell>
          <cell r="C45">
            <v>563.6</v>
          </cell>
          <cell r="D45">
            <v>1204.8</v>
          </cell>
          <cell r="E45">
            <v>1025.7</v>
          </cell>
          <cell r="F45">
            <v>0</v>
          </cell>
          <cell r="G45">
            <v>0</v>
          </cell>
          <cell r="H45">
            <v>0</v>
          </cell>
        </row>
        <row r="46">
          <cell r="A46" t="str">
            <v xml:space="preserve">Official Reserves </v>
          </cell>
          <cell r="B46" t="str">
            <v>USDm</v>
          </cell>
          <cell r="C46">
            <v>3441</v>
          </cell>
          <cell r="D46">
            <v>4214</v>
          </cell>
          <cell r="E46">
            <v>3993.6</v>
          </cell>
          <cell r="F46">
            <v>4061.7</v>
          </cell>
          <cell r="G46">
            <v>4076.8</v>
          </cell>
          <cell r="H46">
            <v>4077.1</v>
          </cell>
        </row>
        <row r="47">
          <cell r="A47" t="str">
            <v>Total Foreign Reserves</v>
          </cell>
          <cell r="B47" t="str">
            <v>USDm</v>
          </cell>
          <cell r="C47">
            <v>4403.2</v>
          </cell>
          <cell r="D47">
            <v>5934</v>
          </cell>
          <cell r="E47">
            <v>5326.6</v>
          </cell>
          <cell r="F47">
            <v>5477.4</v>
          </cell>
          <cell r="G47">
            <v>5541.8</v>
          </cell>
          <cell r="H47">
            <v>5592.9</v>
          </cell>
        </row>
        <row r="48">
          <cell r="A48" t="str">
            <v>Monthly import cover</v>
          </cell>
          <cell r="C48">
            <v>2.9581188184514873</v>
          </cell>
          <cell r="D48">
            <v>3.4852513674258687</v>
          </cell>
          <cell r="E48">
            <v>3.3029662698035001</v>
          </cell>
          <cell r="F48">
            <v>3.359289387535275</v>
          </cell>
          <cell r="G48">
            <v>3.3717780670910726</v>
          </cell>
          <cell r="H48">
            <v>3.3720261865524459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 val="Svkbop"/>
      <sheetName val="i2-KA"/>
      <sheetName val="i-RE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 sheetId="68" refreshError="1"/>
      <sheetData sheetId="69" refreshError="1"/>
      <sheetData sheetId="7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 val="WEO-BOP"/>
      <sheetName val="Contents"/>
      <sheetName val="i-REER"/>
      <sheetName val="i2-KA"/>
      <sheetName val="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 val="Q6"/>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
      <sheetName val="Real ec"/>
      <sheetName val="tabulky"/>
      <sheetName val="Input"/>
      <sheetName val="Graph"/>
      <sheetName val="Qoutput"/>
      <sheetName val="Qinput"/>
      <sheetName val="output_FD"/>
      <sheetName val="input_FD"/>
      <sheetName val="Hárok1"/>
      <sheetName val="Hárok3"/>
      <sheetName val="eKasa denne"/>
      <sheetName val="Hárok6"/>
      <sheetName val="SkyToll"/>
      <sheetName val="SkyToll N"/>
      <sheetName val="Hárok4"/>
      <sheetName val="Hárok5"/>
      <sheetName val="Hárok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Instructions"/>
      <sheetName val="Data sources"/>
      <sheetName val="Input 1 - Basics"/>
      <sheetName val="Input 2 - Data"/>
      <sheetName val="Input 3 - Debt and Banking"/>
      <sheetName val="Input 4 - Forecast"/>
      <sheetName val="Input 5 - Scenario Design"/>
      <sheetName val="Fan Chart"/>
      <sheetName val="Output - Instructions"/>
      <sheetName val="Variable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sheetDataSet>
      <sheetData sheetId="0" refreshError="1"/>
      <sheetData sheetId="1" refreshError="1"/>
      <sheetData sheetId="2" refreshError="1">
        <row r="3">
          <cell r="D3" t="str">
            <v>Slovak Republic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Instructions"/>
      <sheetName val="Data sources"/>
      <sheetName val="Input 1 - Basics"/>
      <sheetName val="Input 2 - Data"/>
      <sheetName val="Input 3 - Debt and Banking"/>
      <sheetName val="Input 4 - Forecast"/>
      <sheetName val="Input 5 - Scenario Design"/>
      <sheetName val="Fan Chart"/>
      <sheetName val="Output - Instructions"/>
      <sheetName val="Variable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sheetDataSet>
      <sheetData sheetId="0" refreshError="1"/>
      <sheetData sheetId="1" refreshError="1"/>
      <sheetData sheetId="2" refreshError="1">
        <row r="3">
          <cell r="D3" t="str">
            <v>Slovak Republic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sheetDataSet>
      <sheetData sheetId="0" refreshError="1"/>
      <sheetData sheetId="1">
        <row r="2">
          <cell r="B2" t="str">
            <v>SK</v>
          </cell>
        </row>
        <row r="4">
          <cell r="B4" t="str">
            <v>S.2016</v>
          </cell>
        </row>
        <row r="12">
          <cell r="A12" t="str">
            <v>(1)</v>
          </cell>
          <cell r="B12">
            <v>0</v>
          </cell>
        </row>
        <row r="13">
          <cell r="A13" t="str">
            <v>estimated</v>
          </cell>
          <cell r="B13">
            <v>1</v>
          </cell>
        </row>
        <row r="14">
          <cell r="A14" t="str">
            <v>half-finalized</v>
          </cell>
          <cell r="B14">
            <v>2</v>
          </cell>
        </row>
        <row r="15">
          <cell r="A15" t="str">
            <v>final</v>
          </cell>
          <cell r="B15">
            <v>3</v>
          </cell>
        </row>
        <row r="16">
          <cell r="A16" t="str">
            <v>planned</v>
          </cell>
          <cell r="B16">
            <v>4</v>
          </cell>
        </row>
        <row r="17">
          <cell r="A17" t="str">
            <v>forecast</v>
          </cell>
          <cell r="B17">
            <v>5</v>
          </cell>
        </row>
        <row r="18">
          <cell r="A18" t="str">
            <v>cash</v>
          </cell>
          <cell r="B18">
            <v>10</v>
          </cell>
        </row>
        <row r="19">
          <cell r="A19" t="str">
            <v>accrual</v>
          </cell>
          <cell r="B19">
            <v>11</v>
          </cell>
        </row>
        <row r="20">
          <cell r="A20" t="str">
            <v>mixed</v>
          </cell>
          <cell r="B20">
            <v>12</v>
          </cell>
        </row>
        <row r="21">
          <cell r="A21" t="str">
            <v>other</v>
          </cell>
          <cell r="B21">
            <v>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 val="E"/>
      <sheetName val="B"/>
      <sheetName val="transfer"/>
      <sheetName val="C"/>
      <sheetName val="readme"/>
      <sheetName val="Graf14_Graf15"/>
      <sheetName val="Q6"/>
      <sheetName val="Q5"/>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Sheet1"/>
      <sheetName val="Príloha _7"/>
      <sheetName val="daily calculations"/>
      <sheetName val="monthly"/>
      <sheetName val="Current"/>
      <sheetName val="Raw Data"/>
    </sheetNames>
    <sheetDataSet>
      <sheetData sheetId="0" refreshError="1"/>
      <sheetData sheetId="1" refreshError="1">
        <row r="20">
          <cell r="A20" t="str">
            <v>October</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 val="Annual Tables"/>
      <sheetName val="Annual Raw Data"/>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 val="Sheet1"/>
      <sheetName val="daily calculations"/>
      <sheetName val="monthly"/>
      <sheetName val="readme"/>
      <sheetName val="Current"/>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sheetData sheetId="36"/>
      <sheetData sheetId="3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P"/>
      <sheetName val="LS"/>
      <sheetName val="ZPIZ"/>
      <sheetName val="ZZZS"/>
      <sheetName val="Contents"/>
      <sheetName val="weoA"/>
      <sheetName val="Haver"/>
      <sheetName val="VR"/>
      <sheetName val="rozpočtu"/>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DEBT"/>
      <sheetName val="DIS"/>
      <sheetName val="AMO"/>
      <sheetName val="INT"/>
      <sheetName val="DP"/>
      <sheetName val="LS"/>
      <sheetName val="ZPIZ"/>
      <sheetName val="ZZZS"/>
      <sheetName val="Haver"/>
      <sheetName val="SUMMARY"/>
      <sheetName val="e9"/>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9"/>
      <sheetName val="DP"/>
      <sheetName val="LS"/>
      <sheetName val="ZPIZ"/>
      <sheetName val="ZZZS"/>
      <sheetName val="M"/>
      <sheetName val="SUMMARY"/>
      <sheetName val="Haver"/>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CP!H1"/>
      <sheetName val="LCP!H2"/>
      <sheetName val="LCP!H3"/>
      <sheetName val="LCP!H4"/>
      <sheetName val="LCP!H5"/>
      <sheetName val="LCP!H6"/>
      <sheetName val="VCP!H1@ 1"/>
      <sheetName val="VCP!H1@ 2"/>
      <sheetName val="VCP!H1@ 3"/>
      <sheetName val="VCP!H1@ 4"/>
      <sheetName val="VCP!H1@ 5"/>
      <sheetName val="VCP!H1@ 6"/>
      <sheetName val="VCP!H1@ 7"/>
      <sheetName val="VCP!H1@ 8"/>
      <sheetName val="VCP!H1@ 9"/>
      <sheetName val="VCP!H1@ 10"/>
      <sheetName val="VCP!H1@ 11"/>
      <sheetName val="VCP!H1@ 12"/>
      <sheetName val="VCP!H21@ 1"/>
      <sheetName val="VCP!H21@ 2"/>
      <sheetName val="VCP!H21@ 3"/>
      <sheetName val="VCP!H21@ 4"/>
      <sheetName val="VCP!H21@ 5"/>
      <sheetName val="VCP!H21@ 6"/>
      <sheetName val="VCP!H21@ 7"/>
      <sheetName val="VCP!H21@ 8"/>
      <sheetName val="VCP!H21@ 9"/>
      <sheetName val="VCP!H21@ 10"/>
      <sheetName val="VCP!H21@ 11"/>
      <sheetName val="VCP!H21@ 12"/>
      <sheetName val="VCP!H31@ 1"/>
      <sheetName val="VCP!H31@ 2"/>
      <sheetName val="VCP!H31@ 3"/>
      <sheetName val="VCP!H31@ 4"/>
      <sheetName val="VCP!H31@ 5"/>
      <sheetName val="VCP!H31@ 6"/>
      <sheetName val="VCP!H31@ 7"/>
      <sheetName val="VCP!H31@ 8"/>
      <sheetName val="VCP!H31@ 9"/>
      <sheetName val="VCP!H31@ 10"/>
      <sheetName val="VCP!H31@ 11"/>
      <sheetName val="VCP!H31@ 12"/>
      <sheetName val="VCP!H2@ 1"/>
      <sheetName val="VCP!H2@ 2"/>
      <sheetName val="VCP!H2@ 3"/>
      <sheetName val="VCP!H2@ 4"/>
      <sheetName val="VCP!H2@ 5"/>
      <sheetName val="VCP!H2@ 6"/>
      <sheetName val="VCP!H2@ 7"/>
      <sheetName val="VCP!H2@ 8"/>
      <sheetName val="VCP!H2@ 9"/>
      <sheetName val="VCP!H2@ 10"/>
      <sheetName val="VCP!H2@ 11"/>
      <sheetName val="VCP!H2@ 12"/>
      <sheetName val="VCP!H22@ 1"/>
      <sheetName val="VCP!H22@ 2"/>
      <sheetName val="VCP!H22@ 3"/>
      <sheetName val="VCP!H22@ 4"/>
      <sheetName val="VCP!H22@ 5"/>
      <sheetName val="VCP!H22@ 6"/>
      <sheetName val="VCP!H22@ 7"/>
      <sheetName val="VCP!H22@ 8"/>
      <sheetName val="VCP!H22@ 9"/>
      <sheetName val="VCP!H22@ 10"/>
      <sheetName val="VCP!H22@ 11"/>
      <sheetName val="VCP!H22@ 12"/>
      <sheetName val="VCP!H32@ 1"/>
      <sheetName val="VCP!H32@ 2"/>
      <sheetName val="VCP!H32@ 3"/>
      <sheetName val="VCP!H32@ 4"/>
      <sheetName val="VCP!H32@ 5"/>
      <sheetName val="VCP!H32@ 6"/>
      <sheetName val="VCP!H32@ 7"/>
      <sheetName val="VCP!H32@ 8"/>
      <sheetName val="VCP!H32@ 9"/>
      <sheetName val="VCP!H32@ 10"/>
      <sheetName val="VCP!H32@ 11"/>
      <sheetName val="VCP!H32@ 12"/>
      <sheetName val="VCP!H3@ 1"/>
      <sheetName val="VCP!H3@ 2"/>
      <sheetName val="VCP!H3@ 3"/>
      <sheetName val="VCP!H3@ 4"/>
      <sheetName val="VCP!H3@ 5"/>
      <sheetName val="VCP!H3@ 6"/>
      <sheetName val="VCP!H3@ 7"/>
      <sheetName val="VCP!H3@ 8"/>
      <sheetName val="VCP!H3@ 9"/>
      <sheetName val="VCP!H3@ 10"/>
      <sheetName val="VCP!H3@ 11"/>
      <sheetName val="VCP!H3@ 12"/>
      <sheetName val="VCP!H23@ 1"/>
      <sheetName val="VCP!H23@ 2"/>
      <sheetName val="VCP!H23@ 3"/>
      <sheetName val="VCP!H23@ 4"/>
      <sheetName val="VCP!H23@ 5"/>
      <sheetName val="VCP!H23@ 6"/>
      <sheetName val="VCP!H23@ 7"/>
      <sheetName val="VCP!H23@ 8"/>
      <sheetName val="VCP!H23@ 9"/>
      <sheetName val="VCP!H23@ 10"/>
      <sheetName val="VCP!H23@ 11"/>
      <sheetName val="VCP!H23@ 12"/>
      <sheetName val="VCP!H33@ 1"/>
      <sheetName val="VCP!H33@ 2"/>
      <sheetName val="VCP!H33@ 3"/>
      <sheetName val="VCP!H33@ 4"/>
      <sheetName val="VCP!H33@ 5"/>
      <sheetName val="VCP!H33@ 6"/>
      <sheetName val="VCP!H33@ 7"/>
      <sheetName val="VCP!H33@ 8"/>
      <sheetName val="VCP!H33@ 9"/>
      <sheetName val="VCP!H33@ 10"/>
      <sheetName val="VCP!H33@ 11"/>
      <sheetName val="VCP!H33@ 12"/>
      <sheetName val="VCP!H4@ 1"/>
      <sheetName val="VCP!H4@ 2"/>
      <sheetName val="VCP!H4@ 3"/>
      <sheetName val="VCP!H4@ 4"/>
      <sheetName val="VCP!H4@ 5"/>
      <sheetName val="VCP!H4@ 6"/>
      <sheetName val="VCP!H4@ 7"/>
      <sheetName val="VCP!H4@ 8"/>
      <sheetName val="VCP!H4@ 9"/>
      <sheetName val="VCP!H4@ 10"/>
      <sheetName val="VCP!H4@ 11"/>
      <sheetName val="VCP!H4@ 12"/>
      <sheetName val="VCP!H24@ 1"/>
      <sheetName val="VCP!H24@ 2"/>
      <sheetName val="VCP!H24@ 3"/>
      <sheetName val="VCP!H24@ 4"/>
      <sheetName val="VCP!H24@ 5"/>
      <sheetName val="VCP!H24@ 6"/>
      <sheetName val="VCP!H24@ 7"/>
      <sheetName val="VCP!H24@ 8"/>
      <sheetName val="VCP!H24@ 9"/>
      <sheetName val="VCP!H24@ 10"/>
      <sheetName val="VCP!H24@ 11"/>
      <sheetName val="VCP!H24@ 12"/>
      <sheetName val="VCP!H34@ 1"/>
      <sheetName val="VCP!H34@ 2"/>
      <sheetName val="VCP!H34@ 3"/>
      <sheetName val="VCP!H34@ 4"/>
      <sheetName val="VCP!H34@ 5"/>
      <sheetName val="VCP!H34@ 6"/>
      <sheetName val="VCP!H34@ 7"/>
      <sheetName val="VCP!H34@ 8"/>
      <sheetName val="VCP!H34@ 9"/>
      <sheetName val="VCP!H34@ 10"/>
      <sheetName val="VCP!H34@ 11"/>
      <sheetName val="VCP!H34@ 12"/>
      <sheetName val="VCP!H41"/>
      <sheetName val="VCP!H42"/>
      <sheetName val="VCP!H5@ 1"/>
      <sheetName val="VCP!H5@ 2"/>
      <sheetName val="VCP!H5@ 3"/>
      <sheetName val="VCP!H5@ 4"/>
      <sheetName val="VCP!H5@ 5"/>
      <sheetName val="VCP!H5@ 6"/>
      <sheetName val="VCP!H5@ 7"/>
      <sheetName val="VCP!H5@ 8"/>
      <sheetName val="VCP!H5@ 9"/>
      <sheetName val="VCP!H5@ 10"/>
      <sheetName val="VCP!H5@ 11"/>
      <sheetName val="VCP!H5@ 12"/>
      <sheetName val="VCP!H6@ 1"/>
      <sheetName val="VCP!H6@ 2"/>
      <sheetName val="VCP!H6@ 3"/>
      <sheetName val="VCP!H6@ 4"/>
      <sheetName val="VCP!H6@ 5"/>
      <sheetName val="VCP!H6@ 6"/>
      <sheetName val="VCP!H6@ 7"/>
      <sheetName val="VCP!H6@ 8"/>
      <sheetName val="VCP!H6@ 9"/>
      <sheetName val="VCP!H6@ 10"/>
      <sheetName val="VCP!H6@ 11"/>
      <sheetName val="VCP!H6@ 12"/>
      <sheetName val="VCP!H7@ 1"/>
      <sheetName val="VCP!H7@ 2"/>
      <sheetName val="VCP!H7@ 3"/>
      <sheetName val="VCP!H7@ 4"/>
      <sheetName val="VCP!H7@ 5"/>
      <sheetName val="VCP!H7@ 6"/>
      <sheetName val="VCP!H7@ 7"/>
      <sheetName val="VCP!H7@ 8"/>
      <sheetName val="VCP!H7@ 9"/>
      <sheetName val="VCP!H7@ 10"/>
      <sheetName val="VCP!H7@ 11"/>
      <sheetName val="VCP!H7@ 12"/>
      <sheetName val="VCP!H17@ 1"/>
      <sheetName val="VCP!H17@ 2"/>
      <sheetName val="VCP!H17@ 3"/>
      <sheetName val="VCP!H17@ 4"/>
      <sheetName val="VCP!H17@ 5"/>
      <sheetName val="VCP!H17@ 6"/>
      <sheetName val="VCP!H17@ 7"/>
      <sheetName val="VCP!H17@ 8"/>
      <sheetName val="VCP!H17@ 9"/>
      <sheetName val="VCP!H17@ 10"/>
      <sheetName val="VCP!H17@ 11"/>
      <sheetName val="VCP!H17@ 12"/>
      <sheetName val="VCP!H27@ 1"/>
      <sheetName val="VCP!H27@ 2"/>
      <sheetName val="VCP!H27@ 3"/>
      <sheetName val="VCP!H27@ 4"/>
      <sheetName val="VCP!H27@ 5"/>
      <sheetName val="VCP!H27@ 6"/>
      <sheetName val="VCP!H27@ 7"/>
      <sheetName val="VCP!H27@ 8"/>
      <sheetName val="VCP!H27@ 9"/>
      <sheetName val="VCP!H27@ 10"/>
      <sheetName val="VCP!H27@ 11"/>
      <sheetName val="VCP!H27@ 12"/>
      <sheetName val="VCP!H8@ 1"/>
      <sheetName val="VCP!H8@ 2"/>
      <sheetName val="VCP!H8@ 3"/>
      <sheetName val="VCP!H8@ 4"/>
      <sheetName val="VCP!H8@ 5"/>
      <sheetName val="VCP!H8@ 6"/>
      <sheetName val="VCP!H8@ 7"/>
      <sheetName val="VCP!H8@ 8"/>
      <sheetName val="VCP!H8@ 9"/>
      <sheetName val="VCP!H8@ 10"/>
      <sheetName val="VCP!H8@ 11"/>
      <sheetName val="VCP!H8@ 12"/>
      <sheetName val="VCP!H18@ 1"/>
      <sheetName val="VCP!H18@ 2"/>
      <sheetName val="VCP!H18@ 3"/>
      <sheetName val="VCP!H18@ 4"/>
      <sheetName val="VCP!H18@ 5"/>
      <sheetName val="VCP!H18@ 6"/>
      <sheetName val="VCP!H18@ 7"/>
      <sheetName val="VCP!H18@ 8"/>
      <sheetName val="VCP!H18@ 9"/>
      <sheetName val="VCP!H18@ 10"/>
      <sheetName val="VCP!H18@ 11"/>
      <sheetName val="VCP!H18@ 12"/>
      <sheetName val="VCP!H28@ 1"/>
      <sheetName val="VCP!H28@ 2"/>
      <sheetName val="VCP!H28@ 3"/>
      <sheetName val="VCP!H28@ 4"/>
      <sheetName val="VCP!H28@ 5"/>
      <sheetName val="VCP!H28@ 6"/>
      <sheetName val="VCP!H28@ 7"/>
      <sheetName val="VCP!H28@ 8"/>
      <sheetName val="VCP!H28@ 9"/>
      <sheetName val="VCP!H28@ 10"/>
      <sheetName val="VCP!H28@ 11"/>
      <sheetName val="VCP!H28@ 12"/>
      <sheetName val="VCP!H9@ 1"/>
      <sheetName val="VCP!H9@ 2"/>
      <sheetName val="VCP!H9@ 3"/>
      <sheetName val="VCP!H9@ 4"/>
      <sheetName val="VCP!H9@ 5"/>
      <sheetName val="VCP!H9@ 6"/>
      <sheetName val="VCP!H9@ 7"/>
      <sheetName val="VCP!H9@ 8"/>
      <sheetName val="VCP!H9@ 9"/>
      <sheetName val="VCP!H9@ 10"/>
      <sheetName val="VCP!H9@ 11"/>
      <sheetName val="VCP!H9@ 12"/>
      <sheetName val="VCP!H19@ 1"/>
      <sheetName val="VCP!H19@ 2"/>
      <sheetName val="VCP!H19@ 3"/>
      <sheetName val="VCP!H19@ 4"/>
      <sheetName val="VCP!H19@ 5"/>
      <sheetName val="VCP!H19@ 6"/>
      <sheetName val="VCP!H19@ 7"/>
      <sheetName val="VCP!H19@ 8"/>
      <sheetName val="VCP!H19@ 9"/>
      <sheetName val="VCP!H19@ 10"/>
      <sheetName val="VCP!H19@ 11"/>
      <sheetName val="VCP!H19@ 12"/>
      <sheetName val="VCP!H10@ 1"/>
      <sheetName val="VCP!H10@ 2"/>
      <sheetName val="VCP!H10@ 3"/>
      <sheetName val="VCP!H10@ 4"/>
      <sheetName val="VCP!H10@ 5"/>
      <sheetName val="VCP!H10@ 6"/>
      <sheetName val="VCP!H10@ 7"/>
      <sheetName val="VCP!H10@ 8"/>
      <sheetName val="VCP!H10@ 9"/>
      <sheetName val="VCP!H10@ 10"/>
      <sheetName val="VCP!H10@ 11"/>
      <sheetName val="VCP!H10@ 12"/>
      <sheetName val="VCP!H11@ 1"/>
      <sheetName val="VCP!H11@ 2"/>
      <sheetName val="VCP!H11@ 3"/>
      <sheetName val="VCP!H11@ 4"/>
      <sheetName val="VCP!H11@ 5"/>
      <sheetName val="VCP!H11@ 6"/>
      <sheetName val="VCP!H11@ 7"/>
      <sheetName val="VCP!H11@ 8"/>
      <sheetName val="VCP!H11@ 9"/>
      <sheetName val="VCP!H11@ 10"/>
      <sheetName val="VCP!H11@ 11"/>
      <sheetName val="VCP!H11@ 12"/>
      <sheetName val="VCP!H51@ 1"/>
      <sheetName val="VCP!H51@ 2"/>
      <sheetName val="VCP!H51@ 3"/>
      <sheetName val="VCP!H51@ 4"/>
      <sheetName val="VCP!H51@ 5"/>
      <sheetName val="VCP!H51@ 6"/>
      <sheetName val="VCP!H51@ 7"/>
      <sheetName val="VCP!H51@ 8"/>
      <sheetName val="VCP!H51@ 9"/>
      <sheetName val="VCP!H51@ 10"/>
      <sheetName val="VCP!H51@ 11"/>
      <sheetName val="VCP!H51@ 12"/>
      <sheetName val="VCP!H52@ 1"/>
      <sheetName val="VCP!H52@ 2"/>
      <sheetName val="VCP!H52@ 3"/>
      <sheetName val="VCP!H52@ 4"/>
      <sheetName val="VCP!H52@ 5"/>
      <sheetName val="VCP!H52@ 6"/>
      <sheetName val="VCP!H52@ 7"/>
      <sheetName val="VCP!H52@ 8"/>
      <sheetName val="VCP!H52@ 9"/>
      <sheetName val="VCP!H52@ 10"/>
      <sheetName val="VCP!H52@ 11"/>
      <sheetName val="VCP!H52@ 12"/>
      <sheetName val="VCP!H53@ 1"/>
      <sheetName val="VCP!H53@ 2"/>
      <sheetName val="VCP!H53@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 val="IFRS"/>
      <sheetName val="Macroframework-Ver.1"/>
      <sheetName val="SUMMARY"/>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 val="Input 1- Basics"/>
      <sheetName val="Lists-Modules-ChartData"/>
      <sheetName val="Macroframework-Ver.1"/>
      <sheetName val="Check_Interest"/>
      <sheetName val="G(Disb_)"/>
      <sheetName val="Debt_scenario"/>
      <sheetName val="J(Priv_Cap)"/>
      <sheetName val="J(Fin__account)"/>
      <sheetName val="Macroframework-Ver_1"/>
      <sheetName val="Input_1-_Basi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ah_Content"/>
      <sheetName val="ESA2010_source"/>
      <sheetName val="Zhrnutie "/>
      <sheetName val="Tab 1"/>
      <sheetName val="Tab 2 + Graf 1"/>
      <sheetName val="Tab 3"/>
      <sheetName val="Graf 2+3"/>
      <sheetName val="Graf 4+5"/>
      <sheetName val="Graf 6"/>
      <sheetName val="Graf 7"/>
      <sheetName val="Graf 8+Tab 4"/>
      <sheetName val="Graf 9 + Tab 5"/>
      <sheetName val="Tab 6"/>
      <sheetName val="Graf 10 + 11 "/>
      <sheetName val="Tab 7 "/>
      <sheetName val="Graf 12"/>
      <sheetName val="Graf 13"/>
      <sheetName val="Graf 14"/>
      <sheetName val="Tab 8 "/>
      <sheetName val="Graf 15"/>
      <sheetName val="Tab 9"/>
      <sheetName val="Graf 16"/>
      <sheetName val="Graf 17"/>
      <sheetName val="Graf 18"/>
      <sheetName val="Tab 10"/>
      <sheetName val="Tab 11"/>
      <sheetName val="Graf 19"/>
      <sheetName val="Graf 20+21"/>
      <sheetName val="Graf 22"/>
      <sheetName val="Graf 23"/>
      <sheetName val="Graf 24"/>
      <sheetName val="Graf 25"/>
      <sheetName val="Graf 26"/>
      <sheetName val="Graf 27"/>
      <sheetName val="Graf 28"/>
      <sheetName val="Tab 12"/>
      <sheetName val="Graf 29+30"/>
      <sheetName val="Tab 13+Graf 31"/>
      <sheetName val="Graf 32"/>
      <sheetName val="Graf XX"/>
      <sheetName val="Graf 33 + 34"/>
      <sheetName val="Graf 35+36"/>
      <sheetName val="Graf 37+38"/>
      <sheetName val="Graf 39+40"/>
      <sheetName val="Graf 41"/>
      <sheetName val="Graf 42"/>
      <sheetName val="Graf 43"/>
      <sheetName val="Graf 44"/>
      <sheetName val="Graf xx3"/>
      <sheetName val="Graf 45"/>
      <sheetName val="Graf 46"/>
      <sheetName val="Tab 14"/>
      <sheetName val="Graf 47"/>
      <sheetName val="Graf 48"/>
      <sheetName val="Graf 49"/>
      <sheetName val="Tab 15"/>
      <sheetName val="Tab 16"/>
      <sheetName val="Tab 34"/>
      <sheetName val="Tab 35"/>
      <sheetName val="Tab 36 "/>
      <sheetName val="Tab 37"/>
      <sheetName val="Tab 38"/>
      <sheetName val="Tab 39+40"/>
      <sheetName val="Tab 41 + 42"/>
      <sheetName val="Tab 43"/>
      <sheetName val="Tab 4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4">
          <cell r="B24">
            <v>2008</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ah_Content"/>
      <sheetName val="ESA2010_source"/>
      <sheetName val="Zhrnutie "/>
      <sheetName val="Tab 1"/>
      <sheetName val="Tab 2 + Graf 1"/>
      <sheetName val="Tab 3"/>
      <sheetName val="Graf 2+3"/>
      <sheetName val="Graf 4+5"/>
      <sheetName val="Graf 6"/>
      <sheetName val="Graf 7"/>
      <sheetName val="Graf 8+Tab 4"/>
      <sheetName val="Graf 9 + Tab 5"/>
      <sheetName val="Tab 6"/>
      <sheetName val="Graf 10 + 11 "/>
      <sheetName val="Tab 7 "/>
      <sheetName val="Graf 12"/>
      <sheetName val="Graf 13"/>
      <sheetName val="Graf 14"/>
      <sheetName val="Tab 8 "/>
      <sheetName val="Graf 15"/>
      <sheetName val="Tab 9"/>
      <sheetName val="Graf 16"/>
      <sheetName val="Graf 17"/>
      <sheetName val="Graf 18"/>
      <sheetName val="Tab 10"/>
      <sheetName val="Tab 11"/>
      <sheetName val="Graf 19"/>
      <sheetName val="Graf 20+21"/>
      <sheetName val="Graf 22"/>
      <sheetName val="Graf 23"/>
      <sheetName val="Graf 24"/>
      <sheetName val="Graf 25"/>
      <sheetName val="Graf 26"/>
      <sheetName val="Graf 27"/>
      <sheetName val="Graf 28"/>
      <sheetName val="Tab 12"/>
      <sheetName val="Graf 29+30"/>
      <sheetName val="Tab 13+Graf 31"/>
      <sheetName val="Graf 32"/>
      <sheetName val="Graf XX"/>
      <sheetName val="Graf 33 + 34"/>
      <sheetName val="Graf 35+36"/>
      <sheetName val="Graf 37+38"/>
      <sheetName val="Graf 39+40"/>
      <sheetName val="Graf 41"/>
      <sheetName val="Graf 42"/>
      <sheetName val="Graf 43"/>
      <sheetName val="Graf 44"/>
      <sheetName val="Graf xx3"/>
      <sheetName val="Graf 45"/>
      <sheetName val="Graf 46"/>
      <sheetName val="Tab 14"/>
      <sheetName val="Graf 47"/>
      <sheetName val="Graf 48"/>
      <sheetName val="Graf 49"/>
      <sheetName val="Tab 15"/>
      <sheetName val="Tab 16"/>
      <sheetName val="Tab 34"/>
      <sheetName val="Tab 35"/>
      <sheetName val="Tab 36 "/>
      <sheetName val="Tab 37"/>
      <sheetName val="Tab 38"/>
      <sheetName val="Tab 39+40"/>
      <sheetName val="Tab 41 + 42"/>
      <sheetName val="Tab 43"/>
      <sheetName val="Tab 4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4">
          <cell r="B24">
            <v>2008</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sheetDataSet>
      <sheetData sheetId="0"/>
      <sheetData sheetId="1"/>
      <sheetData sheetId="2">
        <row r="4">
          <cell r="C4">
            <v>87.313991999999999</v>
          </cell>
          <cell r="D4">
            <v>89.292007643938746</v>
          </cell>
          <cell r="E4">
            <v>91.25838251825742</v>
          </cell>
          <cell r="F4">
            <v>93.701165926930031</v>
          </cell>
          <cell r="G4">
            <v>96.217672483035685</v>
          </cell>
        </row>
        <row r="5">
          <cell r="C5">
            <v>89.720961000000003</v>
          </cell>
          <cell r="D5">
            <v>93.872691871918462</v>
          </cell>
          <cell r="E5">
            <v>97.879442038431819</v>
          </cell>
          <cell r="F5">
            <v>102.71008032338413</v>
          </cell>
          <cell r="G5">
            <v>107.90012328441419</v>
          </cell>
        </row>
        <row r="6">
          <cell r="C6">
            <v>47.794224</v>
          </cell>
          <cell r="D6">
            <v>48.757740380797983</v>
          </cell>
          <cell r="E6">
            <v>49.778683290693408</v>
          </cell>
          <cell r="F6">
            <v>51.028390406711736</v>
          </cell>
          <cell r="G6">
            <v>52.191668201627273</v>
          </cell>
        </row>
        <row r="7">
          <cell r="C7">
            <v>49.395116000000009</v>
          </cell>
          <cell r="D7">
            <v>51.637789899438971</v>
          </cell>
          <cell r="E7">
            <v>53.847484821972451</v>
          </cell>
          <cell r="F7">
            <v>56.33282627689367</v>
          </cell>
          <cell r="G7">
            <v>58.869083968911873</v>
          </cell>
        </row>
        <row r="8">
          <cell r="C8">
            <v>43.219338210000011</v>
          </cell>
          <cell r="D8">
            <v>44.71875323064566</v>
          </cell>
          <cell r="E8">
            <v>46.502959989208577</v>
          </cell>
          <cell r="F8">
            <v>48.579184945724414</v>
          </cell>
          <cell r="G8">
            <v>50.62548996975729</v>
          </cell>
        </row>
        <row r="11">
          <cell r="C11">
            <v>29.086946697000002</v>
          </cell>
          <cell r="D11">
            <v>31.570489486355349</v>
          </cell>
          <cell r="E11">
            <v>33.046181635809397</v>
          </cell>
          <cell r="F11">
            <v>34.861273118605297</v>
          </cell>
          <cell r="G11">
            <v>36.689356549477232</v>
          </cell>
        </row>
        <row r="14">
          <cell r="C14">
            <v>0.12291752531753752</v>
          </cell>
          <cell r="D14">
            <v>0.10819519576602621</v>
          </cell>
          <cell r="E14">
            <v>9.6936154241487132E-2</v>
          </cell>
          <cell r="F14">
            <v>9.5635252716732871E-2</v>
          </cell>
          <cell r="G14">
            <v>9.86327793878502E-2</v>
          </cell>
        </row>
        <row r="16">
          <cell r="C16">
            <v>52.426547999999997</v>
          </cell>
          <cell r="D16">
            <v>53.939372047856168</v>
          </cell>
          <cell r="E16">
            <v>56.135227810379625</v>
          </cell>
          <cell r="F16">
            <v>58.69196074382198</v>
          </cell>
          <cell r="G16">
            <v>61.600621627511181</v>
          </cell>
        </row>
        <row r="17">
          <cell r="C17">
            <v>74.99093400000001</v>
          </cell>
          <cell r="D17">
            <v>77.34103743387449</v>
          </cell>
          <cell r="E17">
            <v>80.509557444892749</v>
          </cell>
          <cell r="F17">
            <v>85.082094960867764</v>
          </cell>
          <cell r="G17">
            <v>90.061736712021542</v>
          </cell>
        </row>
        <row r="26">
          <cell r="C26">
            <v>89.292007643938746</v>
          </cell>
          <cell r="D26">
            <v>91.25838251825742</v>
          </cell>
          <cell r="E26">
            <v>93.701165926930031</v>
          </cell>
          <cell r="F26">
            <v>96.217672483035685</v>
          </cell>
          <cell r="G26">
            <v>99.651917038852375</v>
          </cell>
        </row>
        <row r="27">
          <cell r="B27">
            <v>89.720961000000003</v>
          </cell>
          <cell r="C27">
            <v>93.872691871918462</v>
          </cell>
          <cell r="D27">
            <v>97.879442038431819</v>
          </cell>
          <cell r="E27">
            <v>102.71008032338413</v>
          </cell>
          <cell r="F27">
            <v>107.90012328441419</v>
          </cell>
          <cell r="G27">
            <v>114.56805016677372</v>
          </cell>
        </row>
        <row r="28">
          <cell r="C28">
            <v>48.757740380797983</v>
          </cell>
          <cell r="D28">
            <v>49.778683290693408</v>
          </cell>
          <cell r="E28">
            <v>51.028390406711736</v>
          </cell>
          <cell r="F28">
            <v>52.191668201627273</v>
          </cell>
          <cell r="G28">
            <v>53.646708550521232</v>
          </cell>
        </row>
        <row r="29">
          <cell r="C29">
            <v>51.637789899438971</v>
          </cell>
          <cell r="D29">
            <v>53.847484821972451</v>
          </cell>
          <cell r="E29">
            <v>56.33282627689367</v>
          </cell>
          <cell r="F29">
            <v>58.869083968911873</v>
          </cell>
          <cell r="G29">
            <v>61.840293820686647</v>
          </cell>
        </row>
        <row r="30">
          <cell r="C30">
            <v>44.71875323064566</v>
          </cell>
          <cell r="D30">
            <v>46.502959989208577</v>
          </cell>
          <cell r="E30">
            <v>48.579184945724414</v>
          </cell>
          <cell r="F30">
            <v>50.62548996975729</v>
          </cell>
          <cell r="G30">
            <v>54.16479759646522</v>
          </cell>
        </row>
        <row r="33">
          <cell r="C33">
            <v>31.570489486355349</v>
          </cell>
          <cell r="D33">
            <v>33.046181635809397</v>
          </cell>
          <cell r="E33">
            <v>34.861273118605297</v>
          </cell>
          <cell r="F33">
            <v>36.689356549477232</v>
          </cell>
          <cell r="G33">
            <v>38.748426844381662</v>
          </cell>
        </row>
        <row r="36">
          <cell r="C36">
            <v>0.10819519576602621</v>
          </cell>
          <cell r="D36">
            <v>9.6936154241487132E-2</v>
          </cell>
          <cell r="E36">
            <v>9.5635252716732871E-2</v>
          </cell>
          <cell r="F36">
            <v>9.86327793878502E-2</v>
          </cell>
          <cell r="G36">
            <v>0.10087616121724724</v>
          </cell>
        </row>
        <row r="38">
          <cell r="C38">
            <v>53.939372047856168</v>
          </cell>
          <cell r="D38">
            <v>56.135227810379625</v>
          </cell>
          <cell r="E38">
            <v>58.69196074382198</v>
          </cell>
          <cell r="F38">
            <v>61.600621627511181</v>
          </cell>
          <cell r="G38">
            <v>65.687534132676561</v>
          </cell>
        </row>
        <row r="39">
          <cell r="C39">
            <v>77.34103743387449</v>
          </cell>
          <cell r="D39">
            <v>80.509557444892749</v>
          </cell>
          <cell r="E39">
            <v>85.082094960867764</v>
          </cell>
          <cell r="F39">
            <v>90.061736712021542</v>
          </cell>
          <cell r="G39">
            <v>96.121699935561722</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sheetDataSet>
      <sheetData sheetId="0"/>
      <sheetData sheetId="1"/>
      <sheetData sheetId="2"/>
      <sheetData sheetId="3">
        <row r="4">
          <cell r="C4">
            <v>78.502858382318436</v>
          </cell>
          <cell r="D4">
            <v>81.275452380922246</v>
          </cell>
          <cell r="E4">
            <v>84.423579375810974</v>
          </cell>
          <cell r="F4">
            <v>88.130188629539617</v>
          </cell>
          <cell r="G4">
            <v>0</v>
          </cell>
        </row>
        <row r="5">
          <cell r="C5">
            <v>80.547803876732885</v>
          </cell>
          <cell r="D5">
            <v>83.991385519523988</v>
          </cell>
          <cell r="E5">
            <v>88.52128676831191</v>
          </cell>
          <cell r="F5">
            <v>94.214617048377477</v>
          </cell>
          <cell r="G5">
            <v>0</v>
          </cell>
        </row>
        <row r="6">
          <cell r="C6">
            <v>40.665754122542438</v>
          </cell>
          <cell r="D6">
            <v>41.680666361334218</v>
          </cell>
          <cell r="E6">
            <v>42.821904778464514</v>
          </cell>
          <cell r="F6">
            <v>44.08020114451071</v>
          </cell>
          <cell r="G6">
            <v>0</v>
          </cell>
        </row>
        <row r="7">
          <cell r="C7">
            <v>43.984500712420669</v>
          </cell>
          <cell r="D7">
            <v>45.484535352602684</v>
          </cell>
          <cell r="E7">
            <v>47.497836713264157</v>
          </cell>
          <cell r="F7">
            <v>49.833106284220669</v>
          </cell>
          <cell r="G7">
            <v>0</v>
          </cell>
        </row>
        <row r="8">
          <cell r="C8">
            <v>38.524899015465365</v>
          </cell>
          <cell r="D8">
            <v>39.582549462948265</v>
          </cell>
          <cell r="E8">
            <v>41.070550408639242</v>
          </cell>
          <cell r="F8">
            <v>42.977890830757936</v>
          </cell>
          <cell r="G8">
            <v>0</v>
          </cell>
        </row>
        <row r="11">
          <cell r="C11">
            <v>25.061205094962499</v>
          </cell>
          <cell r="D11">
            <v>26.325903158710343</v>
          </cell>
          <cell r="E11">
            <v>27.735670690784264</v>
          </cell>
          <cell r="F11">
            <v>29.32785259387137</v>
          </cell>
          <cell r="G11">
            <v>0</v>
          </cell>
        </row>
        <row r="14">
          <cell r="C14">
            <v>0.22924020064339004</v>
          </cell>
          <cell r="D14">
            <v>0.22483632448877952</v>
          </cell>
          <cell r="E14">
            <v>0.24011994064497608</v>
          </cell>
          <cell r="F14">
            <v>0.27414675953044987</v>
          </cell>
          <cell r="G14">
            <v>0</v>
          </cell>
        </row>
        <row r="16">
          <cell r="C16">
            <v>49.281091445453157</v>
          </cell>
          <cell r="D16">
            <v>51.065913586707978</v>
          </cell>
          <cell r="E16">
            <v>53.834842349880567</v>
          </cell>
          <cell r="F16">
            <v>57.568129491799702</v>
          </cell>
          <cell r="G16">
            <v>0</v>
          </cell>
        </row>
        <row r="17">
          <cell r="C17">
            <v>66.319277427653276</v>
          </cell>
          <cell r="D17">
            <v>70.182634133387978</v>
          </cell>
          <cell r="E17">
            <v>75.439345535102163</v>
          </cell>
          <cell r="F17">
            <v>81.793801752423647</v>
          </cell>
          <cell r="G17">
            <v>0</v>
          </cell>
        </row>
        <row r="26">
          <cell r="C26">
            <v>78.854728000000009</v>
          </cell>
          <cell r="D26">
            <v>81.484094566064485</v>
          </cell>
          <cell r="E26">
            <v>84.87893092860277</v>
          </cell>
          <cell r="F26">
            <v>88.591069889878383</v>
          </cell>
          <cell r="G26">
            <v>92.026930652835716</v>
          </cell>
        </row>
        <row r="27">
          <cell r="C27">
            <v>80.958004000000003</v>
          </cell>
          <cell r="D27">
            <v>84.5995693583274</v>
          </cell>
          <cell r="E27">
            <v>89.495333808169264</v>
          </cell>
          <cell r="F27">
            <v>95.260868620557332</v>
          </cell>
          <cell r="G27">
            <v>101.00735417605054</v>
          </cell>
        </row>
        <row r="28">
          <cell r="C28">
            <v>40.196354000000007</v>
          </cell>
          <cell r="D28">
            <v>41.547512733512335</v>
          </cell>
          <cell r="E28">
            <v>42.754818304678729</v>
          </cell>
          <cell r="F28">
            <v>43.975046180032002</v>
          </cell>
          <cell r="G28">
            <v>45.240036950748845</v>
          </cell>
        </row>
        <row r="29">
          <cell r="C29">
            <v>43.548813000000003</v>
          </cell>
          <cell r="D29">
            <v>45.641597296232476</v>
          </cell>
          <cell r="E29">
            <v>47.75602071442546</v>
          </cell>
          <cell r="F29">
            <v>50.052825164944132</v>
          </cell>
          <cell r="G29">
            <v>52.566197780740211</v>
          </cell>
        </row>
        <row r="30">
          <cell r="C30">
            <v>38.032027270299999</v>
          </cell>
          <cell r="D30">
            <v>39.582992287585846</v>
          </cell>
          <cell r="E30">
            <v>41.252391473310389</v>
          </cell>
          <cell r="F30">
            <v>43.192634607434158</v>
          </cell>
          <cell r="G30">
            <v>45.244232556433211</v>
          </cell>
        </row>
        <row r="33">
          <cell r="C33">
            <v>25.247460527999998</v>
          </cell>
          <cell r="D33">
            <v>26.73031719291571</v>
          </cell>
          <cell r="E33">
            <v>28.366257844877175</v>
          </cell>
          <cell r="F33">
            <v>30.038917613277654</v>
          </cell>
          <cell r="G33">
            <v>31.909135439919183</v>
          </cell>
        </row>
        <row r="36">
          <cell r="C36">
            <v>0.21851840145167084</v>
          </cell>
          <cell r="D36">
            <v>0.15625706290990021</v>
          </cell>
          <cell r="E36">
            <v>0.15418751268812014</v>
          </cell>
          <cell r="F36">
            <v>0.149105036903216</v>
          </cell>
          <cell r="G36">
            <v>0.1570961354122469</v>
          </cell>
        </row>
        <row r="38">
          <cell r="C38">
            <v>49.331429000000007</v>
          </cell>
          <cell r="D38">
            <v>51.009380978787284</v>
          </cell>
          <cell r="E38">
            <v>53.916898308264891</v>
          </cell>
          <cell r="F38">
            <v>57.604658786380242</v>
          </cell>
          <cell r="G38">
            <v>61.012127420618299</v>
          </cell>
        </row>
        <row r="39">
          <cell r="C39">
            <v>65.799836999999997</v>
          </cell>
          <cell r="D39">
            <v>70.666258866172427</v>
          </cell>
          <cell r="E39">
            <v>76.432399798318372</v>
          </cell>
          <cell r="F39">
            <v>82.850139524502367</v>
          </cell>
          <cell r="G39">
            <v>88.954858057466581</v>
          </cell>
        </row>
      </sheetData>
      <sheetData sheetId="4"/>
      <sheetData sheetId="5"/>
      <sheetData sheetId="6"/>
      <sheetData sheetId="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sheetDataSet>
      <sheetData sheetId="0"/>
      <sheetData sheetId="1"/>
      <sheetData sheetId="2"/>
      <sheetData sheetId="3">
        <row r="4">
          <cell r="C4">
            <v>78.502858382318436</v>
          </cell>
          <cell r="D4">
            <v>81.275452380922246</v>
          </cell>
          <cell r="E4">
            <v>84.423579375810974</v>
          </cell>
          <cell r="F4">
            <v>88.130188629539617</v>
          </cell>
          <cell r="G4">
            <v>0</v>
          </cell>
        </row>
        <row r="5">
          <cell r="C5">
            <v>80.547803876732885</v>
          </cell>
          <cell r="D5">
            <v>83.991385519523988</v>
          </cell>
          <cell r="E5">
            <v>88.52128676831191</v>
          </cell>
          <cell r="F5">
            <v>94.214617048377477</v>
          </cell>
          <cell r="G5">
            <v>0</v>
          </cell>
        </row>
        <row r="6">
          <cell r="C6">
            <v>40.665754122542438</v>
          </cell>
          <cell r="D6">
            <v>41.680666361334218</v>
          </cell>
          <cell r="E6">
            <v>42.821904778464514</v>
          </cell>
          <cell r="F6">
            <v>44.08020114451071</v>
          </cell>
          <cell r="G6">
            <v>0</v>
          </cell>
        </row>
        <row r="7">
          <cell r="C7">
            <v>43.984500712420669</v>
          </cell>
          <cell r="D7">
            <v>45.484535352602684</v>
          </cell>
          <cell r="E7">
            <v>47.497836713264157</v>
          </cell>
          <cell r="F7">
            <v>49.833106284220669</v>
          </cell>
          <cell r="G7">
            <v>0</v>
          </cell>
        </row>
        <row r="8">
          <cell r="C8">
            <v>38.524899015465365</v>
          </cell>
          <cell r="D8">
            <v>39.582549462948265</v>
          </cell>
          <cell r="E8">
            <v>41.070550408639242</v>
          </cell>
          <cell r="F8">
            <v>42.977890830757936</v>
          </cell>
          <cell r="G8">
            <v>0</v>
          </cell>
        </row>
        <row r="11">
          <cell r="C11">
            <v>25.061205094962499</v>
          </cell>
          <cell r="D11">
            <v>26.325903158710343</v>
          </cell>
          <cell r="E11">
            <v>27.735670690784264</v>
          </cell>
          <cell r="F11">
            <v>29.32785259387137</v>
          </cell>
          <cell r="G11">
            <v>0</v>
          </cell>
        </row>
        <row r="14">
          <cell r="C14">
            <v>0.22924020064339004</v>
          </cell>
          <cell r="D14">
            <v>0.22483632448877952</v>
          </cell>
          <cell r="E14">
            <v>0.24011994064497608</v>
          </cell>
          <cell r="F14">
            <v>0.27414675953044987</v>
          </cell>
          <cell r="G14">
            <v>0</v>
          </cell>
        </row>
        <row r="16">
          <cell r="C16">
            <v>49.281091445453157</v>
          </cell>
          <cell r="D16">
            <v>51.065913586707978</v>
          </cell>
          <cell r="E16">
            <v>53.834842349880567</v>
          </cell>
          <cell r="F16">
            <v>57.568129491799702</v>
          </cell>
          <cell r="G16">
            <v>0</v>
          </cell>
        </row>
        <row r="17">
          <cell r="C17">
            <v>66.319277427653276</v>
          </cell>
          <cell r="D17">
            <v>70.182634133387978</v>
          </cell>
          <cell r="E17">
            <v>75.439345535102163</v>
          </cell>
          <cell r="F17">
            <v>81.793801752423647</v>
          </cell>
          <cell r="G17">
            <v>0</v>
          </cell>
        </row>
        <row r="26">
          <cell r="C26">
            <v>78.854728000000009</v>
          </cell>
          <cell r="D26">
            <v>81.484094566064485</v>
          </cell>
          <cell r="E26">
            <v>84.87893092860277</v>
          </cell>
          <cell r="F26">
            <v>88.591069889878383</v>
          </cell>
          <cell r="G26">
            <v>92.026930652835716</v>
          </cell>
        </row>
        <row r="27">
          <cell r="C27">
            <v>80.958004000000003</v>
          </cell>
          <cell r="D27">
            <v>84.5995693583274</v>
          </cell>
          <cell r="E27">
            <v>89.495333808169264</v>
          </cell>
          <cell r="F27">
            <v>95.260868620557332</v>
          </cell>
          <cell r="G27">
            <v>101.00735417605054</v>
          </cell>
        </row>
        <row r="28">
          <cell r="C28">
            <v>40.196354000000007</v>
          </cell>
          <cell r="D28">
            <v>41.547512733512335</v>
          </cell>
          <cell r="E28">
            <v>42.754818304678729</v>
          </cell>
          <cell r="F28">
            <v>43.975046180032002</v>
          </cell>
          <cell r="G28">
            <v>45.240036950748845</v>
          </cell>
        </row>
        <row r="29">
          <cell r="C29">
            <v>43.548813000000003</v>
          </cell>
          <cell r="D29">
            <v>45.641597296232476</v>
          </cell>
          <cell r="E29">
            <v>47.75602071442546</v>
          </cell>
          <cell r="F29">
            <v>50.052825164944132</v>
          </cell>
          <cell r="G29">
            <v>52.566197780740211</v>
          </cell>
        </row>
        <row r="30">
          <cell r="C30">
            <v>38.032027270299999</v>
          </cell>
          <cell r="D30">
            <v>39.582992287585846</v>
          </cell>
          <cell r="E30">
            <v>41.252391473310389</v>
          </cell>
          <cell r="F30">
            <v>43.192634607434158</v>
          </cell>
          <cell r="G30">
            <v>45.244232556433211</v>
          </cell>
        </row>
        <row r="33">
          <cell r="C33">
            <v>25.247460527999998</v>
          </cell>
          <cell r="D33">
            <v>26.73031719291571</v>
          </cell>
          <cell r="E33">
            <v>28.366257844877175</v>
          </cell>
          <cell r="F33">
            <v>30.038917613277654</v>
          </cell>
          <cell r="G33">
            <v>31.909135439919183</v>
          </cell>
        </row>
        <row r="36">
          <cell r="C36">
            <v>0.21851840145167084</v>
          </cell>
          <cell r="D36">
            <v>0.15625706290990021</v>
          </cell>
          <cell r="E36">
            <v>0.15418751268812014</v>
          </cell>
          <cell r="F36">
            <v>0.149105036903216</v>
          </cell>
          <cell r="G36">
            <v>0.1570961354122469</v>
          </cell>
        </row>
        <row r="38">
          <cell r="C38">
            <v>49.331429000000007</v>
          </cell>
          <cell r="D38">
            <v>51.009380978787284</v>
          </cell>
          <cell r="E38">
            <v>53.916898308264891</v>
          </cell>
          <cell r="F38">
            <v>57.604658786380242</v>
          </cell>
          <cell r="G38">
            <v>61.012127420618299</v>
          </cell>
        </row>
        <row r="39">
          <cell r="C39">
            <v>65.799836999999997</v>
          </cell>
          <cell r="D39">
            <v>70.666258866172427</v>
          </cell>
          <cell r="E39">
            <v>76.432399798318372</v>
          </cell>
          <cell r="F39">
            <v>82.850139524502367</v>
          </cell>
          <cell r="G39">
            <v>88.954858057466581</v>
          </cell>
        </row>
      </sheetData>
      <sheetData sheetId="4"/>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makro"/>
      <sheetName val="budget-G"/>
      <sheetName val="Expenditures"/>
      <sheetName val="Revenues"/>
      <sheetName val="Check_Interest"/>
      <sheetName val="G(Disb_)"/>
      <sheetName val="Debt_scenario"/>
      <sheetName val="J(Priv_Cap)"/>
      <sheetName val="J(Fin__account)"/>
      <sheetName val="Macroframework-Ve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J(Priv.Cap)"/>
      <sheetName val="makro"/>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tech_prac"/>
      <sheetName val="TAB34"/>
      <sheetName val="J(Priv.Cap)"/>
      <sheetName val="Input_IX11"/>
      <sheetName val="Input_VII11X"/>
      <sheetName val="Input_VIII11X"/>
      <sheetName val="MatrixQSK"/>
      <sheetName val="J(Priv_Cap)"/>
      <sheetName val="curre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sheetDataSet>
      <sheetData sheetId="0" refreshError="1"/>
      <sheetData sheetId="1" refreshError="1"/>
      <sheetData sheetId="2" refreshError="1"/>
      <sheetData sheetId="3">
        <row r="3">
          <cell r="N3" t="str">
            <v>&gt;=1.1.2018</v>
          </cell>
        </row>
      </sheetData>
      <sheetData sheetId="4">
        <row r="44">
          <cell r="B44">
            <v>3175097212.0799551</v>
          </cell>
        </row>
      </sheetData>
      <sheetData sheetId="5" refreshError="1"/>
      <sheetData sheetId="6" refreshError="1"/>
      <sheetData sheetId="7" refreshError="1"/>
      <sheetData sheetId="8">
        <row r="1">
          <cell r="B1">
            <v>1</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_pouzitia"/>
      <sheetName val="Tabulky RVS"/>
      <sheetName val="Súhrnná tabuľka"/>
      <sheetName val="ALCO"/>
      <sheetName val="Monitoring"/>
      <sheetName val="vs. S"/>
      <sheetName val="Prognoza hrubého dlhu"/>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sheetDataSet>
      <sheetData sheetId="0"/>
      <sheetData sheetId="1"/>
      <sheetData sheetId="2">
        <row r="51">
          <cell r="X51">
            <v>1477.09</v>
          </cell>
        </row>
      </sheetData>
      <sheetData sheetId="3"/>
      <sheetData sheetId="4"/>
      <sheetData sheetId="5"/>
      <sheetData sheetId="6">
        <row r="61">
          <cell r="L61">
            <v>45277.069000000003</v>
          </cell>
        </row>
      </sheetData>
      <sheetData sheetId="7"/>
      <sheetData sheetId="8"/>
      <sheetData sheetId="9">
        <row r="7">
          <cell r="Z7">
            <v>9410.1113148665772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_pouzitia"/>
      <sheetName val="Tabulky RVS"/>
      <sheetName val="Súhrnná tabuľka"/>
      <sheetName val="ALCO"/>
      <sheetName val="Monitoring"/>
      <sheetName val="vs. S"/>
      <sheetName val="Prognoza hrubého dlhu"/>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sheetDataSet>
      <sheetData sheetId="0"/>
      <sheetData sheetId="1"/>
      <sheetData sheetId="2">
        <row r="51">
          <cell r="X51">
            <v>1477.09</v>
          </cell>
        </row>
      </sheetData>
      <sheetData sheetId="3"/>
      <sheetData sheetId="4"/>
      <sheetData sheetId="5"/>
      <sheetData sheetId="6">
        <row r="61">
          <cell r="L61">
            <v>45277.069000000003</v>
          </cell>
        </row>
      </sheetData>
      <sheetData sheetId="7"/>
      <sheetData sheetId="8"/>
      <sheetData sheetId="9">
        <row r="7">
          <cell r="Z7">
            <v>9410.1113148665772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 val="Prehľad"/>
      <sheetName val="SV FISCAL2"/>
      <sheetName val="NOVA legislativa"/>
      <sheetName val="M"/>
      <sheetName val="current"/>
      <sheetName val="Input_IX11"/>
      <sheetName val="Input_VII11X"/>
      <sheetName val="Input_VIII11X"/>
      <sheetName val="MatrixQ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Dec"/>
      <sheetName val="projections"/>
      <sheetName val="output"/>
      <sheetName val="NOVA legislativa"/>
      <sheetName val="current"/>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 val="tech_prac"/>
      <sheetName val="projections"/>
      <sheetName val="output"/>
      <sheetName val="NOVA legislativa"/>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_OR"/>
      <sheetName val="Prorač"/>
      <sheetName val="Občine"/>
      <sheetName val="ZPIZ"/>
      <sheetName val="ZZZS"/>
      <sheetName val="pro2001"/>
      <sheetName val="output"/>
      <sheetName val="Index"/>
      <sheetName val="projections"/>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 val="Q4_H4"/>
      <sheetName val="Prorač"/>
      <sheetName val="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0"/>
      <sheetName val="Sheet1"/>
      <sheetName val="01budg"/>
      <sheetName val="i1-CA"/>
      <sheetName val="Prorač"/>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 sheetId="4" refreshError="1"/>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ATA"/>
      <sheetName val="IMAE TC Y ACELERACION"/>
      <sheetName val="ACELERACION"/>
      <sheetName val="DATOS"/>
      <sheetName val="LIB-NEG"/>
      <sheetName val="Sel. Ind. Tbl"/>
      <sheetName val="Sheet1"/>
      <sheetName val="SUMMARY"/>
      <sheetName val="ARDAL_Loan"/>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 val="IMATA"/>
      <sheetName val="SUMMARY"/>
      <sheetName val="ARDAL_Loan"/>
      <sheetName val="RED4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 val="Table 1"/>
      <sheetName val="SUMMARY"/>
      <sheetName val="ARDAL_Loan"/>
      <sheetName val="g13_EU cerpanie  EU28"/>
      <sheetName val="Sel. Ind. Tbl"/>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 val="Annual BiH summary data"/>
      <sheetName val="Table 37"/>
      <sheetName val="Table 1"/>
      <sheetName val="SUMMARY"/>
      <sheetName val="ARDAL_Loan"/>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WEO_Ass"/>
      <sheetName val="vul-ind_SRversion"/>
      <sheetName val="vul-ind_PDRversion"/>
      <sheetName val="BOP_Stress_"/>
      <sheetName val="Inv__Income"/>
      <sheetName val="SA-Tab_27"/>
      <sheetName val="SA-Tab_28"/>
      <sheetName val="SA_Tab_29"/>
      <sheetName val="SA_Tab_30"/>
      <sheetName val="Oper_Budg_"/>
      <sheetName val="Old_Summ_BoP"/>
      <sheetName val="Old_Brf-Tb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ControlSheet"/>
      <sheetName val="Data"/>
      <sheetName val="Bloomberg via EDSS"/>
      <sheetName val="Module1"/>
      <sheetName val="Table"/>
      <sheetName val="Table_GEF"/>
      <sheetName val="RED47"/>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pre demetru"/>
      <sheetName val="vystup z demetry"/>
      <sheetName val="CPI_forecast"/>
      <sheetName val="Porovnanie"/>
      <sheetName val="Update"/>
      <sheetName val="PPI"/>
      <sheetName val="PPI New"/>
      <sheetName val="Regulovane"/>
      <sheetName val="SUSR_detail"/>
      <sheetName val="Vahy detail"/>
      <sheetName val="CenyQ"/>
      <sheetName val="Coicop"/>
      <sheetName val="Coicop_detail"/>
      <sheetName val="Core&amp;Net"/>
      <sheetName val="Coicop_detail new"/>
      <sheetName val="Coicop new"/>
      <sheetName val="Vahy HICP"/>
      <sheetName val="COICOP 2"/>
      <sheetName val="Grafy"/>
      <sheetName val="HICP"/>
      <sheetName val="HICP_new"/>
      <sheetName val="HICP_detail new"/>
      <sheetName val="EUSTAT_HICP_detail"/>
      <sheetName val="HICP_detail"/>
      <sheetName val="HICP_Agregaty"/>
      <sheetName val="HICP_Dopocet"/>
      <sheetName val="CPI v strukture HICP"/>
      <sheetName val="Potraviny"/>
      <sheetName val="Potraviny_detail"/>
      <sheetName val="Zelovoc"/>
      <sheetName val="SUSRMoM"/>
      <sheetName val="Doprava"/>
      <sheetName val="Restauracie"/>
      <sheetName val="Zajazdy"/>
      <sheetName val="Byvanie"/>
      <sheetName val="PHM"/>
      <sheetName val="Plyn"/>
      <sheetName val="Elektrina"/>
      <sheetName val="Legislativa"/>
      <sheetName val="pre eKasu"/>
      <sheetName val="Sheet1"/>
      <sheetName val="DPH"/>
      <sheetName val="------"/>
    </sheetNames>
    <sheetDataSet>
      <sheetData sheetId="0"/>
      <sheetData sheetId="1"/>
      <sheetData sheetId="2"/>
      <sheetData sheetId="3"/>
      <sheetData sheetId="4"/>
      <sheetData sheetId="5"/>
      <sheetData sheetId="6">
        <row r="11">
          <cell r="FC11">
            <v>105.2</v>
          </cell>
        </row>
      </sheetData>
      <sheetData sheetId="7"/>
      <sheetData sheetId="8"/>
      <sheetData sheetId="9"/>
      <sheetData sheetId="10"/>
      <sheetData sheetId="11"/>
      <sheetData sheetId="12">
        <row r="20">
          <cell r="JF20">
            <v>8.4000000000000057</v>
          </cell>
        </row>
      </sheetData>
      <sheetData sheetId="13">
        <row r="104">
          <cell r="HV104">
            <v>5.0298095451938707</v>
          </cell>
        </row>
      </sheetData>
      <sheetData sheetId="14">
        <row r="23">
          <cell r="CJ23">
            <v>8.3000000000000007</v>
          </cell>
        </row>
      </sheetData>
      <sheetData sheetId="15"/>
      <sheetData sheetId="16"/>
      <sheetData sheetId="17"/>
      <sheetData sheetId="18"/>
      <sheetData sheetId="19"/>
      <sheetData sheetId="20"/>
      <sheetData sheetId="21">
        <row r="91">
          <cell r="KD91">
            <v>4.2231771699499063</v>
          </cell>
        </row>
      </sheetData>
      <sheetData sheetId="22"/>
      <sheetData sheetId="23"/>
      <sheetData sheetId="24"/>
      <sheetData sheetId="25">
        <row r="28">
          <cell r="KN28">
            <v>4.7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A"/>
      <sheetName val="DATAQ"/>
      <sheetName val="DataM"/>
      <sheetName val="T Vulnerability"/>
      <sheetName val="PDR vulnerability table"/>
      <sheetName val="Data"/>
      <sheetName val="Table"/>
      <sheetName val="Table_GEF"/>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 sheetId="5" refreshError="1"/>
      <sheetData sheetId="6" refreshError="1"/>
      <sheetData sheetId="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S24_0904"/>
      <sheetName val="OS24_1504"/>
      <sheetName val="EC"/>
      <sheetName val="PS 2024"/>
      <sheetName val="RRZ_check"/>
      <sheetName val="ESA_2010_GG_2024_2027"/>
      <sheetName val="Dashboard_baseline"/>
      <sheetName val="NFPE_4Y"/>
      <sheetName val="NFPE_7Y"/>
      <sheetName val="Dashboard_nove makro+dane"/>
      <sheetName val="NFPE_4Y_nove makro+dane"/>
      <sheetName val="NFPE_7Y_nove makro+dane"/>
      <sheetName val="NFPE_7Y_nove makro+dane-1% kons"/>
      <sheetName val="MTP_2024"/>
      <sheetName val="Dashboard_jul 24"/>
      <sheetName val="4Y MTP (jul24)"/>
      <sheetName val="7Y MTP (jul24)"/>
      <sheetName val="MTP_2024 (jul24)"/>
      <sheetName val="Dashboard_aug 24"/>
      <sheetName val="MTP_2024 (august 24)"/>
      <sheetName val="MTP_2024 (sept 24)"/>
      <sheetName val="MTP_2024 (sept 24)_4Y"/>
      <sheetName val="MTP_2024 (sept 24)_7Y"/>
      <sheetName val="Dashboard"/>
      <sheetName val="MTP_2024 (ciele)"/>
      <sheetName val="MTP_2024 (FINAL)"/>
      <sheetName val="MTP_2024 (FINAL)_7Y"/>
      <sheetName val="ESA_2010_GG_2024 (sept)"/>
      <sheetName val="ESA_2010_GG_2025_2027 (sept)"/>
      <sheetName val="urputny graf"/>
      <sheetName val="MTP_2024_obrana"/>
      <sheetName val="MTP_Kombo"/>
      <sheetName val="PS 2024_"/>
      <sheetName val="Tracking zmien"/>
      <sheetName val="Rezerva"/>
      <sheetName val="ESA_2010_GG_2024 (jul24)"/>
      <sheetName val="ESA_2010_GG_2025_2027 (jul24)"/>
      <sheetName val="MTP_2024 (jul24) test"/>
      <sheetName val="MTP_2024 (uprava deficitov)"/>
      <sheetName val="ESA_2010_GG_2025_2027"/>
      <sheetName val="diffy"/>
      <sheetName val="ESA_2010_GG_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C3">
            <v>2023</v>
          </cell>
          <cell r="D3">
            <v>2024</v>
          </cell>
          <cell r="E3">
            <v>2025</v>
          </cell>
          <cell r="F3">
            <v>2026</v>
          </cell>
          <cell r="G3">
            <v>2027</v>
          </cell>
          <cell r="H3">
            <v>2028</v>
          </cell>
        </row>
      </sheetData>
      <sheetData sheetId="24">
        <row r="24">
          <cell r="AD24">
            <v>-0.27703676264842836</v>
          </cell>
        </row>
      </sheetData>
      <sheetData sheetId="25" refreshError="1"/>
      <sheetData sheetId="26" refreshError="1"/>
      <sheetData sheetId="27" refreshError="1"/>
      <sheetData sheetId="28">
        <row r="60">
          <cell r="D60">
            <v>2158.9699999999998</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dicators"/>
      <sheetName val="EA"/>
      <sheetName val="DE"/>
      <sheetName val="FR"/>
      <sheetName val="IT"/>
      <sheetName val="ES"/>
      <sheetName val="AT"/>
      <sheetName val="HU"/>
      <sheetName val="PL"/>
      <sheetName val="CZ"/>
      <sheetName val="SK"/>
    </sheetNames>
    <sheetDataSet>
      <sheetData sheetId="0"/>
      <sheetData sheetId="1">
        <row r="436">
          <cell r="A436">
            <v>44227</v>
          </cell>
          <cell r="D436">
            <v>-13.9</v>
          </cell>
          <cell r="E436">
            <v>-19.600000000000001</v>
          </cell>
        </row>
        <row r="437">
          <cell r="A437">
            <v>44255</v>
          </cell>
          <cell r="D437">
            <v>-12.8</v>
          </cell>
          <cell r="E437">
            <v>-16.399999999999999</v>
          </cell>
        </row>
        <row r="438">
          <cell r="A438">
            <v>44286</v>
          </cell>
          <cell r="D438">
            <v>-7.7</v>
          </cell>
          <cell r="E438">
            <v>-11.1</v>
          </cell>
        </row>
        <row r="439">
          <cell r="A439">
            <v>44316</v>
          </cell>
          <cell r="D439">
            <v>-0.8</v>
          </cell>
          <cell r="E439">
            <v>-3.1</v>
          </cell>
        </row>
        <row r="440">
          <cell r="A440">
            <v>44347</v>
          </cell>
          <cell r="D440">
            <v>4.9000000000000004</v>
          </cell>
          <cell r="E440">
            <v>0.8</v>
          </cell>
        </row>
        <row r="441">
          <cell r="A441">
            <v>44377</v>
          </cell>
          <cell r="D441">
            <v>9.5</v>
          </cell>
          <cell r="E441">
            <v>1.9</v>
          </cell>
        </row>
        <row r="442">
          <cell r="A442">
            <v>44408</v>
          </cell>
          <cell r="D442">
            <v>12.4</v>
          </cell>
          <cell r="E442">
            <v>6.4</v>
          </cell>
        </row>
        <row r="443">
          <cell r="A443">
            <v>44439</v>
          </cell>
          <cell r="D443">
            <v>12.1</v>
          </cell>
          <cell r="E443">
            <v>5</v>
          </cell>
        </row>
        <row r="444">
          <cell r="A444">
            <v>44469</v>
          </cell>
          <cell r="D444">
            <v>12.3</v>
          </cell>
          <cell r="E444">
            <v>4</v>
          </cell>
        </row>
        <row r="445">
          <cell r="A445">
            <v>44500</v>
          </cell>
          <cell r="D445">
            <v>12.9</v>
          </cell>
          <cell r="E445">
            <v>3.6</v>
          </cell>
        </row>
        <row r="446">
          <cell r="A446">
            <v>44530</v>
          </cell>
          <cell r="D446">
            <v>14.7</v>
          </cell>
          <cell r="E446">
            <v>6.4</v>
          </cell>
        </row>
        <row r="447">
          <cell r="A447">
            <v>44561</v>
          </cell>
          <cell r="D447">
            <v>14.7</v>
          </cell>
          <cell r="E447">
            <v>4.2</v>
          </cell>
        </row>
        <row r="448">
          <cell r="A448">
            <v>44592</v>
          </cell>
          <cell r="D448">
            <v>13.9</v>
          </cell>
          <cell r="E448">
            <v>7.4</v>
          </cell>
        </row>
        <row r="449">
          <cell r="A449">
            <v>44620</v>
          </cell>
          <cell r="D449">
            <v>14.1</v>
          </cell>
          <cell r="E449">
            <v>8.4</v>
          </cell>
        </row>
        <row r="450">
          <cell r="A450">
            <v>44651</v>
          </cell>
          <cell r="D450">
            <v>13</v>
          </cell>
          <cell r="E450">
            <v>6.1</v>
          </cell>
        </row>
        <row r="451">
          <cell r="A451">
            <v>44681</v>
          </cell>
          <cell r="D451">
            <v>12.9</v>
          </cell>
          <cell r="E451">
            <v>7.7</v>
          </cell>
        </row>
        <row r="452">
          <cell r="A452">
            <v>44712</v>
          </cell>
          <cell r="D452">
            <v>7.7</v>
          </cell>
          <cell r="E452">
            <v>0.4</v>
          </cell>
        </row>
        <row r="453">
          <cell r="A453">
            <v>44742</v>
          </cell>
          <cell r="D453">
            <v>9.6999999999999993</v>
          </cell>
          <cell r="E453">
            <v>5.0999999999999996</v>
          </cell>
        </row>
        <row r="454">
          <cell r="A454">
            <v>44773</v>
          </cell>
          <cell r="D454">
            <v>5.5</v>
          </cell>
          <cell r="E454">
            <v>0.3</v>
          </cell>
        </row>
        <row r="455">
          <cell r="A455">
            <v>44804</v>
          </cell>
          <cell r="D455">
            <v>2.2999999999999998</v>
          </cell>
          <cell r="E455">
            <v>-3.7</v>
          </cell>
        </row>
        <row r="456">
          <cell r="A456">
            <v>44834</v>
          </cell>
          <cell r="D456">
            <v>2.2000000000000002</v>
          </cell>
          <cell r="E456">
            <v>-4.7</v>
          </cell>
        </row>
        <row r="457">
          <cell r="A457">
            <v>44865</v>
          </cell>
          <cell r="D457">
            <v>0.9</v>
          </cell>
          <cell r="E457">
            <v>-6.3</v>
          </cell>
        </row>
        <row r="458">
          <cell r="A458">
            <v>44895</v>
          </cell>
          <cell r="D458">
            <v>-2.2000000000000002</v>
          </cell>
          <cell r="E458">
            <v>-10.1</v>
          </cell>
        </row>
        <row r="459">
          <cell r="A459">
            <v>44926</v>
          </cell>
          <cell r="D459">
            <v>-2</v>
          </cell>
          <cell r="E459">
            <v>-11.4</v>
          </cell>
        </row>
        <row r="460">
          <cell r="A460">
            <v>44957</v>
          </cell>
          <cell r="D460">
            <v>-1.9</v>
          </cell>
          <cell r="E460">
            <v>-6.5</v>
          </cell>
        </row>
        <row r="461">
          <cell r="A461">
            <v>44985</v>
          </cell>
          <cell r="D461">
            <v>-1.7</v>
          </cell>
          <cell r="E461">
            <v>-6.2</v>
          </cell>
        </row>
        <row r="462">
          <cell r="A462">
            <v>45016</v>
          </cell>
          <cell r="D462">
            <v>-2.5</v>
          </cell>
          <cell r="E462">
            <v>-6</v>
          </cell>
        </row>
        <row r="463">
          <cell r="A463">
            <v>45046</v>
          </cell>
          <cell r="D463">
            <v>-5.7</v>
          </cell>
          <cell r="E463">
            <v>-5.3</v>
          </cell>
        </row>
        <row r="464">
          <cell r="A464">
            <v>45077</v>
          </cell>
          <cell r="D464">
            <v>-9.3000000000000007</v>
          </cell>
          <cell r="E464">
            <v>-11</v>
          </cell>
        </row>
        <row r="465">
          <cell r="A465">
            <v>45107</v>
          </cell>
          <cell r="D465">
            <v>-12</v>
          </cell>
          <cell r="E465">
            <v>-12.5</v>
          </cell>
        </row>
        <row r="466">
          <cell r="A466">
            <v>45138</v>
          </cell>
          <cell r="D466">
            <v>-14.2</v>
          </cell>
          <cell r="E466">
            <v>-13.8</v>
          </cell>
        </row>
        <row r="467">
          <cell r="A467">
            <v>45169</v>
          </cell>
          <cell r="D467">
            <v>-17.899999999999999</v>
          </cell>
          <cell r="E467">
            <v>-20.7</v>
          </cell>
        </row>
        <row r="468">
          <cell r="A468">
            <v>45199</v>
          </cell>
          <cell r="D468">
            <v>-16.899999999999999</v>
          </cell>
          <cell r="E468">
            <v>-21.1</v>
          </cell>
        </row>
        <row r="469">
          <cell r="A469">
            <v>45230</v>
          </cell>
          <cell r="D469">
            <v>-17.8</v>
          </cell>
          <cell r="E469">
            <v>-20</v>
          </cell>
        </row>
        <row r="470">
          <cell r="A470">
            <v>45260</v>
          </cell>
          <cell r="D470">
            <v>-18.3</v>
          </cell>
          <cell r="E470">
            <v>-22.6</v>
          </cell>
        </row>
        <row r="471">
          <cell r="A471">
            <v>45291</v>
          </cell>
          <cell r="D471">
            <v>-19.8</v>
          </cell>
          <cell r="E471">
            <v>-24.5</v>
          </cell>
        </row>
        <row r="472">
          <cell r="A472">
            <v>45322</v>
          </cell>
          <cell r="D472">
            <v>-20.2</v>
          </cell>
          <cell r="E472">
            <v>-21.1</v>
          </cell>
        </row>
        <row r="473">
          <cell r="A473">
            <v>45351</v>
          </cell>
          <cell r="D473">
            <v>-20.3</v>
          </cell>
          <cell r="E473">
            <v>-21.8</v>
          </cell>
        </row>
        <row r="474">
          <cell r="A474">
            <v>45382</v>
          </cell>
          <cell r="D474">
            <v>-18.899999999999999</v>
          </cell>
          <cell r="E474">
            <v>-19.7</v>
          </cell>
        </row>
        <row r="475">
          <cell r="A475">
            <v>45412</v>
          </cell>
          <cell r="D475">
            <v>-23.5</v>
          </cell>
          <cell r="E475">
            <v>-19.899999999999999</v>
          </cell>
        </row>
      </sheetData>
      <sheetData sheetId="2">
        <row r="436">
          <cell r="D436">
            <v>-6.5</v>
          </cell>
          <cell r="E436">
            <v>-13.1</v>
          </cell>
        </row>
        <row r="437">
          <cell r="D437">
            <v>-2.5</v>
          </cell>
          <cell r="E437">
            <v>-8.6999999999999993</v>
          </cell>
        </row>
        <row r="438">
          <cell r="D438">
            <v>6</v>
          </cell>
          <cell r="E438">
            <v>0.2</v>
          </cell>
        </row>
        <row r="439">
          <cell r="D439">
            <v>12.1</v>
          </cell>
          <cell r="E439">
            <v>5</v>
          </cell>
        </row>
        <row r="440">
          <cell r="D440">
            <v>17.3</v>
          </cell>
          <cell r="E440">
            <v>11.4</v>
          </cell>
        </row>
        <row r="441">
          <cell r="D441">
            <v>23.7</v>
          </cell>
          <cell r="E441">
            <v>15.6</v>
          </cell>
        </row>
        <row r="442">
          <cell r="D442">
            <v>26.6</v>
          </cell>
          <cell r="E442">
            <v>16.100000000000001</v>
          </cell>
        </row>
        <row r="443">
          <cell r="D443">
            <v>25.6</v>
          </cell>
          <cell r="E443">
            <v>15.8</v>
          </cell>
        </row>
        <row r="444">
          <cell r="D444">
            <v>27.6</v>
          </cell>
          <cell r="E444">
            <v>19.399999999999999</v>
          </cell>
        </row>
        <row r="445">
          <cell r="D445">
            <v>25.4</v>
          </cell>
          <cell r="E445">
            <v>16.5</v>
          </cell>
        </row>
        <row r="446">
          <cell r="D446">
            <v>27</v>
          </cell>
          <cell r="E446">
            <v>18.100000000000001</v>
          </cell>
        </row>
        <row r="447">
          <cell r="D447">
            <v>28.6</v>
          </cell>
          <cell r="E447">
            <v>20</v>
          </cell>
        </row>
        <row r="448">
          <cell r="D448">
            <v>28.2</v>
          </cell>
          <cell r="E448">
            <v>18.899999999999999</v>
          </cell>
        </row>
        <row r="449">
          <cell r="D449">
            <v>27.9</v>
          </cell>
          <cell r="E449">
            <v>19.3</v>
          </cell>
        </row>
        <row r="450">
          <cell r="D450">
            <v>29.2</v>
          </cell>
          <cell r="E450">
            <v>18.399999999999999</v>
          </cell>
        </row>
        <row r="451">
          <cell r="D451">
            <v>29.8</v>
          </cell>
          <cell r="E451">
            <v>17.8</v>
          </cell>
        </row>
        <row r="452">
          <cell r="D452">
            <v>20.8</v>
          </cell>
          <cell r="E452">
            <v>11.1</v>
          </cell>
        </row>
        <row r="453">
          <cell r="D453">
            <v>22.9</v>
          </cell>
          <cell r="E453">
            <v>12.7</v>
          </cell>
        </row>
        <row r="454">
          <cell r="D454">
            <v>22.5</v>
          </cell>
          <cell r="E454">
            <v>14.8</v>
          </cell>
        </row>
        <row r="455">
          <cell r="D455">
            <v>17.100000000000001</v>
          </cell>
          <cell r="E455">
            <v>9.5</v>
          </cell>
        </row>
        <row r="456">
          <cell r="D456">
            <v>16.100000000000001</v>
          </cell>
          <cell r="E456">
            <v>7</v>
          </cell>
        </row>
        <row r="457">
          <cell r="D457">
            <v>14.3</v>
          </cell>
          <cell r="E457">
            <v>8.1</v>
          </cell>
        </row>
        <row r="458">
          <cell r="D458">
            <v>12.2</v>
          </cell>
          <cell r="E458">
            <v>6.2</v>
          </cell>
        </row>
        <row r="459">
          <cell r="D459">
            <v>11</v>
          </cell>
          <cell r="E459">
            <v>2.9</v>
          </cell>
        </row>
        <row r="460">
          <cell r="D460">
            <v>7.7</v>
          </cell>
          <cell r="E460">
            <v>0</v>
          </cell>
        </row>
        <row r="461">
          <cell r="D461">
            <v>6.2</v>
          </cell>
          <cell r="E461">
            <v>0.7</v>
          </cell>
        </row>
        <row r="462">
          <cell r="D462">
            <v>3.5</v>
          </cell>
          <cell r="E462">
            <v>-1.1000000000000001</v>
          </cell>
        </row>
        <row r="463">
          <cell r="D463">
            <v>0.8</v>
          </cell>
          <cell r="E463">
            <v>-3.7</v>
          </cell>
        </row>
        <row r="464">
          <cell r="D464">
            <v>-4</v>
          </cell>
          <cell r="E464">
            <v>-8.8000000000000007</v>
          </cell>
        </row>
        <row r="465">
          <cell r="D465">
            <v>-10</v>
          </cell>
          <cell r="E465">
            <v>-10.9</v>
          </cell>
        </row>
        <row r="466">
          <cell r="D466">
            <v>-15.8</v>
          </cell>
          <cell r="E466">
            <v>-18.5</v>
          </cell>
        </row>
        <row r="467">
          <cell r="D467">
            <v>-22.1</v>
          </cell>
          <cell r="E467">
            <v>-23.4</v>
          </cell>
        </row>
        <row r="468">
          <cell r="D468">
            <v>-19.100000000000001</v>
          </cell>
          <cell r="E468">
            <v>-20.5</v>
          </cell>
        </row>
        <row r="469">
          <cell r="D469">
            <v>-22.1</v>
          </cell>
          <cell r="E469">
            <v>-23.5</v>
          </cell>
        </row>
        <row r="470">
          <cell r="D470">
            <v>-22.6</v>
          </cell>
          <cell r="E470">
            <v>-24.5</v>
          </cell>
        </row>
        <row r="471">
          <cell r="D471">
            <v>-24.6</v>
          </cell>
          <cell r="E471">
            <v>-26.6</v>
          </cell>
        </row>
        <row r="472">
          <cell r="D472">
            <v>-26.4</v>
          </cell>
          <cell r="E472">
            <v>-29</v>
          </cell>
        </row>
        <row r="473">
          <cell r="D473">
            <v>-27.9</v>
          </cell>
          <cell r="E473">
            <v>-29.5</v>
          </cell>
        </row>
        <row r="474">
          <cell r="D474">
            <v>-26.3</v>
          </cell>
          <cell r="E474">
            <v>-27.6</v>
          </cell>
        </row>
        <row r="475">
          <cell r="D475">
            <v>-32.5</v>
          </cell>
          <cell r="E475">
            <v>-30.9</v>
          </cell>
        </row>
      </sheetData>
      <sheetData sheetId="3"/>
      <sheetData sheetId="4"/>
      <sheetData sheetId="5"/>
      <sheetData sheetId="6"/>
      <sheetData sheetId="7"/>
      <sheetData sheetId="8"/>
      <sheetData sheetId="9"/>
      <sheetData sheetId="1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 1"/>
      <sheetName val="Graf 2"/>
      <sheetName val="Graf 3"/>
      <sheetName val="Graf 4X"/>
      <sheetName val="Graf 5"/>
      <sheetName val="Graf 6"/>
      <sheetName val="Graf 7"/>
      <sheetName val="Graf 8"/>
      <sheetName val="Graf 9"/>
      <sheetName val="Graf_10"/>
      <sheetName val="Graf_12"/>
      <sheetName val="Graf_13"/>
      <sheetName val="Graf_A"/>
      <sheetName val="Graf_B"/>
      <sheetName val="tabulka_legislativa"/>
    </sheetNames>
    <sheetDataSet>
      <sheetData sheetId="0" refreshError="1"/>
      <sheetData sheetId="1" refreshError="1"/>
      <sheetData sheetId="2" refreshError="1"/>
      <sheetData sheetId="3">
        <row r="3">
          <cell r="B3" t="str">
            <v>EDS (jún 2024) + el. služby</v>
          </cell>
        </row>
        <row r="28">
          <cell r="A28">
            <v>41699</v>
          </cell>
        </row>
        <row r="29">
          <cell r="A29">
            <v>41791</v>
          </cell>
        </row>
        <row r="30">
          <cell r="A30">
            <v>41883</v>
          </cell>
        </row>
        <row r="31">
          <cell r="A31">
            <v>41974</v>
          </cell>
        </row>
        <row r="32">
          <cell r="A32">
            <v>42064</v>
          </cell>
        </row>
        <row r="33">
          <cell r="A33">
            <v>42156</v>
          </cell>
        </row>
        <row r="34">
          <cell r="A34">
            <v>42248</v>
          </cell>
        </row>
        <row r="35">
          <cell r="A35">
            <v>42339</v>
          </cell>
        </row>
        <row r="36">
          <cell r="A36">
            <v>42430</v>
          </cell>
        </row>
        <row r="37">
          <cell r="A37">
            <v>42522</v>
          </cell>
        </row>
        <row r="38">
          <cell r="A38">
            <v>42614</v>
          </cell>
        </row>
        <row r="39">
          <cell r="A39">
            <v>42705</v>
          </cell>
        </row>
        <row r="40">
          <cell r="A40">
            <v>42795</v>
          </cell>
        </row>
        <row r="41">
          <cell r="A41">
            <v>42887</v>
          </cell>
        </row>
        <row r="42">
          <cell r="A42">
            <v>42979</v>
          </cell>
        </row>
        <row r="43">
          <cell r="A43">
            <v>43070</v>
          </cell>
        </row>
        <row r="44">
          <cell r="A44">
            <v>43160</v>
          </cell>
        </row>
        <row r="45">
          <cell r="A45">
            <v>43252</v>
          </cell>
        </row>
        <row r="46">
          <cell r="A46">
            <v>43344</v>
          </cell>
        </row>
        <row r="47">
          <cell r="A47">
            <v>43435</v>
          </cell>
        </row>
        <row r="48">
          <cell r="A48">
            <v>43525</v>
          </cell>
        </row>
        <row r="49">
          <cell r="A49">
            <v>43617</v>
          </cell>
        </row>
        <row r="50">
          <cell r="A50">
            <v>43709</v>
          </cell>
        </row>
        <row r="51">
          <cell r="A51">
            <v>43800</v>
          </cell>
        </row>
        <row r="52">
          <cell r="A52">
            <v>43891</v>
          </cell>
        </row>
        <row r="53">
          <cell r="A53">
            <v>43983</v>
          </cell>
        </row>
        <row r="54">
          <cell r="A54">
            <v>44075</v>
          </cell>
        </row>
        <row r="55">
          <cell r="A55">
            <v>44166</v>
          </cell>
        </row>
        <row r="56">
          <cell r="A56">
            <v>44256</v>
          </cell>
        </row>
        <row r="57">
          <cell r="A57">
            <v>44348</v>
          </cell>
        </row>
        <row r="58">
          <cell r="A58">
            <v>44440</v>
          </cell>
        </row>
        <row r="59">
          <cell r="A59">
            <v>44531</v>
          </cell>
        </row>
        <row r="60">
          <cell r="A60">
            <v>44621</v>
          </cell>
        </row>
        <row r="61">
          <cell r="A61">
            <v>44713</v>
          </cell>
        </row>
        <row r="62">
          <cell r="A62">
            <v>44805</v>
          </cell>
        </row>
        <row r="63">
          <cell r="A63">
            <v>44896</v>
          </cell>
        </row>
        <row r="64">
          <cell r="A64">
            <v>44986</v>
          </cell>
        </row>
        <row r="65">
          <cell r="A65">
            <v>45078</v>
          </cell>
        </row>
        <row r="66">
          <cell r="A66">
            <v>45170</v>
          </cell>
        </row>
        <row r="67">
          <cell r="A67">
            <v>45261</v>
          </cell>
        </row>
        <row r="68">
          <cell r="A68">
            <v>45352</v>
          </cell>
        </row>
        <row r="69">
          <cell r="A69">
            <v>45444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 29"/>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ív Office">
  <a:themeElements>
    <a:clrScheme name="IFP">
      <a:dk1>
        <a:srgbClr val="131D2B"/>
      </a:dk1>
      <a:lt1>
        <a:srgbClr val="FFFFFF"/>
      </a:lt1>
      <a:dk2>
        <a:srgbClr val="FFFFFF"/>
      </a:dk2>
      <a:lt2>
        <a:srgbClr val="FFFFFF"/>
      </a:lt2>
      <a:accent1>
        <a:srgbClr val="2EAAE1"/>
      </a:accent1>
      <a:accent2>
        <a:srgbClr val="131D2B"/>
      </a:accent2>
      <a:accent3>
        <a:srgbClr val="1AA380"/>
      </a:accent3>
      <a:accent4>
        <a:srgbClr val="F2CA6D"/>
      </a:accent4>
      <a:accent5>
        <a:srgbClr val="E85477"/>
      </a:accent5>
      <a:accent6>
        <a:srgbClr val="686767"/>
      </a:accent6>
      <a:hlink>
        <a:srgbClr val="6535F2"/>
      </a:hlink>
      <a:folHlink>
        <a:srgbClr val="7D520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europa.eu/info/sites/info/files/economy-finance/2021_dbp_sk_sk_0_1.pdf" TargetMode="External"/><Relationship Id="rId1" Type="http://schemas.openxmlformats.org/officeDocument/2006/relationships/hyperlink" Target="https://ec.europa.eu/info/sites/info/files/economy-finance/2021_dbp_sk_sk_0_1.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46"/>
  <dimension ref="A1:H44"/>
  <sheetViews>
    <sheetView showGridLines="0" tabSelected="1" zoomScale="80" zoomScaleNormal="80" workbookViewId="0"/>
  </sheetViews>
  <sheetFormatPr defaultColWidth="9.42578125" defaultRowHeight="12.75" x14ac:dyDescent="0.2"/>
  <cols>
    <col min="1" max="1" width="9.42578125" style="209"/>
    <col min="2" max="2" width="112.5703125" style="209" bestFit="1" customWidth="1"/>
    <col min="3" max="5" width="6.42578125" style="209" customWidth="1"/>
    <col min="6" max="6" width="150.42578125" style="209" bestFit="1" customWidth="1"/>
    <col min="7" max="7" width="93.42578125" style="209" bestFit="1" customWidth="1"/>
    <col min="8" max="16384" width="9.42578125" style="209"/>
  </cols>
  <sheetData>
    <row r="1" spans="1:8" s="100" customFormat="1" ht="24" thickBot="1" x14ac:dyDescent="0.4">
      <c r="A1" s="130"/>
      <c r="B1" s="151" t="s">
        <v>1074</v>
      </c>
      <c r="C1" s="152"/>
      <c r="D1" s="152"/>
      <c r="E1" s="152"/>
      <c r="F1" s="151" t="s">
        <v>1075</v>
      </c>
      <c r="G1" s="101"/>
    </row>
    <row r="2" spans="1:8" x14ac:dyDescent="0.2">
      <c r="B2" s="263"/>
      <c r="C2" s="216"/>
      <c r="D2" s="216"/>
      <c r="E2" s="216"/>
      <c r="F2" s="263"/>
      <c r="G2" s="216"/>
    </row>
    <row r="3" spans="1:8" x14ac:dyDescent="0.2">
      <c r="B3" s="264" t="s">
        <v>211</v>
      </c>
      <c r="C3" s="243"/>
      <c r="D3" s="243"/>
      <c r="E3" s="243"/>
      <c r="F3" s="264" t="s">
        <v>212</v>
      </c>
    </row>
    <row r="5" spans="1:8" x14ac:dyDescent="0.2">
      <c r="B5" s="265" t="s">
        <v>303</v>
      </c>
      <c r="C5" s="266"/>
      <c r="D5" s="266"/>
      <c r="E5" s="266"/>
      <c r="F5" s="265" t="s">
        <v>304</v>
      </c>
    </row>
    <row r="6" spans="1:8" x14ac:dyDescent="0.2">
      <c r="B6" s="265" t="s">
        <v>829</v>
      </c>
      <c r="C6" s="266"/>
      <c r="D6" s="266"/>
      <c r="E6" s="266"/>
      <c r="F6" s="265" t="s">
        <v>830</v>
      </c>
    </row>
    <row r="7" spans="1:8" x14ac:dyDescent="0.2">
      <c r="B7" s="265" t="s">
        <v>451</v>
      </c>
      <c r="C7" s="266"/>
      <c r="D7" s="266"/>
      <c r="E7" s="266"/>
      <c r="F7" s="265" t="s">
        <v>586</v>
      </c>
    </row>
    <row r="8" spans="1:8" x14ac:dyDescent="0.2">
      <c r="B8" s="265" t="s">
        <v>600</v>
      </c>
      <c r="C8" s="266"/>
      <c r="D8" s="266"/>
      <c r="E8" s="266"/>
      <c r="F8" s="265" t="s">
        <v>831</v>
      </c>
      <c r="H8" s="142"/>
    </row>
    <row r="9" spans="1:8" x14ac:dyDescent="0.2">
      <c r="B9" s="265" t="s">
        <v>823</v>
      </c>
      <c r="C9" s="266"/>
      <c r="D9" s="266"/>
      <c r="E9" s="266"/>
      <c r="F9" s="265" t="s">
        <v>824</v>
      </c>
      <c r="H9" s="142"/>
    </row>
    <row r="10" spans="1:8" x14ac:dyDescent="0.2">
      <c r="B10" s="265" t="s">
        <v>845</v>
      </c>
      <c r="C10" s="266"/>
      <c r="D10" s="266"/>
      <c r="E10" s="266"/>
      <c r="F10" s="265" t="s">
        <v>846</v>
      </c>
      <c r="H10" s="142"/>
    </row>
    <row r="11" spans="1:8" s="226" customFormat="1" x14ac:dyDescent="0.2">
      <c r="B11" s="265" t="s">
        <v>847</v>
      </c>
      <c r="C11" s="266"/>
      <c r="D11" s="266"/>
      <c r="E11" s="266"/>
      <c r="F11" s="265" t="s">
        <v>848</v>
      </c>
      <c r="H11" s="142"/>
    </row>
    <row r="12" spans="1:8" x14ac:dyDescent="0.2">
      <c r="B12" s="265" t="s">
        <v>852</v>
      </c>
      <c r="C12" s="266"/>
      <c r="D12" s="266"/>
      <c r="E12" s="266"/>
      <c r="F12" s="265" t="s">
        <v>853</v>
      </c>
      <c r="H12" s="142"/>
    </row>
    <row r="13" spans="1:8" x14ac:dyDescent="0.2">
      <c r="B13" s="265" t="s">
        <v>835</v>
      </c>
      <c r="C13" s="266"/>
      <c r="D13" s="266"/>
      <c r="E13" s="266"/>
      <c r="F13" s="265" t="s">
        <v>836</v>
      </c>
      <c r="H13" s="142"/>
    </row>
    <row r="14" spans="1:8" x14ac:dyDescent="0.2">
      <c r="B14" s="265" t="s">
        <v>833</v>
      </c>
      <c r="C14" s="266"/>
      <c r="D14" s="266"/>
      <c r="E14" s="266"/>
      <c r="F14" s="265" t="s">
        <v>834</v>
      </c>
      <c r="H14" s="142"/>
    </row>
    <row r="15" spans="1:8" x14ac:dyDescent="0.2">
      <c r="B15" s="265" t="s">
        <v>849</v>
      </c>
      <c r="C15" s="266"/>
      <c r="D15" s="266"/>
      <c r="E15" s="266"/>
      <c r="F15" s="265" t="s">
        <v>850</v>
      </c>
      <c r="H15" s="142"/>
    </row>
    <row r="16" spans="1:8" x14ac:dyDescent="0.2">
      <c r="B16" s="265" t="s">
        <v>839</v>
      </c>
      <c r="C16" s="266"/>
      <c r="D16" s="266"/>
      <c r="E16" s="266"/>
      <c r="F16" s="265" t="s">
        <v>840</v>
      </c>
      <c r="H16" s="142"/>
    </row>
    <row r="17" spans="1:8" x14ac:dyDescent="0.2">
      <c r="B17" s="265" t="s">
        <v>664</v>
      </c>
      <c r="C17" s="266"/>
      <c r="D17" s="266"/>
      <c r="E17" s="266"/>
      <c r="F17" s="265" t="s">
        <v>665</v>
      </c>
      <c r="H17" s="142"/>
    </row>
    <row r="18" spans="1:8" x14ac:dyDescent="0.2">
      <c r="B18" s="265" t="s">
        <v>666</v>
      </c>
      <c r="C18" s="266"/>
      <c r="D18" s="266"/>
      <c r="E18" s="266"/>
      <c r="F18" s="265" t="s">
        <v>667</v>
      </c>
      <c r="H18" s="142"/>
    </row>
    <row r="19" spans="1:8" x14ac:dyDescent="0.2">
      <c r="B19" s="265" t="s">
        <v>1023</v>
      </c>
      <c r="C19" s="266"/>
      <c r="D19" s="266"/>
      <c r="E19" s="266"/>
      <c r="F19" s="265" t="s">
        <v>1024</v>
      </c>
      <c r="H19" s="142"/>
    </row>
    <row r="20" spans="1:8" x14ac:dyDescent="0.2">
      <c r="B20" s="265" t="s">
        <v>1025</v>
      </c>
      <c r="C20" s="266"/>
      <c r="D20" s="266"/>
      <c r="E20" s="266"/>
      <c r="F20" s="265" t="s">
        <v>1026</v>
      </c>
      <c r="H20" s="142"/>
    </row>
    <row r="21" spans="1:8" s="226" customFormat="1" x14ac:dyDescent="0.2">
      <c r="A21" s="209"/>
      <c r="B21" s="265" t="s">
        <v>873</v>
      </c>
      <c r="C21" s="266"/>
      <c r="D21" s="266"/>
      <c r="E21" s="266"/>
      <c r="F21" s="265" t="s">
        <v>1027</v>
      </c>
      <c r="G21" s="209"/>
      <c r="H21" s="142"/>
    </row>
    <row r="22" spans="1:8" s="226" customFormat="1" x14ac:dyDescent="0.2">
      <c r="A22" s="209"/>
      <c r="B22" s="265" t="s">
        <v>1028</v>
      </c>
      <c r="C22" s="266"/>
      <c r="D22" s="266"/>
      <c r="E22" s="266"/>
      <c r="F22" s="265" t="s">
        <v>1029</v>
      </c>
      <c r="G22" s="209"/>
      <c r="H22" s="142"/>
    </row>
    <row r="23" spans="1:8" s="226" customFormat="1" x14ac:dyDescent="0.2">
      <c r="A23" s="209"/>
      <c r="B23" s="265" t="s">
        <v>1030</v>
      </c>
      <c r="C23" s="266"/>
      <c r="D23" s="266"/>
      <c r="E23" s="266"/>
      <c r="F23" s="265" t="s">
        <v>1031</v>
      </c>
      <c r="G23" s="209"/>
      <c r="H23" s="142"/>
    </row>
    <row r="24" spans="1:8" s="226" customFormat="1" x14ac:dyDescent="0.2">
      <c r="A24" s="209"/>
      <c r="B24" s="265" t="s">
        <v>1032</v>
      </c>
      <c r="C24" s="266"/>
      <c r="D24" s="266"/>
      <c r="E24" s="266"/>
      <c r="F24" s="265" t="s">
        <v>1033</v>
      </c>
      <c r="G24" s="209"/>
      <c r="H24" s="142"/>
    </row>
    <row r="25" spans="1:8" x14ac:dyDescent="0.2">
      <c r="B25" s="265" t="s">
        <v>1038</v>
      </c>
      <c r="C25" s="266"/>
      <c r="D25" s="266"/>
      <c r="E25" s="266"/>
      <c r="F25" s="265" t="s">
        <v>1039</v>
      </c>
      <c r="H25" s="214"/>
    </row>
    <row r="26" spans="1:8" x14ac:dyDescent="0.2">
      <c r="B26" s="265" t="s">
        <v>565</v>
      </c>
      <c r="C26" s="266"/>
      <c r="D26" s="266"/>
      <c r="E26" s="266"/>
      <c r="F26" s="265" t="s">
        <v>1045</v>
      </c>
      <c r="H26" s="214"/>
    </row>
    <row r="27" spans="1:8" x14ac:dyDescent="0.2">
      <c r="B27" s="267"/>
      <c r="C27" s="267"/>
      <c r="D27" s="267"/>
      <c r="E27" s="267"/>
      <c r="F27" s="267"/>
    </row>
    <row r="28" spans="1:8" x14ac:dyDescent="0.2">
      <c r="B28" s="265" t="s">
        <v>213</v>
      </c>
      <c r="C28" s="267"/>
      <c r="D28" s="267"/>
      <c r="E28" s="267"/>
      <c r="F28" s="265" t="s">
        <v>214</v>
      </c>
    </row>
    <row r="29" spans="1:8" x14ac:dyDescent="0.2">
      <c r="B29" s="265" t="s">
        <v>564</v>
      </c>
      <c r="C29" s="266"/>
      <c r="D29" s="266"/>
      <c r="E29" s="266"/>
      <c r="F29" s="265" t="s">
        <v>851</v>
      </c>
    </row>
    <row r="30" spans="1:8" x14ac:dyDescent="0.2">
      <c r="B30" s="265" t="s">
        <v>861</v>
      </c>
      <c r="C30" s="266"/>
      <c r="D30" s="266"/>
      <c r="E30" s="266"/>
      <c r="F30" s="265" t="s">
        <v>862</v>
      </c>
    </row>
    <row r="31" spans="1:8" x14ac:dyDescent="0.2">
      <c r="B31" s="265" t="s">
        <v>1013</v>
      </c>
      <c r="C31" s="266"/>
      <c r="D31" s="266"/>
      <c r="E31" s="266"/>
      <c r="F31" s="265" t="s">
        <v>1014</v>
      </c>
    </row>
    <row r="32" spans="1:8" x14ac:dyDescent="0.2">
      <c r="B32" s="265" t="s">
        <v>889</v>
      </c>
      <c r="C32" s="266"/>
      <c r="D32" s="266"/>
      <c r="E32" s="266"/>
      <c r="F32" s="265" t="s">
        <v>888</v>
      </c>
    </row>
    <row r="33" spans="2:6" x14ac:dyDescent="0.2">
      <c r="B33" s="265" t="s">
        <v>874</v>
      </c>
      <c r="C33" s="266"/>
      <c r="D33" s="266"/>
      <c r="E33" s="266"/>
      <c r="F33" s="265" t="s">
        <v>875</v>
      </c>
    </row>
    <row r="34" spans="2:6" x14ac:dyDescent="0.2">
      <c r="B34" s="265" t="s">
        <v>539</v>
      </c>
      <c r="C34" s="266"/>
      <c r="D34" s="266"/>
      <c r="E34" s="266"/>
      <c r="F34" s="265" t="s">
        <v>538</v>
      </c>
    </row>
    <row r="35" spans="2:6" x14ac:dyDescent="0.2">
      <c r="B35" s="265" t="s">
        <v>1036</v>
      </c>
      <c r="C35" s="266"/>
      <c r="D35" s="266"/>
      <c r="E35" s="266"/>
      <c r="F35" s="265" t="s">
        <v>1037</v>
      </c>
    </row>
    <row r="36" spans="2:6" x14ac:dyDescent="0.2">
      <c r="B36" s="265" t="s">
        <v>1046</v>
      </c>
      <c r="C36" s="266"/>
      <c r="D36" s="266"/>
      <c r="E36" s="266"/>
      <c r="F36" s="265" t="s">
        <v>1047</v>
      </c>
    </row>
    <row r="37" spans="2:6" x14ac:dyDescent="0.2">
      <c r="B37" s="265" t="s">
        <v>1048</v>
      </c>
      <c r="C37" s="266"/>
      <c r="D37" s="266"/>
      <c r="E37" s="266"/>
      <c r="F37" s="265" t="s">
        <v>1049</v>
      </c>
    </row>
    <row r="38" spans="2:6" x14ac:dyDescent="0.2">
      <c r="B38" s="265" t="s">
        <v>1050</v>
      </c>
      <c r="C38" s="266"/>
      <c r="D38" s="266"/>
      <c r="E38" s="266"/>
      <c r="F38" s="265" t="s">
        <v>1051</v>
      </c>
    </row>
    <row r="39" spans="2:6" x14ac:dyDescent="0.2">
      <c r="B39" s="265" t="s">
        <v>1053</v>
      </c>
      <c r="C39" s="266"/>
      <c r="D39" s="266"/>
      <c r="E39" s="266"/>
      <c r="F39" s="265" t="s">
        <v>1054</v>
      </c>
    </row>
    <row r="40" spans="2:6" x14ac:dyDescent="0.2">
      <c r="B40" s="265" t="s">
        <v>1055</v>
      </c>
      <c r="C40" s="266"/>
      <c r="D40" s="266"/>
      <c r="E40" s="266"/>
      <c r="F40" s="265" t="s">
        <v>1056</v>
      </c>
    </row>
    <row r="41" spans="2:6" x14ac:dyDescent="0.2">
      <c r="B41" s="265" t="s">
        <v>1060</v>
      </c>
      <c r="C41" s="266"/>
      <c r="D41" s="266"/>
      <c r="E41" s="266"/>
      <c r="F41" s="265" t="s">
        <v>1061</v>
      </c>
    </row>
    <row r="42" spans="2:6" x14ac:dyDescent="0.2">
      <c r="B42" s="265" t="s">
        <v>548</v>
      </c>
      <c r="C42" s="266"/>
      <c r="D42" s="266"/>
      <c r="E42" s="266"/>
      <c r="F42" s="265" t="s">
        <v>549</v>
      </c>
    </row>
    <row r="43" spans="2:6" x14ac:dyDescent="0.2">
      <c r="B43" s="265" t="s">
        <v>566</v>
      </c>
      <c r="C43" s="266"/>
      <c r="D43" s="266"/>
      <c r="E43" s="266"/>
      <c r="F43" s="265" t="s">
        <v>567</v>
      </c>
    </row>
    <row r="44" spans="2:6" x14ac:dyDescent="0.2">
      <c r="B44" s="265" t="s">
        <v>563</v>
      </c>
      <c r="C44" s="266"/>
      <c r="D44" s="266"/>
      <c r="E44" s="266"/>
      <c r="F44" s="265" t="s">
        <v>568</v>
      </c>
    </row>
  </sheetData>
  <hyperlinks>
    <hyperlink ref="B28" location="'MMF_TABULKA'!A1" display="MMF_TABULKA" xr:uid="{00000000-0004-0000-0000-000000000000}"/>
    <hyperlink ref="B3" r:id="rId1" xr:uid="{00000000-0004-0000-0000-000001000000}"/>
    <hyperlink ref="F3" r:id="rId2" xr:uid="{00000000-0004-0000-0000-000002000000}"/>
    <hyperlink ref="F28" location="'MMF_TABULKA'!A1" display="MMF_TABULKA" xr:uid="{00000000-0004-0000-0000-000003000000}"/>
    <hyperlink ref="B7" location="'Graf 2'!A1" display="GRAF 2 – Čerpanie EÚ zdrojov (mil. EUR)" xr:uid="{00000000-0004-0000-0000-000004000000}"/>
    <hyperlink ref="B29" location="'Graf 11 + Tabuľka 1'!A1" display="TABUĽKA 1 – Produkčná medzera a príspevky faktorov k rastu potenciálneho produktu – národná metodika" xr:uid="{00000000-0004-0000-0000-000005000000}"/>
    <hyperlink ref="B30" location="'Tabuľka 2'!A1" display="TABUĽKA 2 – Opatrenia prijaté vládou v boji s energetickou krízou s vplyvom na rozpočet (v mil. eur)" xr:uid="{00000000-0004-0000-0000-000006000000}"/>
    <hyperlink ref="B31" location="'Tabuľka 3'!A1" display="TABUĽKA 3 – Hlavné faktory vysvetľujúce medziročnú zmenu nominálneho deficitu v 2025 (% HDP)" xr:uid="{00000000-0004-0000-0000-000007000000}"/>
    <hyperlink ref="B32" location="'Tabuľka 4'!A1" display="TABUĽKA 4 – Nominálne ciele vlády (ESA2010, % HDP)" xr:uid="{00000000-0004-0000-0000-000008000000}"/>
    <hyperlink ref="B33" location="'Tabuľka 5'!A1" display="TABUĽKA 5 – Bilancia výdavkov a príjmov v metodike ESA2010 (% HDP)" xr:uid="{00000000-0004-0000-0000-000009000000}"/>
    <hyperlink ref="B34" location="'Tabuľka 6'!A1" display="TABUĽKA 6  – Kvantifikácie príjmových a výdavkových opatrení (vplyv na rozpočet v ESA2010, mil. eur)" xr:uid="{00000000-0004-0000-0000-00000A000000}"/>
    <hyperlink ref="B17" location="'Graf 12 + 13'!A1" display="GRAF 12 – Tempo rastu primárnych výdavkov bez EÚ zdrojov (upravených o príjmové opatrenia)**" xr:uid="{00000000-0004-0000-0000-00000B000000}"/>
    <hyperlink ref="B16" location="'Graf 11 + Tabuľka 1'!A1" display="GRAF 11 – Medziročné rasty vybraných položiek v roku 2023 (%-ny rast, ESA2010) " xr:uid="{00000000-0004-0000-0000-00000C000000}"/>
    <hyperlink ref="B15" location="'Graf 10'!A1" display="GRAF 10 –  Medziročná zmena váž. ind. zahr. dopytu (%)" xr:uid="{00000000-0004-0000-0000-00000D000000}"/>
    <hyperlink ref="B14" location="'Graf 9'!A1" display="GRAF 9 - Vážený index zahraničného dopytu (level)" xr:uid="{00000000-0004-0000-0000-00000E000000}"/>
    <hyperlink ref="B13" location="'Graf 8'!A1" display="GRAF 8 - World Trade Monitor Index, importy (body)" xr:uid="{00000000-0004-0000-0000-00000F000000}"/>
    <hyperlink ref="B12" location="'Graf 7'!A1" display="GRAF 7 - ZEW Index očakávaní v nemeckej ekonomike (body) " xr:uid="{00000000-0004-0000-0000-000010000000}"/>
    <hyperlink ref="B10" location="'Graf 5'!A1" display="GRAF 5 -  Index nákupných manažérov v eurozóne (hodnoty nad 50 = expanzia  )" xr:uid="{00000000-0004-0000-0000-000012000000}"/>
    <hyperlink ref="B8" location="'Graf 3'!A1" display="GRAF 3 – Príspevok domácich a zahraničných pracovníkov ku ESA zamestnanosti (v p. b.)" xr:uid="{00000000-0004-0000-0000-000014000000}"/>
    <hyperlink ref="B5" location="Zhrnutie!A1" display="Zhrnutie" xr:uid="{00000000-0004-0000-0000-000015000000}"/>
    <hyperlink ref="F5" location="Zhrnutie!A1" display="Summary" xr:uid="{00000000-0004-0000-0000-000016000000}"/>
    <hyperlink ref="B18:B24" location="'GRAF 12'!A1" display="GRAF 12 – Vývoj nominálneho deficitu v % HDP" xr:uid="{00000000-0004-0000-0000-000017000000}"/>
    <hyperlink ref="B25" location="'Graf 21'!A1" display="GRAF 22 – Porovnanie prognóz makroekonomických základní pre rozpočtové príjmy s členmi výboru" xr:uid="{00000000-0004-0000-0000-000018000000}"/>
    <hyperlink ref="B36:B43" location="'DRM &amp; DEM'!A1" display="TABUĽKA 7 – Konsolidačné úsilie (ESA 2010, % HDP)" xr:uid="{00000000-0004-0000-0000-000019000000}"/>
    <hyperlink ref="B44" location="'Tabuľka 15 + 16 (DRM &amp; DEM)'!A1" display="TABUĽKA 16 – Výdavkové diskrečné opatrenia – medziročné vplyvy (mil. eur, ESA2010)" xr:uid="{00000000-0004-0000-0000-00001A000000}"/>
    <hyperlink ref="B35" location="'Tabuľka 7'!A1" display="TABUĽKA 7 – Prognóza vybraných indikátorov vývoja ekonomiky SR" xr:uid="{00000000-0004-0000-0000-00001B000000}"/>
    <hyperlink ref="B36" location="'Tabuľka 8'!A1" display="TABUĽKA 8 – Porovnanie s programom stability" xr:uid="{00000000-0004-0000-0000-00001C000000}"/>
    <hyperlink ref="B18" location="'Graf 12 + 13'!A1" display="GRAF 13 – Cielený vývoj štrukturálneho deficitu SR podľa nových pravidiel EÚ (% HDP)" xr:uid="{00000000-0004-0000-0000-00001D000000}"/>
    <hyperlink ref="B19" location="'Graf 14'!A1" display="GRAF 14 – Cielený vývoj hrubého dlhu SR v nových pravidlách EÚ  (% HDP)" xr:uid="{00000000-0004-0000-0000-00001E000000}"/>
    <hyperlink ref="B20" location="'Graf 15'!A1" display="GRAF 15 –  Prognóza hrubého a čistého dlhu na horizonte rozpočtu verejnej správy (% HDP)" xr:uid="{00000000-0004-0000-0000-00001F000000}"/>
    <hyperlink ref="B21" location="'Graf 16'!A1" display="GRAF 16 – Vývoj čistých výdavkov rozpočtu verejnej správy (%)" xr:uid="{00000000-0004-0000-0000-000020000000}"/>
    <hyperlink ref="B22" location="'Graf 17'!A1" display="GRAF 17 – Dlhodobá projekcia dlhu verejnej správy v scenári bez zmeny politík (% HDP)" xr:uid="{00000000-0004-0000-0000-000021000000}"/>
    <hyperlink ref="B23" location="'Graf 18 + 19'!A1" display="GRAF 18 a 19 – Faktory spôsobujúce zmenu hrubého dlhu na horizonte do roku 2027 (% HDP)" xr:uid="{00000000-0004-0000-0000-000022000000}"/>
    <hyperlink ref="B24" location="'Graf 20'!A1" display="GRAF 19 – Výdavky na rodičovský dôchodok v pôvodnom a novom nastavení (% HDP)" xr:uid="{00000000-0004-0000-0000-000023000000}"/>
    <hyperlink ref="B37" location="'Tabuľka 9'!A1" display="TABUĽKA 9 – Porovnanie rozpočtových cieľov s programom stability" xr:uid="{00000000-0004-0000-0000-00003E000000}"/>
    <hyperlink ref="B38" location="'Tabuľka 10'!A1" display="TABUĽKA 10 – Hodnotenie decembrovej prognózy MF SR vo Výbore pre makroekonomické prognózy" xr:uid="{00000000-0004-0000-0000-00003F000000}"/>
    <hyperlink ref="B39" location="'Tabuľka 11'!A1" display="TABUĽKA 11 – Hodnotenie prognózy MF SR vo Výbore pre daňové prognózy" xr:uid="{00000000-0004-0000-0000-000040000000}"/>
    <hyperlink ref="B40" location="'Tabuľka 12'!A1" display="TABUĽKA 12 – Hotovostné vplyvy na zmenu nominálneho hrubého dlhu podľa deficitov aktuálneho návrhu rozpočtu (v mil. eur)" xr:uid="{00000000-0004-0000-0000-000041000000}"/>
    <hyperlink ref="B41" location="'Tabuľka 13'!A1" display="TABUĽKA 13 – Hotovostné vplyvy na zmenu nominálneho hrubého dlhu podľa cieľov deficitov vlády (v mil. eur)" xr:uid="{00000000-0004-0000-0000-000042000000}"/>
    <hyperlink ref="B42" location="'Tabuľka 14'!A1" display="TABUĽKA 14 – Zoznam jednorazových a dočasných opatrení " xr:uid="{00000000-0004-0000-0000-000043000000}"/>
    <hyperlink ref="B43" location="'Tabuľka 15 + 16 (DRM &amp; DEM)'!A1" display="TABUĽKA 15 – Príjmové diskrečné opatrenia – medziročné vplyvy opatrení (mil. eur, ESA2010)" xr:uid="{00000000-0004-0000-0000-000044000000}"/>
    <hyperlink ref="F30" location="'Tabuľka 2'!A1" display="TABLE 2 – Measures taken by the government to combat the energy crisis with budget impact (in EUR millions)" xr:uid="{00000000-0004-0000-0000-000046000000}"/>
    <hyperlink ref="F36:F43" location="'DRM &amp; DEM'!A1" display="TABUĽKA 7 – Konsolidačné úsilie (ESA 2010, % HDP)" xr:uid="{00000000-0004-0000-0000-00004B000000}"/>
    <hyperlink ref="F44" location="'Tabuľka 15 + 16 (DRM &amp; DEM)'!A1" display="TABLE 16 – Discretionary expenditure measure - incremental impact (in EUR millions, ESA2010)" xr:uid="{00000000-0004-0000-0000-00004C000000}"/>
    <hyperlink ref="F35" location="'Tabuľka 7'!A1" display="TABLE 7 – Forecast of selected economic indicators in SR" xr:uid="{00000000-0004-0000-0000-00004D000000}"/>
    <hyperlink ref="F36" location="'Tabuľka 8'!A1" display="TABLE 8 – Comparison with the Stability Programme" xr:uid="{00000000-0004-0000-0000-00004E000000}"/>
    <hyperlink ref="F37" location="'Tabuľka 9'!A1" display="TABLE 9 – Assessment of the September MoF forecast by the Macroeconomic Forecast Committee" xr:uid="{00000000-0004-0000-0000-00004F000000}"/>
    <hyperlink ref="F38" location="'Tabuľka 10'!A1" display="TABLE 10 – Average forecast of MFC members and forecast of MoF SR" xr:uid="{00000000-0004-0000-0000-000050000000}"/>
    <hyperlink ref="F39" location="'Tabuľka 11'!A1" display="TABLE 11 – Assessment of the  MoF forecast by the Tax Forecast Committee" xr:uid="{00000000-0004-0000-0000-000051000000}"/>
    <hyperlink ref="F40" location="'Tabuľka 12'!A1" display="TABLE 12 – Impact of cash changes in nominal gross debt according to the deficits of the current draft budget (in EUR mil.)" xr:uid="{00000000-0004-0000-0000-000052000000}"/>
    <hyperlink ref="F41" location="'Tabuľka 13'!A1" display="TABLE 13 – Impact of cash changes in nominal gross debt according to the government's deficit targets (in EUR mil.)" xr:uid="{00000000-0004-0000-0000-000053000000}"/>
    <hyperlink ref="F42" location="'Tabuľka 14'!A1" display="TABLE 14 – One-off and temporary measures" xr:uid="{00000000-0004-0000-0000-000054000000}"/>
    <hyperlink ref="F43" location="'Tabuľka 15 + 16 (DRM &amp; DEM)'!A1" display="TABLE 15 – Discretionary revenue measure - incremental impact (in EUR millions, ESA2010)" xr:uid="{00000000-0004-0000-0000-000055000000}"/>
    <hyperlink ref="B11" location="'Graf 6'!A1" display="GRAF 6 - Objednávky v priemysle v eurozóne a Nemecku (ESI, body)  " xr:uid="{00000000-0004-0000-0000-000011000000}"/>
    <hyperlink ref="B9" location="'Graf 4'!A1" display="GRAF 4 – Príspevky k inflácii (p. b.)" xr:uid="{9F115144-473A-47CE-A606-1A3D04158BBD}"/>
    <hyperlink ref="F7" location="'Graf 2'!A1" display="GRAF 2 – Čerpanie EÚ zdrojov (mil. EUR)" xr:uid="{1A8762A7-92EB-4A0C-8ABA-F7CFCDBDD8E7}"/>
    <hyperlink ref="F10" location="'Graf 5'!A1" display="GRAF 5 -  Index nákupných manažérov v eurozóne (hodnoty nad 50 = expanzia  )" xr:uid="{5EB59131-EADA-4CAD-890F-AFDC89B15EDA}"/>
    <hyperlink ref="F8" location="'Graf 3'!A1" display="GRAF 3 – Príspevok domácich a zahraničných pracovníkov ku ESA zamestnanosti (v p. b.)" xr:uid="{668E448A-47AB-488D-A400-2DA0BA033582}"/>
    <hyperlink ref="F6" location="'Graf 1'!A1" display="GRAF 1 – Príspevky k rastu HDP - prognóza (p.b.)" xr:uid="{B2342BDE-1F0A-4E37-AA27-9BEB39D0AD3D}"/>
    <hyperlink ref="F11" location="'Graf 6'!A1" display="GRAF 6 - Objednávky v priemysle v eurozóne a Nemecku (ESI, body)  " xr:uid="{5A2DF2B8-8D54-4C4A-A7EA-B576C9863FBB}"/>
    <hyperlink ref="F9" location="'Graf 4'!A1" display="GRAF 4 – Príspevky k inflácii (p. b.)" xr:uid="{4636FF72-5019-493B-963F-7A5BC846F3AB}"/>
    <hyperlink ref="B6" location="'Graf 1'!A1" display="GRAF 1 – Príspevky k rastu HDP - prognóza (p.b.)" xr:uid="{00000000-0004-0000-0000-000026000000}"/>
    <hyperlink ref="F16" location="'Graf 11 + Tabuľka 1'!A1" display="GRAF 11 – Medziročné rasty vybraných položiek v roku 2023 (%-ny rast, ESA2010) " xr:uid="{78FC3629-2781-420B-A180-B8A8C3F58DEF}"/>
    <hyperlink ref="F15" location="'Graf 10'!A1" display="GRAF 10 –  Medziročná zmena váž. ind. zahr. dopytu (%)" xr:uid="{E5E4537C-F032-44A2-B7BE-D96DE18DE85A}"/>
    <hyperlink ref="F14" location="'Graf 9'!A1" display="GRAF 9 - Vážený index zahraničného dopytu (level)" xr:uid="{36C64491-7968-44FB-95EF-8C476EE0C98A}"/>
    <hyperlink ref="F13" location="'Graf 8'!A1" display="GRAF 8 - World Trade Monitor Index, importy (body)" xr:uid="{2BAB59BD-4CCF-47AE-A820-8FD93C215358}"/>
    <hyperlink ref="F12" location="'Graf 7'!A1" display="GRAF 7 - ZEW Index očakávaní v nemeckej ekonomike (body) " xr:uid="{F0336C61-77C1-49BD-A594-EEE227600DC8}"/>
    <hyperlink ref="F29" location="'Graf 11 + Tabuľka 1'!A1" display="TABLE 1 – Output gap and factor contributions to potential growth – national methodology" xr:uid="{0C4FA37F-71F2-4A71-A281-F88DF4B9C74E}"/>
    <hyperlink ref="F17" location="'Graf 12 + 13'!A1" display="GRAF 12 – Tempo rastu primárnych výdavkov bez EÚ zdrojov (upravených o príjmové opatrenia)**" xr:uid="{5955A464-9C12-4291-AFF7-C3B8A4163813}"/>
    <hyperlink ref="F18" location="'Graf 12 + 13'!A1" display="GRAF 13 – Cielený vývoj štrukturálneho deficitu SR podľa nových pravidiel EÚ (% HDP)" xr:uid="{ECF3CE66-B621-4578-9359-ACA8DF54C21C}"/>
    <hyperlink ref="F19:F20" location="'GRAF 12'!A1" display="GRAF 12 – Vývoj nominálneho deficitu v % HDP" xr:uid="{35118FB4-2EBC-481C-A6CD-EAA8E46BD6D3}"/>
    <hyperlink ref="F31" location="'Tabuľka 3'!A1" display="TABLE 3 – The key drivers of the year-on-year change in the nominal deficit in 2025 (% of GDP)" xr:uid="{22C21AF8-D021-4357-A611-4602D6879BDC}"/>
    <hyperlink ref="F32" location="'Tabuľka 4'!A1" display="TABLE 4 – Government’s nominal targets (ESA2010, % of GDP)" xr:uid="{22B84DC8-060D-40AF-8E0F-E528774C2925}"/>
    <hyperlink ref="F33" location="'Tabuľka 5'!A1" display="TABLE 5 – Expenditure and Revenue Balance in ESA 2010 (% of GDP)" xr:uid="{67EBD6CF-2EAC-4496-95E3-8050A4D45166}"/>
    <hyperlink ref="F19" location="'Graf 14'!A1" display="FIGURE 14 – Year-on-year change in taxes by factor (2024, ESA 2010, in p. p.)" xr:uid="{073BC30C-4D76-4C47-852C-ED15CB37D4BC}"/>
    <hyperlink ref="F20" location="'Graf 15'!A1" display="FIGURE 15 – GDP effective tax rate (in %)" xr:uid="{5AAB8F7C-72FA-4935-A139-5C7B226DDA44}"/>
    <hyperlink ref="F21" location="'Graf 16'!A1" display="GRAF 16 – Vývoj čistých výdavkov rozpočtu verejnej správy (%)" xr:uid="{2F5D617B-E2D1-4DF1-970E-DB94D298BD81}"/>
    <hyperlink ref="F34" location="'Tabuľka 6'!A1" display="TABUĽKA 6  – Kvantifikácie príjmových a výdavkových opatrení (vplyv na rozpočet v ESA2010, mil. eur)" xr:uid="{E456C3D7-7E11-4683-B9CC-3DD9AB86CDBB}"/>
    <hyperlink ref="F22" location="'Graf 17'!A1" display="GRAF 17 – Prognóza hrubého a čistého dlhu verejnej správy (% HDP)" xr:uid="{86A62386-D028-44E5-BFF6-10B5EC292DA1}"/>
    <hyperlink ref="F23" location="'Graf 18 + 19'!A1" display="FIGURE 18 &amp; 19 – The drivers of the change in gross debt over the horizon to 2027 (% of GDP)" xr:uid="{9C79E93C-2908-4898-893F-E037B20DC5CC}"/>
    <hyperlink ref="B26" location="'Graf 22'!A1" display="GRAF 22 – Porovnanie prognóz makroekonomických základní pre rozpočtové príjmy s členmi výboru" xr:uid="{48E387A4-7EB7-4FA9-8F0A-3F3870FAB8B4}"/>
    <hyperlink ref="F24" location="'Graf 20'!A1" display="GRAF 19 – Výdavky na rodičovský dôchodok v pôvodnom a novom nastavení (% HDP)" xr:uid="{D8D3F6DD-C807-4652-937F-8CA4FAD8C6A2}"/>
    <hyperlink ref="F25" location="'Graf 21'!A1" display="GRAF 22 – Porovnanie prognóz makroekonomických základní pre rozpočtové príjmy s členmi výboru" xr:uid="{1B491CA8-91E4-4337-A8DF-25B0F5F40589}"/>
    <hyperlink ref="F26" location="'Graf 22'!A1" display="GRAF 22 – Porovnanie prognóz makroekonomických základní pre rozpočtové príjmy s členmi výboru" xr:uid="{5BD52937-F070-4DCF-A194-E3E34B2935C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8659-901F-4064-9D14-D53EB267B577}">
  <dimension ref="A5:Q50"/>
  <sheetViews>
    <sheetView workbookViewId="0"/>
  </sheetViews>
  <sheetFormatPr defaultColWidth="8.85546875" defaultRowHeight="12.75" x14ac:dyDescent="0.2"/>
  <cols>
    <col min="1" max="1" width="7.85546875" style="258" bestFit="1" customWidth="1"/>
    <col min="2" max="2" width="14.85546875" style="258" bestFit="1" customWidth="1"/>
    <col min="3" max="3" width="9" style="258" bestFit="1" customWidth="1"/>
    <col min="4" max="4" width="14.5703125" style="258" bestFit="1" customWidth="1"/>
    <col min="5" max="5" width="17.42578125" style="258" bestFit="1" customWidth="1"/>
    <col min="6" max="6" width="8.85546875" style="258"/>
    <col min="7" max="7" width="55" style="258" bestFit="1" customWidth="1"/>
    <col min="8" max="16" width="8.85546875" style="258"/>
    <col min="17" max="17" width="8.85546875" style="258" bestFit="1" customWidth="1"/>
    <col min="18" max="23" width="5.5703125" style="258" bestFit="1" customWidth="1"/>
    <col min="24" max="16384" width="8.85546875" style="258"/>
  </cols>
  <sheetData>
    <row r="5" spans="1:17" x14ac:dyDescent="0.2">
      <c r="A5" s="256"/>
      <c r="B5" s="257" t="s">
        <v>627</v>
      </c>
      <c r="C5" s="257" t="s">
        <v>628</v>
      </c>
      <c r="D5" s="257" t="s">
        <v>629</v>
      </c>
      <c r="E5" s="257" t="s">
        <v>630</v>
      </c>
      <c r="G5" s="245" t="s">
        <v>837</v>
      </c>
    </row>
    <row r="6" spans="1:17" ht="13.5" thickBot="1" x14ac:dyDescent="0.25">
      <c r="A6" s="259"/>
      <c r="B6" s="260" t="s">
        <v>613</v>
      </c>
      <c r="C6" s="260" t="s">
        <v>614</v>
      </c>
      <c r="D6" s="260" t="s">
        <v>615</v>
      </c>
      <c r="E6" s="260" t="s">
        <v>616</v>
      </c>
      <c r="Q6" s="269"/>
    </row>
    <row r="7" spans="1:17" x14ac:dyDescent="0.2">
      <c r="A7" s="268">
        <v>44197</v>
      </c>
      <c r="B7" s="258">
        <v>61.8</v>
      </c>
      <c r="C7" s="258">
        <v>13.4</v>
      </c>
      <c r="D7" s="258">
        <v>70.599999999999994</v>
      </c>
      <c r="E7" s="258">
        <v>35</v>
      </c>
      <c r="Q7" s="269"/>
    </row>
    <row r="8" spans="1:17" x14ac:dyDescent="0.2">
      <c r="A8" s="268">
        <v>44228</v>
      </c>
      <c r="B8" s="258">
        <v>71.2</v>
      </c>
      <c r="C8" s="258">
        <v>24.6</v>
      </c>
      <c r="D8" s="258">
        <v>70.400000000000006</v>
      </c>
      <c r="E8" s="258">
        <v>32.200000000000003</v>
      </c>
      <c r="Q8" s="269"/>
    </row>
    <row r="9" spans="1:17" x14ac:dyDescent="0.2">
      <c r="A9" s="268">
        <v>44256</v>
      </c>
      <c r="B9" s="258">
        <v>76.599999999999994</v>
      </c>
      <c r="C9" s="258">
        <v>39.299999999999997</v>
      </c>
      <c r="D9" s="258">
        <v>70.3</v>
      </c>
      <c r="E9" s="258">
        <v>43.7</v>
      </c>
      <c r="Q9" s="269"/>
    </row>
    <row r="10" spans="1:17" x14ac:dyDescent="0.2">
      <c r="A10" s="268">
        <v>44287</v>
      </c>
      <c r="B10" s="258">
        <v>70.7</v>
      </c>
      <c r="C10" s="258">
        <v>47.9</v>
      </c>
      <c r="D10" s="258">
        <v>79.599999999999994</v>
      </c>
      <c r="E10" s="258">
        <v>57.7</v>
      </c>
      <c r="Q10" s="269"/>
    </row>
    <row r="11" spans="1:17" x14ac:dyDescent="0.2">
      <c r="A11" s="268">
        <v>44317</v>
      </c>
      <c r="B11" s="258">
        <v>84.4</v>
      </c>
      <c r="C11" s="258">
        <v>54.8</v>
      </c>
      <c r="D11" s="258">
        <v>75.3</v>
      </c>
      <c r="E11" s="258">
        <v>67.5</v>
      </c>
      <c r="Q11" s="269"/>
    </row>
    <row r="12" spans="1:17" x14ac:dyDescent="0.2">
      <c r="A12" s="268">
        <v>44348</v>
      </c>
      <c r="B12" s="258">
        <v>79.8</v>
      </c>
      <c r="C12" s="258">
        <v>61.9</v>
      </c>
      <c r="D12" s="258">
        <v>72.900000000000006</v>
      </c>
      <c r="E12" s="258">
        <v>68.8</v>
      </c>
      <c r="Q12" s="269"/>
    </row>
    <row r="13" spans="1:17" x14ac:dyDescent="0.2">
      <c r="A13" s="268">
        <v>44378</v>
      </c>
      <c r="B13" s="258">
        <v>63.3</v>
      </c>
      <c r="C13" s="258">
        <v>48.7</v>
      </c>
      <c r="D13" s="258">
        <v>66.5</v>
      </c>
      <c r="E13" s="258">
        <v>56.1</v>
      </c>
      <c r="Q13" s="269"/>
    </row>
    <row r="14" spans="1:17" x14ac:dyDescent="0.2">
      <c r="A14" s="268">
        <v>44409</v>
      </c>
      <c r="B14" s="258">
        <v>40.4</v>
      </c>
      <c r="C14" s="258">
        <v>33.5</v>
      </c>
      <c r="D14" s="258">
        <v>59.9</v>
      </c>
      <c r="E14" s="258">
        <v>56.7</v>
      </c>
      <c r="Q14" s="269"/>
    </row>
    <row r="15" spans="1:17" x14ac:dyDescent="0.2">
      <c r="A15" s="268">
        <v>44440</v>
      </c>
      <c r="B15" s="258">
        <v>26.5</v>
      </c>
      <c r="C15" s="258">
        <v>17.3</v>
      </c>
      <c r="D15" s="258">
        <v>52.7</v>
      </c>
      <c r="E15" s="258">
        <v>44.5</v>
      </c>
      <c r="Q15" s="269"/>
    </row>
    <row r="16" spans="1:17" x14ac:dyDescent="0.2">
      <c r="A16" s="268">
        <v>44470</v>
      </c>
      <c r="B16" s="258">
        <v>22.3</v>
      </c>
      <c r="C16" s="258">
        <v>-8.1999999999999993</v>
      </c>
      <c r="D16" s="258">
        <v>33.4</v>
      </c>
      <c r="E16" s="258">
        <v>27</v>
      </c>
      <c r="Q16" s="269"/>
    </row>
    <row r="17" spans="1:17" x14ac:dyDescent="0.2">
      <c r="A17" s="268">
        <v>44501</v>
      </c>
      <c r="B17" s="258">
        <v>31.7</v>
      </c>
      <c r="C17" s="258">
        <v>-7.6</v>
      </c>
      <c r="D17" s="258">
        <v>32.799999999999997</v>
      </c>
      <c r="E17" s="258">
        <v>30.4</v>
      </c>
      <c r="Q17" s="269"/>
    </row>
    <row r="18" spans="1:17" x14ac:dyDescent="0.2">
      <c r="A18" s="268">
        <v>44531</v>
      </c>
      <c r="B18" s="258">
        <v>29.9</v>
      </c>
      <c r="C18" s="258">
        <v>0.1</v>
      </c>
      <c r="D18" s="258">
        <v>37.200000000000003</v>
      </c>
      <c r="E18" s="258">
        <v>18.2</v>
      </c>
      <c r="Q18" s="269"/>
    </row>
    <row r="19" spans="1:17" x14ac:dyDescent="0.2">
      <c r="A19" s="268">
        <v>44562</v>
      </c>
      <c r="B19" s="258">
        <v>51.7</v>
      </c>
      <c r="C19" s="258">
        <v>21</v>
      </c>
      <c r="D19" s="258">
        <v>46.1</v>
      </c>
      <c r="E19" s="258">
        <v>33.4</v>
      </c>
      <c r="I19" s="313" t="s">
        <v>841</v>
      </c>
      <c r="Q19" s="269"/>
    </row>
    <row r="20" spans="1:17" x14ac:dyDescent="0.2">
      <c r="A20" s="268">
        <v>44593</v>
      </c>
      <c r="B20" s="258">
        <v>54.3</v>
      </c>
      <c r="C20" s="258">
        <v>30.7</v>
      </c>
      <c r="D20" s="258">
        <v>42</v>
      </c>
      <c r="E20" s="258">
        <v>34.6</v>
      </c>
      <c r="Q20" s="269"/>
    </row>
    <row r="21" spans="1:17" x14ac:dyDescent="0.2">
      <c r="A21" s="268">
        <v>44621</v>
      </c>
      <c r="B21" s="258">
        <v>-39.299999999999997</v>
      </c>
      <c r="C21" s="258">
        <v>-58.5</v>
      </c>
      <c r="D21" s="258">
        <v>-21.4</v>
      </c>
      <c r="E21" s="258">
        <v>-29</v>
      </c>
      <c r="Q21" s="269"/>
    </row>
    <row r="22" spans="1:17" x14ac:dyDescent="0.2">
      <c r="A22" s="268">
        <v>44652</v>
      </c>
      <c r="B22" s="258">
        <v>-41</v>
      </c>
      <c r="C22" s="258">
        <v>-61.7</v>
      </c>
      <c r="D22" s="258">
        <v>-48.8</v>
      </c>
      <c r="E22" s="258">
        <v>-33.799999999999997</v>
      </c>
      <c r="G22" s="245" t="s">
        <v>838</v>
      </c>
      <c r="Q22" s="269"/>
    </row>
    <row r="23" spans="1:17" x14ac:dyDescent="0.2">
      <c r="A23" s="268">
        <v>44682</v>
      </c>
      <c r="B23" s="258">
        <v>-34.299999999999997</v>
      </c>
      <c r="C23" s="258">
        <v>-43.9</v>
      </c>
      <c r="D23" s="258">
        <v>-35.9</v>
      </c>
      <c r="E23" s="258">
        <v>-36.5</v>
      </c>
      <c r="Q23" s="269"/>
    </row>
    <row r="24" spans="1:17" x14ac:dyDescent="0.2">
      <c r="A24" s="268">
        <v>44713</v>
      </c>
      <c r="B24" s="258">
        <v>-28</v>
      </c>
      <c r="C24" s="258">
        <v>-36.4</v>
      </c>
      <c r="D24" s="258">
        <v>-18.8</v>
      </c>
      <c r="E24" s="258">
        <v>-26.1</v>
      </c>
      <c r="Q24" s="269"/>
    </row>
    <row r="25" spans="1:17" x14ac:dyDescent="0.2">
      <c r="A25" s="268">
        <v>44743</v>
      </c>
      <c r="B25" s="258">
        <v>-53.8</v>
      </c>
      <c r="C25" s="258">
        <v>-51.2</v>
      </c>
      <c r="D25" s="258">
        <v>-39</v>
      </c>
      <c r="E25" s="258">
        <v>-41.2</v>
      </c>
      <c r="Q25" s="269"/>
    </row>
    <row r="26" spans="1:17" x14ac:dyDescent="0.2">
      <c r="A26" s="268">
        <v>44774</v>
      </c>
      <c r="B26" s="258">
        <v>-55.3</v>
      </c>
      <c r="C26" s="258">
        <v>-44.1</v>
      </c>
      <c r="D26" s="258">
        <v>-42.2</v>
      </c>
      <c r="E26" s="258">
        <v>-42.2</v>
      </c>
      <c r="Q26" s="269"/>
    </row>
    <row r="27" spans="1:17" x14ac:dyDescent="0.2">
      <c r="A27" s="268">
        <v>44805</v>
      </c>
      <c r="B27" s="258">
        <v>-61.9</v>
      </c>
      <c r="C27" s="258">
        <v>-59.2</v>
      </c>
      <c r="D27" s="258">
        <v>-53.9</v>
      </c>
      <c r="E27" s="258">
        <v>-61.2</v>
      </c>
      <c r="Q27" s="269"/>
    </row>
    <row r="28" spans="1:17" x14ac:dyDescent="0.2">
      <c r="A28" s="268">
        <v>44835</v>
      </c>
      <c r="B28" s="258">
        <v>-59.2</v>
      </c>
      <c r="C28" s="258">
        <v>-63.2</v>
      </c>
      <c r="D28" s="258">
        <v>-56.7</v>
      </c>
      <c r="E28" s="258">
        <v>-60.7</v>
      </c>
      <c r="Q28" s="269"/>
    </row>
    <row r="29" spans="1:17" x14ac:dyDescent="0.2">
      <c r="A29" s="268">
        <v>44866</v>
      </c>
      <c r="B29" s="258">
        <v>-36.700000000000003</v>
      </c>
      <c r="C29" s="258">
        <v>-52.1</v>
      </c>
      <c r="D29" s="258">
        <v>-32.4</v>
      </c>
      <c r="E29" s="258">
        <v>-50</v>
      </c>
      <c r="Q29" s="269"/>
    </row>
    <row r="30" spans="1:17" x14ac:dyDescent="0.2">
      <c r="A30" s="268">
        <v>44896</v>
      </c>
      <c r="B30" s="258">
        <v>-23.3</v>
      </c>
      <c r="C30" s="258">
        <v>-41.5</v>
      </c>
      <c r="D30" s="258">
        <v>-24.2</v>
      </c>
      <c r="E30" s="258">
        <v>-39.799999999999997</v>
      </c>
      <c r="Q30" s="269"/>
    </row>
    <row r="31" spans="1:17" x14ac:dyDescent="0.2">
      <c r="A31" s="268">
        <v>44927</v>
      </c>
      <c r="B31" s="258">
        <v>16.899999999999999</v>
      </c>
      <c r="C31" s="258">
        <v>-34.700000000000003</v>
      </c>
      <c r="D31" s="258">
        <v>-15.8</v>
      </c>
      <c r="E31" s="258">
        <v>-29.5</v>
      </c>
      <c r="Q31" s="269"/>
    </row>
    <row r="32" spans="1:17" x14ac:dyDescent="0.2">
      <c r="A32" s="268">
        <v>44958</v>
      </c>
      <c r="B32" s="258">
        <v>28.1</v>
      </c>
      <c r="C32" s="258">
        <v>-20.100000000000001</v>
      </c>
      <c r="D32" s="258">
        <v>-0.7</v>
      </c>
      <c r="E32" s="258">
        <v>-2.9</v>
      </c>
      <c r="Q32" s="269"/>
    </row>
    <row r="33" spans="1:17" x14ac:dyDescent="0.2">
      <c r="A33" s="268">
        <v>44986</v>
      </c>
      <c r="B33" s="258">
        <v>13</v>
      </c>
      <c r="C33" s="258">
        <v>-24.1</v>
      </c>
      <c r="D33" s="258">
        <v>-7.3</v>
      </c>
      <c r="E33" s="258">
        <v>-8</v>
      </c>
      <c r="Q33" s="269"/>
    </row>
    <row r="34" spans="1:17" x14ac:dyDescent="0.2">
      <c r="A34" s="268">
        <v>45017</v>
      </c>
      <c r="B34" s="258">
        <v>4.0999999999999996</v>
      </c>
      <c r="C34" s="258">
        <v>-16.600000000000001</v>
      </c>
      <c r="D34" s="258">
        <v>-3.9</v>
      </c>
      <c r="E34" s="258">
        <v>-8.1</v>
      </c>
      <c r="Q34" s="269"/>
    </row>
    <row r="35" spans="1:17" x14ac:dyDescent="0.2">
      <c r="A35" s="268">
        <v>45047</v>
      </c>
      <c r="B35" s="258">
        <v>-10.7</v>
      </c>
      <c r="C35" s="258">
        <v>-31.7</v>
      </c>
      <c r="D35" s="258">
        <v>-10</v>
      </c>
      <c r="E35" s="258">
        <v>-9.9</v>
      </c>
      <c r="Q35" s="269"/>
    </row>
    <row r="36" spans="1:17" x14ac:dyDescent="0.2">
      <c r="A36" s="268">
        <v>45078</v>
      </c>
      <c r="B36" s="258">
        <v>-8.5</v>
      </c>
      <c r="C36" s="258">
        <v>-38</v>
      </c>
      <c r="D36" s="258">
        <v>-12.8</v>
      </c>
      <c r="E36" s="258">
        <v>-30.7</v>
      </c>
      <c r="I36" s="313" t="s">
        <v>842</v>
      </c>
      <c r="Q36" s="269"/>
    </row>
    <row r="37" spans="1:17" x14ac:dyDescent="0.2">
      <c r="A37" s="268">
        <v>45108</v>
      </c>
      <c r="B37" s="258">
        <v>-14.7</v>
      </c>
      <c r="C37" s="258">
        <v>-46.4</v>
      </c>
      <c r="D37" s="258">
        <v>-22.2</v>
      </c>
      <c r="E37" s="258">
        <v>-37.1</v>
      </c>
      <c r="Q37" s="269"/>
    </row>
    <row r="38" spans="1:17" x14ac:dyDescent="0.2">
      <c r="A38" s="268">
        <v>45139</v>
      </c>
      <c r="B38" s="258">
        <v>-12.3</v>
      </c>
      <c r="C38" s="258">
        <v>-52.7</v>
      </c>
      <c r="D38" s="258">
        <v>-27.1</v>
      </c>
      <c r="E38" s="258">
        <v>-34.1</v>
      </c>
      <c r="Q38" s="269"/>
    </row>
    <row r="39" spans="1:17" x14ac:dyDescent="0.2">
      <c r="A39" s="268">
        <v>45170</v>
      </c>
      <c r="B39" s="258">
        <v>-11.4</v>
      </c>
      <c r="C39" s="258">
        <v>-59.5</v>
      </c>
      <c r="D39" s="258">
        <v>-25</v>
      </c>
      <c r="E39" s="258">
        <v>-47.4</v>
      </c>
      <c r="Q39" s="269"/>
    </row>
    <row r="40" spans="1:17" x14ac:dyDescent="0.2">
      <c r="A40" s="268">
        <v>45200</v>
      </c>
      <c r="B40" s="258">
        <v>-1.1000000000000001</v>
      </c>
      <c r="C40" s="258">
        <v>-51</v>
      </c>
      <c r="D40" s="258">
        <v>-20.6</v>
      </c>
      <c r="E40" s="258">
        <v>-34.700000000000003</v>
      </c>
      <c r="Q40" s="269"/>
    </row>
    <row r="41" spans="1:17" x14ac:dyDescent="0.2">
      <c r="A41" s="268">
        <v>45231</v>
      </c>
      <c r="B41" s="258">
        <v>9.8000000000000007</v>
      </c>
      <c r="C41" s="258">
        <v>-42.8</v>
      </c>
      <c r="D41" s="258">
        <v>-7.5</v>
      </c>
      <c r="E41" s="258">
        <v>-23.2</v>
      </c>
      <c r="Q41" s="269"/>
    </row>
    <row r="42" spans="1:17" x14ac:dyDescent="0.2">
      <c r="A42" s="268">
        <v>45261</v>
      </c>
      <c r="B42" s="258">
        <v>12.8</v>
      </c>
      <c r="C42" s="258">
        <v>-48.6</v>
      </c>
      <c r="D42" s="258">
        <v>-12.9</v>
      </c>
      <c r="E42" s="258">
        <v>-19</v>
      </c>
      <c r="Q42" s="269"/>
    </row>
    <row r="43" spans="1:17" x14ac:dyDescent="0.2">
      <c r="A43" s="268">
        <v>45292</v>
      </c>
      <c r="B43" s="258">
        <v>15.2</v>
      </c>
      <c r="C43" s="258">
        <v>-39.6</v>
      </c>
      <c r="D43" s="258">
        <v>-7.7</v>
      </c>
      <c r="E43" s="258">
        <v>-23.2</v>
      </c>
      <c r="Q43" s="269"/>
    </row>
    <row r="44" spans="1:17" x14ac:dyDescent="0.2">
      <c r="A44" s="268">
        <v>45323</v>
      </c>
      <c r="B44" s="258">
        <v>19.899999999999999</v>
      </c>
      <c r="C44" s="258">
        <v>-50.3</v>
      </c>
      <c r="D44" s="258">
        <v>-9.5</v>
      </c>
      <c r="E44" s="258">
        <v>-21.8</v>
      </c>
      <c r="Q44" s="269"/>
    </row>
    <row r="45" spans="1:17" x14ac:dyDescent="0.2">
      <c r="A45" s="268">
        <v>45352</v>
      </c>
      <c r="B45" s="258">
        <v>31.7</v>
      </c>
      <c r="C45" s="258">
        <v>-42.1</v>
      </c>
      <c r="D45" s="258">
        <v>2.8</v>
      </c>
      <c r="E45" s="258">
        <v>-6.6</v>
      </c>
      <c r="Q45" s="269"/>
    </row>
    <row r="46" spans="1:17" x14ac:dyDescent="0.2">
      <c r="A46" s="268">
        <v>45383</v>
      </c>
      <c r="B46" s="258">
        <v>42.9</v>
      </c>
      <c r="C46" s="258">
        <v>-22.5</v>
      </c>
      <c r="D46" s="258">
        <v>11</v>
      </c>
      <c r="E46" s="258">
        <v>-2.1</v>
      </c>
      <c r="Q46" s="269"/>
    </row>
    <row r="47" spans="1:17" x14ac:dyDescent="0.2">
      <c r="A47" s="268">
        <v>45413</v>
      </c>
      <c r="B47" s="258">
        <v>47.1</v>
      </c>
      <c r="C47" s="258">
        <v>-31</v>
      </c>
      <c r="D47" s="258">
        <v>16.399999999999999</v>
      </c>
      <c r="E47" s="258">
        <v>6.3</v>
      </c>
      <c r="Q47" s="269"/>
    </row>
    <row r="48" spans="1:17" x14ac:dyDescent="0.2">
      <c r="A48" s="268">
        <v>45444</v>
      </c>
      <c r="B48" s="258">
        <v>47.5</v>
      </c>
      <c r="C48" s="258">
        <v>-37</v>
      </c>
      <c r="D48" s="258">
        <v>14.6</v>
      </c>
      <c r="E48" s="258">
        <v>10.6</v>
      </c>
      <c r="Q48" s="269"/>
    </row>
    <row r="49" spans="1:17" x14ac:dyDescent="0.2">
      <c r="A49" s="268">
        <v>45474</v>
      </c>
      <c r="B49" s="258">
        <v>41.8</v>
      </c>
      <c r="C49" s="258">
        <v>-42.4</v>
      </c>
      <c r="D49" s="258">
        <v>13</v>
      </c>
      <c r="E49" s="258">
        <v>2.2999999999999998</v>
      </c>
      <c r="Q49" s="269"/>
    </row>
    <row r="50" spans="1:17" x14ac:dyDescent="0.2">
      <c r="A50" s="268">
        <v>45505</v>
      </c>
      <c r="B50" s="258">
        <v>19.2</v>
      </c>
      <c r="C50" s="258">
        <v>-53.7</v>
      </c>
      <c r="D50" s="258">
        <v>-4.2</v>
      </c>
      <c r="E50" s="258">
        <v>-11.8</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D01B-8CBC-4658-B93F-A73CC2DAEBAE}">
  <dimension ref="A5:G300"/>
  <sheetViews>
    <sheetView workbookViewId="0"/>
  </sheetViews>
  <sheetFormatPr defaultColWidth="8.85546875" defaultRowHeight="12.75" x14ac:dyDescent="0.2"/>
  <cols>
    <col min="1" max="1" width="4.85546875" style="258" bestFit="1" customWidth="1"/>
    <col min="2" max="2" width="8" style="258" bestFit="1" customWidth="1"/>
    <col min="3" max="3" width="11.7109375" style="258" bestFit="1" customWidth="1"/>
    <col min="4" max="4" width="8.85546875" style="258"/>
    <col min="5" max="5" width="44.28515625" style="258" bestFit="1" customWidth="1"/>
    <col min="6" max="16384" width="8.85546875" style="258"/>
  </cols>
  <sheetData>
    <row r="5" spans="1:5" x14ac:dyDescent="0.2">
      <c r="A5" s="256"/>
      <c r="B5" s="270" t="s">
        <v>632</v>
      </c>
      <c r="C5" s="270" t="s">
        <v>633</v>
      </c>
      <c r="E5" s="245" t="s">
        <v>835</v>
      </c>
    </row>
    <row r="6" spans="1:5" ht="13.5" thickBot="1" x14ac:dyDescent="0.25">
      <c r="A6" s="259"/>
      <c r="B6" s="271" t="s">
        <v>617</v>
      </c>
      <c r="C6" s="271" t="s">
        <v>618</v>
      </c>
    </row>
    <row r="7" spans="1:5" x14ac:dyDescent="0.2">
      <c r="A7" s="272">
        <v>36526</v>
      </c>
      <c r="B7" s="273">
        <v>75.135722426679294</v>
      </c>
      <c r="C7" s="273">
        <v>61.083955139361301</v>
      </c>
    </row>
    <row r="8" spans="1:5" x14ac:dyDescent="0.2">
      <c r="A8" s="272">
        <v>36557</v>
      </c>
      <c r="B8" s="273">
        <v>75.574385561680103</v>
      </c>
      <c r="C8" s="273">
        <v>61.685915647643697</v>
      </c>
    </row>
    <row r="9" spans="1:5" x14ac:dyDescent="0.2">
      <c r="A9" s="272">
        <v>36586</v>
      </c>
      <c r="B9" s="273">
        <v>76.326776278344099</v>
      </c>
      <c r="C9" s="273">
        <v>62.285190205148901</v>
      </c>
    </row>
    <row r="10" spans="1:5" x14ac:dyDescent="0.2">
      <c r="A10" s="272">
        <v>36617</v>
      </c>
      <c r="B10" s="273">
        <v>76.003749576992007</v>
      </c>
      <c r="C10" s="273">
        <v>62.846902251950802</v>
      </c>
    </row>
    <row r="11" spans="1:5" x14ac:dyDescent="0.2">
      <c r="A11" s="272">
        <v>36647</v>
      </c>
      <c r="B11" s="273">
        <v>80.643615535553806</v>
      </c>
      <c r="C11" s="273">
        <v>65.11483459147</v>
      </c>
    </row>
    <row r="12" spans="1:5" x14ac:dyDescent="0.2">
      <c r="A12" s="272">
        <v>36678</v>
      </c>
      <c r="B12" s="273">
        <v>76.253428731494793</v>
      </c>
      <c r="C12" s="273">
        <v>63.4058952955343</v>
      </c>
    </row>
    <row r="13" spans="1:5" x14ac:dyDescent="0.2">
      <c r="A13" s="272">
        <v>36708</v>
      </c>
      <c r="B13" s="273">
        <v>78.254109302642902</v>
      </c>
      <c r="C13" s="273">
        <v>64.473114473104502</v>
      </c>
    </row>
    <row r="14" spans="1:5" x14ac:dyDescent="0.2">
      <c r="A14" s="272">
        <v>36739</v>
      </c>
      <c r="B14" s="273">
        <v>79.678100001609096</v>
      </c>
      <c r="C14" s="273">
        <v>65.311556344212207</v>
      </c>
    </row>
    <row r="15" spans="1:5" x14ac:dyDescent="0.2">
      <c r="A15" s="272">
        <v>36770</v>
      </c>
      <c r="B15" s="273">
        <v>79.699766918115401</v>
      </c>
      <c r="C15" s="273">
        <v>65.593898470550997</v>
      </c>
    </row>
    <row r="16" spans="1:5" x14ac:dyDescent="0.2">
      <c r="A16" s="272">
        <v>36800</v>
      </c>
      <c r="B16" s="273">
        <v>81.238597581076704</v>
      </c>
      <c r="C16" s="273">
        <v>66.368138883842605</v>
      </c>
    </row>
    <row r="17" spans="1:7" x14ac:dyDescent="0.2">
      <c r="A17" s="272">
        <v>36831</v>
      </c>
      <c r="B17" s="273">
        <v>81.762625420341394</v>
      </c>
      <c r="C17" s="273">
        <v>66.474300488071407</v>
      </c>
    </row>
    <row r="18" spans="1:7" x14ac:dyDescent="0.2">
      <c r="A18" s="272">
        <v>36861</v>
      </c>
      <c r="B18" s="273">
        <v>83.729254527452795</v>
      </c>
      <c r="C18" s="273">
        <v>67.157288427699001</v>
      </c>
      <c r="G18" s="313" t="s">
        <v>841</v>
      </c>
    </row>
    <row r="19" spans="1:7" x14ac:dyDescent="0.2">
      <c r="A19" s="272">
        <v>36892</v>
      </c>
      <c r="B19" s="273">
        <v>81.159147355301101</v>
      </c>
      <c r="C19" s="273">
        <v>66.043329214657007</v>
      </c>
    </row>
    <row r="20" spans="1:7" x14ac:dyDescent="0.2">
      <c r="A20" s="272">
        <v>36923</v>
      </c>
      <c r="B20" s="273">
        <v>79.839211009144407</v>
      </c>
      <c r="C20" s="273">
        <v>64.996745410563904</v>
      </c>
    </row>
    <row r="21" spans="1:7" x14ac:dyDescent="0.2">
      <c r="A21" s="272">
        <v>36951</v>
      </c>
      <c r="B21" s="273">
        <v>80.094517521460702</v>
      </c>
      <c r="C21" s="273">
        <v>64.941053468662204</v>
      </c>
      <c r="E21" s="245" t="s">
        <v>836</v>
      </c>
    </row>
    <row r="22" spans="1:7" x14ac:dyDescent="0.2">
      <c r="A22" s="272">
        <v>36982</v>
      </c>
      <c r="B22" s="273">
        <v>80.015738118551496</v>
      </c>
      <c r="C22" s="273">
        <v>64.259849966575501</v>
      </c>
    </row>
    <row r="23" spans="1:7" x14ac:dyDescent="0.2">
      <c r="A23" s="272">
        <v>37012</v>
      </c>
      <c r="B23" s="273">
        <v>79.161089450360905</v>
      </c>
      <c r="C23" s="273">
        <v>63.483419361740999</v>
      </c>
    </row>
    <row r="24" spans="1:7" x14ac:dyDescent="0.2">
      <c r="A24" s="272">
        <v>37043</v>
      </c>
      <c r="B24" s="273">
        <v>79.029611609923606</v>
      </c>
      <c r="C24" s="273">
        <v>63.491550072948897</v>
      </c>
    </row>
    <row r="25" spans="1:7" x14ac:dyDescent="0.2">
      <c r="A25" s="272">
        <v>37073</v>
      </c>
      <c r="B25" s="273">
        <v>78.640419053143404</v>
      </c>
      <c r="C25" s="273">
        <v>63.022508732759</v>
      </c>
    </row>
    <row r="26" spans="1:7" x14ac:dyDescent="0.2">
      <c r="A26" s="272">
        <v>37104</v>
      </c>
      <c r="B26" s="273">
        <v>77.337373068269699</v>
      </c>
      <c r="C26" s="273">
        <v>62.505107706927198</v>
      </c>
    </row>
    <row r="27" spans="1:7" x14ac:dyDescent="0.2">
      <c r="A27" s="272">
        <v>37135</v>
      </c>
      <c r="B27" s="273">
        <v>77.174906115332504</v>
      </c>
      <c r="C27" s="273">
        <v>61.935206461767002</v>
      </c>
    </row>
    <row r="28" spans="1:7" x14ac:dyDescent="0.2">
      <c r="A28" s="272">
        <v>37165</v>
      </c>
      <c r="B28" s="273">
        <v>77.762354500385996</v>
      </c>
      <c r="C28" s="273">
        <v>62.858349885389899</v>
      </c>
    </row>
    <row r="29" spans="1:7" x14ac:dyDescent="0.2">
      <c r="A29" s="272">
        <v>37196</v>
      </c>
      <c r="B29" s="273">
        <v>77.991293834983495</v>
      </c>
      <c r="C29" s="273">
        <v>62.7072280314067</v>
      </c>
    </row>
    <row r="30" spans="1:7" x14ac:dyDescent="0.2">
      <c r="A30" s="272">
        <v>37226</v>
      </c>
      <c r="B30" s="273">
        <v>76.059192597556503</v>
      </c>
      <c r="C30" s="273">
        <v>61.4111339659365</v>
      </c>
    </row>
    <row r="31" spans="1:7" x14ac:dyDescent="0.2">
      <c r="A31" s="272">
        <v>37257</v>
      </c>
      <c r="B31" s="273">
        <v>76.549080051925898</v>
      </c>
      <c r="C31" s="273">
        <v>62.3500517338503</v>
      </c>
    </row>
    <row r="32" spans="1:7" x14ac:dyDescent="0.2">
      <c r="A32" s="272">
        <v>37288</v>
      </c>
      <c r="B32" s="273">
        <v>77.953733735429907</v>
      </c>
      <c r="C32" s="273">
        <v>63.795092313961703</v>
      </c>
    </row>
    <row r="33" spans="1:7" x14ac:dyDescent="0.2">
      <c r="A33" s="272">
        <v>37316</v>
      </c>
      <c r="B33" s="273">
        <v>77.322241056807201</v>
      </c>
      <c r="C33" s="273">
        <v>63.772097935392402</v>
      </c>
    </row>
    <row r="34" spans="1:7" x14ac:dyDescent="0.2">
      <c r="A34" s="272">
        <v>37347</v>
      </c>
      <c r="B34" s="273">
        <v>77.770830859663505</v>
      </c>
      <c r="C34" s="273">
        <v>64.457716493519598</v>
      </c>
      <c r="G34" s="313" t="s">
        <v>842</v>
      </c>
    </row>
    <row r="35" spans="1:7" x14ac:dyDescent="0.2">
      <c r="A35" s="272">
        <v>37377</v>
      </c>
      <c r="B35" s="273">
        <v>75.219059439081605</v>
      </c>
      <c r="C35" s="273">
        <v>63.585922340954099</v>
      </c>
    </row>
    <row r="36" spans="1:7" x14ac:dyDescent="0.2">
      <c r="A36" s="272">
        <v>37408</v>
      </c>
      <c r="B36" s="273">
        <v>79.363668640643596</v>
      </c>
      <c r="C36" s="273">
        <v>65.823035467227797</v>
      </c>
    </row>
    <row r="37" spans="1:7" x14ac:dyDescent="0.2">
      <c r="A37" s="272">
        <v>37438</v>
      </c>
      <c r="B37" s="273">
        <v>77.745927587453593</v>
      </c>
      <c r="C37" s="273">
        <v>65.245105605506197</v>
      </c>
    </row>
    <row r="38" spans="1:7" x14ac:dyDescent="0.2">
      <c r="A38" s="272">
        <v>37469</v>
      </c>
      <c r="B38" s="273">
        <v>78.238405648514401</v>
      </c>
      <c r="C38" s="273">
        <v>65.716681717141597</v>
      </c>
    </row>
    <row r="39" spans="1:7" x14ac:dyDescent="0.2">
      <c r="A39" s="272">
        <v>37500</v>
      </c>
      <c r="B39" s="273">
        <v>79.086836511630693</v>
      </c>
      <c r="C39" s="273">
        <v>65.9072238261666</v>
      </c>
    </row>
    <row r="40" spans="1:7" x14ac:dyDescent="0.2">
      <c r="A40" s="272">
        <v>37530</v>
      </c>
      <c r="B40" s="273">
        <v>79.633936605232805</v>
      </c>
      <c r="C40" s="273">
        <v>65.918467648031296</v>
      </c>
    </row>
    <row r="41" spans="1:7" x14ac:dyDescent="0.2">
      <c r="A41" s="272">
        <v>37561</v>
      </c>
      <c r="B41" s="273">
        <v>79.772546435476599</v>
      </c>
      <c r="C41" s="273">
        <v>67.1032798862839</v>
      </c>
    </row>
    <row r="42" spans="1:7" x14ac:dyDescent="0.2">
      <c r="A42" s="272">
        <v>37591</v>
      </c>
      <c r="B42" s="273">
        <v>79.196831215929606</v>
      </c>
      <c r="C42" s="273">
        <v>66.708789457529505</v>
      </c>
    </row>
    <row r="43" spans="1:7" x14ac:dyDescent="0.2">
      <c r="A43" s="272">
        <v>37622</v>
      </c>
      <c r="B43" s="273">
        <v>80.057714713037697</v>
      </c>
      <c r="C43" s="273">
        <v>67.077296703899194</v>
      </c>
    </row>
    <row r="44" spans="1:7" x14ac:dyDescent="0.2">
      <c r="A44" s="272">
        <v>37653</v>
      </c>
      <c r="B44" s="273">
        <v>80.200411829522693</v>
      </c>
      <c r="C44" s="273">
        <v>66.667425882230702</v>
      </c>
    </row>
    <row r="45" spans="1:7" x14ac:dyDescent="0.2">
      <c r="A45" s="272">
        <v>37681</v>
      </c>
      <c r="B45" s="273">
        <v>81.121127321649098</v>
      </c>
      <c r="C45" s="273">
        <v>67.586679219960004</v>
      </c>
    </row>
    <row r="46" spans="1:7" x14ac:dyDescent="0.2">
      <c r="A46" s="272">
        <v>37712</v>
      </c>
      <c r="B46" s="273">
        <v>79.958328375353702</v>
      </c>
      <c r="C46" s="273">
        <v>67.0506754879749</v>
      </c>
    </row>
    <row r="47" spans="1:7" x14ac:dyDescent="0.2">
      <c r="A47" s="272">
        <v>37742</v>
      </c>
      <c r="B47" s="273">
        <v>80.4920013004336</v>
      </c>
      <c r="C47" s="273">
        <v>66.971843146339907</v>
      </c>
    </row>
    <row r="48" spans="1:7" x14ac:dyDescent="0.2">
      <c r="A48" s="272">
        <v>37773</v>
      </c>
      <c r="B48" s="273">
        <v>79.993878777260804</v>
      </c>
      <c r="C48" s="273">
        <v>66.874557533360601</v>
      </c>
    </row>
    <row r="49" spans="1:3" x14ac:dyDescent="0.2">
      <c r="A49" s="272">
        <v>37803</v>
      </c>
      <c r="B49" s="273">
        <v>80.867910221239597</v>
      </c>
      <c r="C49" s="273">
        <v>67.641624667880805</v>
      </c>
    </row>
    <row r="50" spans="1:3" x14ac:dyDescent="0.2">
      <c r="A50" s="272">
        <v>37834</v>
      </c>
      <c r="B50" s="273">
        <v>78.521058674695595</v>
      </c>
      <c r="C50" s="273">
        <v>66.233278504807998</v>
      </c>
    </row>
    <row r="51" spans="1:3" x14ac:dyDescent="0.2">
      <c r="A51" s="272">
        <v>37865</v>
      </c>
      <c r="B51" s="273">
        <v>80.630441313300196</v>
      </c>
      <c r="C51" s="273">
        <v>68.241000682647396</v>
      </c>
    </row>
    <row r="52" spans="1:3" x14ac:dyDescent="0.2">
      <c r="A52" s="272">
        <v>37895</v>
      </c>
      <c r="B52" s="273">
        <v>82.707787385318994</v>
      </c>
      <c r="C52" s="273">
        <v>69.457956212917196</v>
      </c>
    </row>
    <row r="53" spans="1:3" x14ac:dyDescent="0.2">
      <c r="A53" s="272">
        <v>37926</v>
      </c>
      <c r="B53" s="273">
        <v>84.052713834572799</v>
      </c>
      <c r="C53" s="273">
        <v>70.305239873361799</v>
      </c>
    </row>
    <row r="54" spans="1:3" x14ac:dyDescent="0.2">
      <c r="A54" s="272">
        <v>37956</v>
      </c>
      <c r="B54" s="273">
        <v>83.688459651085196</v>
      </c>
      <c r="C54" s="273">
        <v>70.9821414154747</v>
      </c>
    </row>
    <row r="55" spans="1:3" x14ac:dyDescent="0.2">
      <c r="A55" s="272">
        <v>37987</v>
      </c>
      <c r="B55" s="273">
        <v>82.454563107132699</v>
      </c>
      <c r="C55" s="273">
        <v>70.335780999750796</v>
      </c>
    </row>
    <row r="56" spans="1:3" x14ac:dyDescent="0.2">
      <c r="A56" s="272">
        <v>38018</v>
      </c>
      <c r="B56" s="273">
        <v>84.648810845469995</v>
      </c>
      <c r="C56" s="273">
        <v>71.340133777226299</v>
      </c>
    </row>
    <row r="57" spans="1:3" x14ac:dyDescent="0.2">
      <c r="A57" s="272">
        <v>38047</v>
      </c>
      <c r="B57" s="273">
        <v>84.498945365940102</v>
      </c>
      <c r="C57" s="273">
        <v>72.363379345200698</v>
      </c>
    </row>
    <row r="58" spans="1:3" x14ac:dyDescent="0.2">
      <c r="A58" s="272">
        <v>38078</v>
      </c>
      <c r="B58" s="273">
        <v>86.686604368855399</v>
      </c>
      <c r="C58" s="273">
        <v>73.796028329099201</v>
      </c>
    </row>
    <row r="59" spans="1:3" x14ac:dyDescent="0.2">
      <c r="A59" s="272">
        <v>38108</v>
      </c>
      <c r="B59" s="273">
        <v>85.582078141511303</v>
      </c>
      <c r="C59" s="273">
        <v>73.344892895677006</v>
      </c>
    </row>
    <row r="60" spans="1:3" x14ac:dyDescent="0.2">
      <c r="A60" s="272">
        <v>38139</v>
      </c>
      <c r="B60" s="273">
        <v>86.355273839056096</v>
      </c>
      <c r="C60" s="273">
        <v>74.302996487329494</v>
      </c>
    </row>
    <row r="61" spans="1:3" x14ac:dyDescent="0.2">
      <c r="A61" s="272">
        <v>38169</v>
      </c>
      <c r="B61" s="273">
        <v>86.159313818888194</v>
      </c>
      <c r="C61" s="273">
        <v>74.091987586016202</v>
      </c>
    </row>
    <row r="62" spans="1:3" x14ac:dyDescent="0.2">
      <c r="A62" s="272">
        <v>38200</v>
      </c>
      <c r="B62" s="273">
        <v>85.643287151152293</v>
      </c>
      <c r="C62" s="273">
        <v>73.511934167425594</v>
      </c>
    </row>
    <row r="63" spans="1:3" x14ac:dyDescent="0.2">
      <c r="A63" s="272">
        <v>38231</v>
      </c>
      <c r="B63" s="273">
        <v>87.6488479071227</v>
      </c>
      <c r="C63" s="273">
        <v>74.2630697867463</v>
      </c>
    </row>
    <row r="64" spans="1:3" x14ac:dyDescent="0.2">
      <c r="A64" s="272">
        <v>38261</v>
      </c>
      <c r="B64" s="273">
        <v>87.353188103896102</v>
      </c>
      <c r="C64" s="273">
        <v>75.013981404435697</v>
      </c>
    </row>
    <row r="65" spans="1:3" x14ac:dyDescent="0.2">
      <c r="A65" s="272">
        <v>38292</v>
      </c>
      <c r="B65" s="273">
        <v>88.420723373187698</v>
      </c>
      <c r="C65" s="273">
        <v>75.608154708606705</v>
      </c>
    </row>
    <row r="66" spans="1:3" x14ac:dyDescent="0.2">
      <c r="A66" s="272">
        <v>38322</v>
      </c>
      <c r="B66" s="273">
        <v>89.245185300840106</v>
      </c>
      <c r="C66" s="273">
        <v>76.302294399775107</v>
      </c>
    </row>
    <row r="67" spans="1:3" x14ac:dyDescent="0.2">
      <c r="A67" s="272">
        <v>38353</v>
      </c>
      <c r="B67" s="273">
        <v>88.525877352905297</v>
      </c>
      <c r="C67" s="273">
        <v>75.847678340607303</v>
      </c>
    </row>
    <row r="68" spans="1:3" x14ac:dyDescent="0.2">
      <c r="A68" s="272">
        <v>38384</v>
      </c>
      <c r="B68" s="273">
        <v>86.934030080179099</v>
      </c>
      <c r="C68" s="273">
        <v>75.607074613657304</v>
      </c>
    </row>
    <row r="69" spans="1:3" x14ac:dyDescent="0.2">
      <c r="A69" s="272">
        <v>38412</v>
      </c>
      <c r="B69" s="273">
        <v>87.029674127452594</v>
      </c>
      <c r="C69" s="273">
        <v>75.011376611856093</v>
      </c>
    </row>
    <row r="70" spans="1:3" x14ac:dyDescent="0.2">
      <c r="A70" s="272">
        <v>38443</v>
      </c>
      <c r="B70" s="273">
        <v>90.272665379399299</v>
      </c>
      <c r="C70" s="273">
        <v>77.318530854128696</v>
      </c>
    </row>
    <row r="71" spans="1:3" x14ac:dyDescent="0.2">
      <c r="A71" s="272">
        <v>38473</v>
      </c>
      <c r="B71" s="273">
        <v>89.792260128533201</v>
      </c>
      <c r="C71" s="273">
        <v>77.562707287510804</v>
      </c>
    </row>
    <row r="72" spans="1:3" x14ac:dyDescent="0.2">
      <c r="A72" s="272">
        <v>38504</v>
      </c>
      <c r="B72" s="273">
        <v>89.134266709740501</v>
      </c>
      <c r="C72" s="273">
        <v>77.059268542520698</v>
      </c>
    </row>
    <row r="73" spans="1:3" x14ac:dyDescent="0.2">
      <c r="A73" s="272">
        <v>38534</v>
      </c>
      <c r="B73" s="273">
        <v>87.973744857625704</v>
      </c>
      <c r="C73" s="273">
        <v>76.433828635583694</v>
      </c>
    </row>
    <row r="74" spans="1:3" x14ac:dyDescent="0.2">
      <c r="A74" s="272">
        <v>38565</v>
      </c>
      <c r="B74" s="273">
        <v>89.199787976270898</v>
      </c>
      <c r="C74" s="273">
        <v>77.220685432652203</v>
      </c>
    </row>
    <row r="75" spans="1:3" x14ac:dyDescent="0.2">
      <c r="A75" s="272">
        <v>38596</v>
      </c>
      <c r="B75" s="273">
        <v>90.879848554830502</v>
      </c>
      <c r="C75" s="273">
        <v>78.425062156671203</v>
      </c>
    </row>
    <row r="76" spans="1:3" x14ac:dyDescent="0.2">
      <c r="A76" s="272">
        <v>38626</v>
      </c>
      <c r="B76" s="273">
        <v>90.364166384162303</v>
      </c>
      <c r="C76" s="273">
        <v>78.990670125249807</v>
      </c>
    </row>
    <row r="77" spans="1:3" x14ac:dyDescent="0.2">
      <c r="A77" s="272">
        <v>38657</v>
      </c>
      <c r="B77" s="273">
        <v>92.291194912247803</v>
      </c>
      <c r="C77" s="273">
        <v>79.964493766003997</v>
      </c>
    </row>
    <row r="78" spans="1:3" x14ac:dyDescent="0.2">
      <c r="A78" s="272">
        <v>38687</v>
      </c>
      <c r="B78" s="273">
        <v>95.413819950341207</v>
      </c>
      <c r="C78" s="273">
        <v>81.9451511229163</v>
      </c>
    </row>
    <row r="79" spans="1:3" x14ac:dyDescent="0.2">
      <c r="A79" s="272">
        <v>38718</v>
      </c>
      <c r="B79" s="273">
        <v>92.644993695676703</v>
      </c>
      <c r="C79" s="273">
        <v>81.475531473087003</v>
      </c>
    </row>
    <row r="80" spans="1:3" x14ac:dyDescent="0.2">
      <c r="A80" s="272">
        <v>38749</v>
      </c>
      <c r="B80" s="273">
        <v>93.728777332935394</v>
      </c>
      <c r="C80" s="273">
        <v>81.371470585287199</v>
      </c>
    </row>
    <row r="81" spans="1:3" x14ac:dyDescent="0.2">
      <c r="A81" s="272">
        <v>38777</v>
      </c>
      <c r="B81" s="273">
        <v>93.760480571410497</v>
      </c>
      <c r="C81" s="273">
        <v>81.853161308002299</v>
      </c>
    </row>
    <row r="82" spans="1:3" x14ac:dyDescent="0.2">
      <c r="A82" s="272">
        <v>38808</v>
      </c>
      <c r="B82" s="273">
        <v>94.788000987810804</v>
      </c>
      <c r="C82" s="273">
        <v>82.589671634783201</v>
      </c>
    </row>
    <row r="83" spans="1:3" x14ac:dyDescent="0.2">
      <c r="A83" s="272">
        <v>38838</v>
      </c>
      <c r="B83" s="273">
        <v>95.540620896848594</v>
      </c>
      <c r="C83" s="273">
        <v>83.295297529597704</v>
      </c>
    </row>
    <row r="84" spans="1:3" x14ac:dyDescent="0.2">
      <c r="A84" s="272">
        <v>38869</v>
      </c>
      <c r="B84" s="273">
        <v>95.941762269944604</v>
      </c>
      <c r="C84" s="273">
        <v>83.215167293731</v>
      </c>
    </row>
    <row r="85" spans="1:3" x14ac:dyDescent="0.2">
      <c r="A85" s="272">
        <v>38899</v>
      </c>
      <c r="B85" s="273">
        <v>94.968525297246202</v>
      </c>
      <c r="C85" s="273">
        <v>82.193903097602401</v>
      </c>
    </row>
    <row r="86" spans="1:3" x14ac:dyDescent="0.2">
      <c r="A86" s="272">
        <v>38930</v>
      </c>
      <c r="B86" s="273">
        <v>95.794352515951303</v>
      </c>
      <c r="C86" s="273">
        <v>83.197262917907494</v>
      </c>
    </row>
    <row r="87" spans="1:3" x14ac:dyDescent="0.2">
      <c r="A87" s="272">
        <v>38961</v>
      </c>
      <c r="B87" s="273">
        <v>97.067234094094701</v>
      </c>
      <c r="C87" s="273">
        <v>84.156308203974604</v>
      </c>
    </row>
    <row r="88" spans="1:3" x14ac:dyDescent="0.2">
      <c r="A88" s="272">
        <v>38991</v>
      </c>
      <c r="B88" s="273">
        <v>98.674024500483</v>
      </c>
      <c r="C88" s="273">
        <v>84.436749003125399</v>
      </c>
    </row>
    <row r="89" spans="1:3" x14ac:dyDescent="0.2">
      <c r="A89" s="272">
        <v>39022</v>
      </c>
      <c r="B89" s="273">
        <v>99.335434840033599</v>
      </c>
      <c r="C89" s="273">
        <v>85.286301691061595</v>
      </c>
    </row>
    <row r="90" spans="1:3" x14ac:dyDescent="0.2">
      <c r="A90" s="272">
        <v>39052</v>
      </c>
      <c r="B90" s="273">
        <v>101.02550532077601</v>
      </c>
      <c r="C90" s="273">
        <v>86.664729097943095</v>
      </c>
    </row>
    <row r="91" spans="1:3" x14ac:dyDescent="0.2">
      <c r="A91" s="272">
        <v>39083</v>
      </c>
      <c r="B91" s="273">
        <v>99.139268145378296</v>
      </c>
      <c r="C91" s="273">
        <v>85.359593028030702</v>
      </c>
    </row>
    <row r="92" spans="1:3" x14ac:dyDescent="0.2">
      <c r="A92" s="272">
        <v>39114</v>
      </c>
      <c r="B92" s="273">
        <v>101.376827990712</v>
      </c>
      <c r="C92" s="273">
        <v>87.031262175243995</v>
      </c>
    </row>
    <row r="93" spans="1:3" x14ac:dyDescent="0.2">
      <c r="A93" s="272">
        <v>39142</v>
      </c>
      <c r="B93" s="273">
        <v>99.358726417814395</v>
      </c>
      <c r="C93" s="273">
        <v>86.680292457494403</v>
      </c>
    </row>
    <row r="94" spans="1:3" x14ac:dyDescent="0.2">
      <c r="A94" s="272">
        <v>39173</v>
      </c>
      <c r="B94" s="273">
        <v>100.046560331096</v>
      </c>
      <c r="C94" s="273">
        <v>86.208821795206504</v>
      </c>
    </row>
    <row r="95" spans="1:3" x14ac:dyDescent="0.2">
      <c r="A95" s="272">
        <v>39203</v>
      </c>
      <c r="B95" s="273">
        <v>100.78574923943501</v>
      </c>
      <c r="C95" s="273">
        <v>86.417628087862596</v>
      </c>
    </row>
    <row r="96" spans="1:3" x14ac:dyDescent="0.2">
      <c r="A96" s="272">
        <v>39234</v>
      </c>
      <c r="B96" s="273">
        <v>100.373570331097</v>
      </c>
      <c r="C96" s="273">
        <v>86.747576337836307</v>
      </c>
    </row>
    <row r="97" spans="1:3" x14ac:dyDescent="0.2">
      <c r="A97" s="272">
        <v>39264</v>
      </c>
      <c r="B97" s="273">
        <v>100.3139706817</v>
      </c>
      <c r="C97" s="273">
        <v>86.564414671242602</v>
      </c>
    </row>
    <row r="98" spans="1:3" x14ac:dyDescent="0.2">
      <c r="A98" s="272">
        <v>39295</v>
      </c>
      <c r="B98" s="273">
        <v>101.442240371225</v>
      </c>
      <c r="C98" s="273">
        <v>86.779202424342202</v>
      </c>
    </row>
    <row r="99" spans="1:3" x14ac:dyDescent="0.2">
      <c r="A99" s="272">
        <v>39326</v>
      </c>
      <c r="B99" s="273">
        <v>100.40702650568601</v>
      </c>
      <c r="C99" s="273">
        <v>86.504889915489102</v>
      </c>
    </row>
    <row r="100" spans="1:3" x14ac:dyDescent="0.2">
      <c r="A100" s="272">
        <v>39356</v>
      </c>
      <c r="B100" s="273">
        <v>101.341983970218</v>
      </c>
      <c r="C100" s="273">
        <v>86.986878458653706</v>
      </c>
    </row>
    <row r="101" spans="1:3" x14ac:dyDescent="0.2">
      <c r="A101" s="272">
        <v>39387</v>
      </c>
      <c r="B101" s="273">
        <v>100.929044627465</v>
      </c>
      <c r="C101" s="273">
        <v>87.059411183872498</v>
      </c>
    </row>
    <row r="102" spans="1:3" x14ac:dyDescent="0.2">
      <c r="A102" s="272">
        <v>39417</v>
      </c>
      <c r="B102" s="273">
        <v>101.468520419108</v>
      </c>
      <c r="C102" s="273">
        <v>87.122245326943499</v>
      </c>
    </row>
    <row r="103" spans="1:3" x14ac:dyDescent="0.2">
      <c r="A103" s="272">
        <v>39448</v>
      </c>
      <c r="B103" s="273">
        <v>103.923740854565</v>
      </c>
      <c r="C103" s="273">
        <v>89.182337695360602</v>
      </c>
    </row>
    <row r="104" spans="1:3" x14ac:dyDescent="0.2">
      <c r="A104" s="272">
        <v>39479</v>
      </c>
      <c r="B104" s="273">
        <v>102.670288623391</v>
      </c>
      <c r="C104" s="273">
        <v>88.952454527948404</v>
      </c>
    </row>
    <row r="105" spans="1:3" x14ac:dyDescent="0.2">
      <c r="A105" s="272">
        <v>39508</v>
      </c>
      <c r="B105" s="273">
        <v>101.475829813179</v>
      </c>
      <c r="C105" s="273">
        <v>87.764703734514995</v>
      </c>
    </row>
    <row r="106" spans="1:3" x14ac:dyDescent="0.2">
      <c r="A106" s="272">
        <v>39539</v>
      </c>
      <c r="B106" s="273">
        <v>101.600923485086</v>
      </c>
      <c r="C106" s="273">
        <v>87.644697344174304</v>
      </c>
    </row>
    <row r="107" spans="1:3" x14ac:dyDescent="0.2">
      <c r="A107" s="272">
        <v>39569</v>
      </c>
      <c r="B107" s="273">
        <v>100.295618088827</v>
      </c>
      <c r="C107" s="273">
        <v>87.086054659690404</v>
      </c>
    </row>
    <row r="108" spans="1:3" x14ac:dyDescent="0.2">
      <c r="A108" s="272">
        <v>39600</v>
      </c>
      <c r="B108" s="273">
        <v>99.516775095162302</v>
      </c>
      <c r="C108" s="273">
        <v>86.438019353778003</v>
      </c>
    </row>
    <row r="109" spans="1:3" x14ac:dyDescent="0.2">
      <c r="A109" s="272">
        <v>39630</v>
      </c>
      <c r="B109" s="273">
        <v>100.354321615294</v>
      </c>
      <c r="C109" s="273">
        <v>87.368954188923098</v>
      </c>
    </row>
    <row r="110" spans="1:3" x14ac:dyDescent="0.2">
      <c r="A110" s="272">
        <v>39661</v>
      </c>
      <c r="B110" s="273">
        <v>98.353915163304507</v>
      </c>
      <c r="C110" s="273">
        <v>86.211015258292605</v>
      </c>
    </row>
    <row r="111" spans="1:3" x14ac:dyDescent="0.2">
      <c r="A111" s="272">
        <v>39692</v>
      </c>
      <c r="B111" s="273">
        <v>99.239894807470094</v>
      </c>
      <c r="C111" s="273">
        <v>86.246597227228705</v>
      </c>
    </row>
    <row r="112" spans="1:3" x14ac:dyDescent="0.2">
      <c r="A112" s="272">
        <v>39722</v>
      </c>
      <c r="B112" s="273">
        <v>97.395393759923905</v>
      </c>
      <c r="C112" s="273">
        <v>86.122160373887496</v>
      </c>
    </row>
    <row r="113" spans="1:3" x14ac:dyDescent="0.2">
      <c r="A113" s="272">
        <v>39753</v>
      </c>
      <c r="B113" s="273">
        <v>93.179024045650195</v>
      </c>
      <c r="C113" s="273">
        <v>81.722738763521605</v>
      </c>
    </row>
    <row r="114" spans="1:3" x14ac:dyDescent="0.2">
      <c r="A114" s="272">
        <v>39783</v>
      </c>
      <c r="B114" s="273">
        <v>89.3462409710923</v>
      </c>
      <c r="C114" s="273">
        <v>77.435806105332603</v>
      </c>
    </row>
    <row r="115" spans="1:3" x14ac:dyDescent="0.2">
      <c r="A115" s="272">
        <v>39814</v>
      </c>
      <c r="B115" s="273">
        <v>85.491272282544102</v>
      </c>
      <c r="C115" s="273">
        <v>74.343420330145804</v>
      </c>
    </row>
    <row r="116" spans="1:3" x14ac:dyDescent="0.2">
      <c r="A116" s="272">
        <v>39845</v>
      </c>
      <c r="B116" s="273">
        <v>84.958826463371196</v>
      </c>
      <c r="C116" s="273">
        <v>72.532808226366797</v>
      </c>
    </row>
    <row r="117" spans="1:3" x14ac:dyDescent="0.2">
      <c r="A117" s="272">
        <v>39873</v>
      </c>
      <c r="B117" s="273">
        <v>83.442585408238003</v>
      </c>
      <c r="C117" s="273">
        <v>71.759775689948597</v>
      </c>
    </row>
    <row r="118" spans="1:3" x14ac:dyDescent="0.2">
      <c r="A118" s="272">
        <v>39904</v>
      </c>
      <c r="B118" s="273">
        <v>83.416988043084103</v>
      </c>
      <c r="C118" s="273">
        <v>71.861138907666202</v>
      </c>
    </row>
    <row r="119" spans="1:3" x14ac:dyDescent="0.2">
      <c r="A119" s="272">
        <v>39934</v>
      </c>
      <c r="B119" s="273">
        <v>82.101926454541399</v>
      </c>
      <c r="C119" s="273">
        <v>70.484389211093003</v>
      </c>
    </row>
    <row r="120" spans="1:3" x14ac:dyDescent="0.2">
      <c r="A120" s="272">
        <v>39965</v>
      </c>
      <c r="B120" s="273">
        <v>82.870228401963502</v>
      </c>
      <c r="C120" s="273">
        <v>71.340182378881195</v>
      </c>
    </row>
    <row r="121" spans="1:3" x14ac:dyDescent="0.2">
      <c r="A121" s="272">
        <v>39995</v>
      </c>
      <c r="B121" s="273">
        <v>83.953070798286305</v>
      </c>
      <c r="C121" s="273">
        <v>73.083504734169495</v>
      </c>
    </row>
    <row r="122" spans="1:3" x14ac:dyDescent="0.2">
      <c r="A122" s="272">
        <v>40026</v>
      </c>
      <c r="B122" s="273">
        <v>84.238100230433204</v>
      </c>
      <c r="C122" s="273">
        <v>73.476691515025394</v>
      </c>
    </row>
    <row r="123" spans="1:3" x14ac:dyDescent="0.2">
      <c r="A123" s="272">
        <v>40057</v>
      </c>
      <c r="B123" s="273">
        <v>86.674642735701198</v>
      </c>
      <c r="C123" s="273">
        <v>76.137961867666405</v>
      </c>
    </row>
    <row r="124" spans="1:3" x14ac:dyDescent="0.2">
      <c r="A124" s="272">
        <v>40087</v>
      </c>
      <c r="B124" s="273">
        <v>87.734253517139393</v>
      </c>
      <c r="C124" s="273">
        <v>76.714746707678898</v>
      </c>
    </row>
    <row r="125" spans="1:3" x14ac:dyDescent="0.2">
      <c r="A125" s="272">
        <v>40118</v>
      </c>
      <c r="B125" s="273">
        <v>87.212312148525498</v>
      </c>
      <c r="C125" s="273">
        <v>76.943518061091794</v>
      </c>
    </row>
    <row r="126" spans="1:3" x14ac:dyDescent="0.2">
      <c r="A126" s="272">
        <v>40148</v>
      </c>
      <c r="B126" s="273">
        <v>87.996375215086005</v>
      </c>
      <c r="C126" s="273">
        <v>77.749187096127002</v>
      </c>
    </row>
    <row r="127" spans="1:3" x14ac:dyDescent="0.2">
      <c r="A127" s="272">
        <v>40179</v>
      </c>
      <c r="B127" s="273">
        <v>88.024589283265996</v>
      </c>
      <c r="C127" s="273">
        <v>77.629946010128194</v>
      </c>
    </row>
    <row r="128" spans="1:3" x14ac:dyDescent="0.2">
      <c r="A128" s="272">
        <v>40210</v>
      </c>
      <c r="B128" s="273">
        <v>87.929398442555197</v>
      </c>
      <c r="C128" s="273">
        <v>78.679865085854601</v>
      </c>
    </row>
    <row r="129" spans="1:3" x14ac:dyDescent="0.2">
      <c r="A129" s="272">
        <v>40238</v>
      </c>
      <c r="B129" s="273">
        <v>91.664706657965297</v>
      </c>
      <c r="C129" s="273">
        <v>80.570915672194204</v>
      </c>
    </row>
    <row r="130" spans="1:3" x14ac:dyDescent="0.2">
      <c r="A130" s="272">
        <v>40269</v>
      </c>
      <c r="B130" s="273">
        <v>90.352801654917897</v>
      </c>
      <c r="C130" s="273">
        <v>80.024464671912497</v>
      </c>
    </row>
    <row r="131" spans="1:3" x14ac:dyDescent="0.2">
      <c r="A131" s="272">
        <v>40299</v>
      </c>
      <c r="B131" s="273">
        <v>93.264506804565698</v>
      </c>
      <c r="C131" s="273">
        <v>82.853998284169904</v>
      </c>
    </row>
    <row r="132" spans="1:3" x14ac:dyDescent="0.2">
      <c r="A132" s="272">
        <v>40330</v>
      </c>
      <c r="B132" s="273">
        <v>94.014565514356306</v>
      </c>
      <c r="C132" s="273">
        <v>83.957689743465806</v>
      </c>
    </row>
    <row r="133" spans="1:3" x14ac:dyDescent="0.2">
      <c r="A133" s="272">
        <v>40360</v>
      </c>
      <c r="B133" s="273">
        <v>92.644727529048097</v>
      </c>
      <c r="C133" s="273">
        <v>83.139072517337894</v>
      </c>
    </row>
    <row r="134" spans="1:3" x14ac:dyDescent="0.2">
      <c r="A134" s="272">
        <v>40391</v>
      </c>
      <c r="B134" s="273">
        <v>93.264089300105994</v>
      </c>
      <c r="C134" s="273">
        <v>83.724596765245707</v>
      </c>
    </row>
    <row r="135" spans="1:3" x14ac:dyDescent="0.2">
      <c r="A135" s="272">
        <v>40422</v>
      </c>
      <c r="B135" s="273">
        <v>92.969736720636206</v>
      </c>
      <c r="C135" s="273">
        <v>83.231646890434007</v>
      </c>
    </row>
    <row r="136" spans="1:3" x14ac:dyDescent="0.2">
      <c r="A136" s="272">
        <v>40452</v>
      </c>
      <c r="B136" s="273">
        <v>94.162420840904801</v>
      </c>
      <c r="C136" s="273">
        <v>84.022662003067694</v>
      </c>
    </row>
    <row r="137" spans="1:3" x14ac:dyDescent="0.2">
      <c r="A137" s="272">
        <v>40483</v>
      </c>
      <c r="B137" s="273">
        <v>96.451663753567303</v>
      </c>
      <c r="C137" s="273">
        <v>84.832699579450093</v>
      </c>
    </row>
    <row r="138" spans="1:3" x14ac:dyDescent="0.2">
      <c r="A138" s="272">
        <v>40513</v>
      </c>
      <c r="B138" s="273">
        <v>94.616423815281905</v>
      </c>
      <c r="C138" s="273">
        <v>84.166244018602598</v>
      </c>
    </row>
    <row r="139" spans="1:3" x14ac:dyDescent="0.2">
      <c r="A139" s="272">
        <v>40544</v>
      </c>
      <c r="B139" s="273">
        <v>95.411166725934194</v>
      </c>
      <c r="C139" s="273">
        <v>86.056602631585307</v>
      </c>
    </row>
    <row r="140" spans="1:3" x14ac:dyDescent="0.2">
      <c r="A140" s="272">
        <v>40575</v>
      </c>
      <c r="B140" s="273">
        <v>95.641651467110904</v>
      </c>
      <c r="C140" s="273">
        <v>84.733800752775295</v>
      </c>
    </row>
    <row r="141" spans="1:3" x14ac:dyDescent="0.2">
      <c r="A141" s="272">
        <v>40603</v>
      </c>
      <c r="B141" s="273">
        <v>95.426428067845904</v>
      </c>
      <c r="C141" s="273">
        <v>85.368300969573994</v>
      </c>
    </row>
    <row r="142" spans="1:3" x14ac:dyDescent="0.2">
      <c r="A142" s="272">
        <v>40634</v>
      </c>
      <c r="B142" s="273">
        <v>95.333537443657605</v>
      </c>
      <c r="C142" s="273">
        <v>84.531345911672304</v>
      </c>
    </row>
    <row r="143" spans="1:3" x14ac:dyDescent="0.2">
      <c r="A143" s="272">
        <v>40664</v>
      </c>
      <c r="B143" s="273">
        <v>95.822229661808393</v>
      </c>
      <c r="C143" s="273">
        <v>85.9822733662795</v>
      </c>
    </row>
    <row r="144" spans="1:3" x14ac:dyDescent="0.2">
      <c r="A144" s="272">
        <v>40695</v>
      </c>
      <c r="B144" s="273">
        <v>94.507043159500498</v>
      </c>
      <c r="C144" s="273">
        <v>84.653438482691001</v>
      </c>
    </row>
    <row r="145" spans="1:3" x14ac:dyDescent="0.2">
      <c r="A145" s="272">
        <v>40725</v>
      </c>
      <c r="B145" s="273">
        <v>95.055233599722598</v>
      </c>
      <c r="C145" s="273">
        <v>85.588348308396704</v>
      </c>
    </row>
    <row r="146" spans="1:3" x14ac:dyDescent="0.2">
      <c r="A146" s="272">
        <v>40756</v>
      </c>
      <c r="B146" s="273">
        <v>96.4628857437216</v>
      </c>
      <c r="C146" s="273">
        <v>86.412925117252897</v>
      </c>
    </row>
    <row r="147" spans="1:3" x14ac:dyDescent="0.2">
      <c r="A147" s="272">
        <v>40787</v>
      </c>
      <c r="B147" s="273">
        <v>95.043789622130404</v>
      </c>
      <c r="C147" s="273">
        <v>85.488485138476804</v>
      </c>
    </row>
    <row r="148" spans="1:3" x14ac:dyDescent="0.2">
      <c r="A148" s="272">
        <v>40817</v>
      </c>
      <c r="B148" s="273">
        <v>93.601804462668596</v>
      </c>
      <c r="C148" s="273">
        <v>85.542672985675296</v>
      </c>
    </row>
    <row r="149" spans="1:3" x14ac:dyDescent="0.2">
      <c r="A149" s="272">
        <v>40848</v>
      </c>
      <c r="B149" s="273">
        <v>93.704081672205405</v>
      </c>
      <c r="C149" s="273">
        <v>85.0065481362453</v>
      </c>
    </row>
    <row r="150" spans="1:3" x14ac:dyDescent="0.2">
      <c r="A150" s="272">
        <v>40878</v>
      </c>
      <c r="B150" s="273">
        <v>92.634648379796204</v>
      </c>
      <c r="C150" s="273">
        <v>84.974811942924504</v>
      </c>
    </row>
    <row r="151" spans="1:3" x14ac:dyDescent="0.2">
      <c r="A151" s="272">
        <v>40909</v>
      </c>
      <c r="B151" s="273">
        <v>91.387393840656998</v>
      </c>
      <c r="C151" s="273">
        <v>85.771068008987697</v>
      </c>
    </row>
    <row r="152" spans="1:3" x14ac:dyDescent="0.2">
      <c r="A152" s="272">
        <v>40940</v>
      </c>
      <c r="B152" s="273">
        <v>93.590963554638293</v>
      </c>
      <c r="C152" s="273">
        <v>84.489067322252296</v>
      </c>
    </row>
    <row r="153" spans="1:3" x14ac:dyDescent="0.2">
      <c r="A153" s="272">
        <v>40969</v>
      </c>
      <c r="B153" s="273">
        <v>92.244009870915093</v>
      </c>
      <c r="C153" s="273">
        <v>85.0417625871616</v>
      </c>
    </row>
    <row r="154" spans="1:3" x14ac:dyDescent="0.2">
      <c r="A154" s="272">
        <v>41000</v>
      </c>
      <c r="B154" s="273">
        <v>91.906951177370999</v>
      </c>
      <c r="C154" s="273">
        <v>84.794278967059697</v>
      </c>
    </row>
    <row r="155" spans="1:3" x14ac:dyDescent="0.2">
      <c r="A155" s="272">
        <v>41030</v>
      </c>
      <c r="B155" s="273">
        <v>93.430763810483498</v>
      </c>
      <c r="C155" s="273">
        <v>86.107015320964507</v>
      </c>
    </row>
    <row r="156" spans="1:3" x14ac:dyDescent="0.2">
      <c r="A156" s="272">
        <v>41061</v>
      </c>
      <c r="B156" s="273">
        <v>91.775834908959993</v>
      </c>
      <c r="C156" s="273">
        <v>85.559079776074498</v>
      </c>
    </row>
    <row r="157" spans="1:3" x14ac:dyDescent="0.2">
      <c r="A157" s="272">
        <v>41091</v>
      </c>
      <c r="B157" s="273">
        <v>92.077715650049996</v>
      </c>
      <c r="C157" s="273">
        <v>85.487386908720794</v>
      </c>
    </row>
    <row r="158" spans="1:3" x14ac:dyDescent="0.2">
      <c r="A158" s="272">
        <v>41122</v>
      </c>
      <c r="B158" s="273">
        <v>93.051167156570997</v>
      </c>
      <c r="C158" s="273">
        <v>85.722927889488005</v>
      </c>
    </row>
    <row r="159" spans="1:3" x14ac:dyDescent="0.2">
      <c r="A159" s="272">
        <v>41153</v>
      </c>
      <c r="B159" s="273">
        <v>89.726416316758701</v>
      </c>
      <c r="C159" s="273">
        <v>85.3033922854016</v>
      </c>
    </row>
    <row r="160" spans="1:3" x14ac:dyDescent="0.2">
      <c r="A160" s="272">
        <v>41183</v>
      </c>
      <c r="B160" s="273">
        <v>91.444278620628694</v>
      </c>
      <c r="C160" s="273">
        <v>84.355088849015203</v>
      </c>
    </row>
    <row r="161" spans="1:3" x14ac:dyDescent="0.2">
      <c r="A161" s="272">
        <v>41214</v>
      </c>
      <c r="B161" s="273">
        <v>89.889782503402003</v>
      </c>
      <c r="C161" s="273">
        <v>84.640042426147104</v>
      </c>
    </row>
    <row r="162" spans="1:3" x14ac:dyDescent="0.2">
      <c r="A162" s="272">
        <v>41244</v>
      </c>
      <c r="B162" s="273">
        <v>89.914939507375607</v>
      </c>
      <c r="C162" s="273">
        <v>84.167037994536003</v>
      </c>
    </row>
    <row r="163" spans="1:3" x14ac:dyDescent="0.2">
      <c r="A163" s="272">
        <v>41275</v>
      </c>
      <c r="B163" s="273">
        <v>91.814706257102102</v>
      </c>
      <c r="C163" s="273">
        <v>85.043103774249602</v>
      </c>
    </row>
    <row r="164" spans="1:3" x14ac:dyDescent="0.2">
      <c r="A164" s="272">
        <v>41306</v>
      </c>
      <c r="B164" s="273">
        <v>90.200470140679997</v>
      </c>
      <c r="C164" s="273">
        <v>84.510240100184603</v>
      </c>
    </row>
    <row r="165" spans="1:3" x14ac:dyDescent="0.2">
      <c r="A165" s="272">
        <v>41334</v>
      </c>
      <c r="B165" s="273">
        <v>89.713618290403602</v>
      </c>
      <c r="C165" s="273">
        <v>83.878024230989098</v>
      </c>
    </row>
    <row r="166" spans="1:3" x14ac:dyDescent="0.2">
      <c r="A166" s="272">
        <v>41365</v>
      </c>
      <c r="B166" s="273">
        <v>90.211728539951693</v>
      </c>
      <c r="C166" s="273">
        <v>84.512661046282801</v>
      </c>
    </row>
    <row r="167" spans="1:3" x14ac:dyDescent="0.2">
      <c r="A167" s="272">
        <v>41395</v>
      </c>
      <c r="B167" s="273">
        <v>90.867894281128002</v>
      </c>
      <c r="C167" s="273">
        <v>85.126241359032605</v>
      </c>
    </row>
    <row r="168" spans="1:3" x14ac:dyDescent="0.2">
      <c r="A168" s="272">
        <v>41426</v>
      </c>
      <c r="B168" s="273">
        <v>90.557285334426894</v>
      </c>
      <c r="C168" s="273">
        <v>84.979057287413696</v>
      </c>
    </row>
    <row r="169" spans="1:3" x14ac:dyDescent="0.2">
      <c r="A169" s="272">
        <v>41456</v>
      </c>
      <c r="B169" s="273">
        <v>92.062083901785101</v>
      </c>
      <c r="C169" s="273">
        <v>85.755270669998595</v>
      </c>
    </row>
    <row r="170" spans="1:3" x14ac:dyDescent="0.2">
      <c r="A170" s="272">
        <v>41487</v>
      </c>
      <c r="B170" s="273">
        <v>91.688140679095298</v>
      </c>
      <c r="C170" s="273">
        <v>85.785519162703693</v>
      </c>
    </row>
    <row r="171" spans="1:3" x14ac:dyDescent="0.2">
      <c r="A171" s="272">
        <v>41518</v>
      </c>
      <c r="B171" s="273">
        <v>91.449626459566105</v>
      </c>
      <c r="C171" s="273">
        <v>86.066309261855906</v>
      </c>
    </row>
    <row r="172" spans="1:3" x14ac:dyDescent="0.2">
      <c r="A172" s="272">
        <v>41548</v>
      </c>
      <c r="B172" s="273">
        <v>91.638156338285199</v>
      </c>
      <c r="C172" s="273">
        <v>86.204312891839905</v>
      </c>
    </row>
    <row r="173" spans="1:3" x14ac:dyDescent="0.2">
      <c r="A173" s="272">
        <v>41579</v>
      </c>
      <c r="B173" s="273">
        <v>91.824806475110705</v>
      </c>
      <c r="C173" s="273">
        <v>86.747427270595693</v>
      </c>
    </row>
    <row r="174" spans="1:3" x14ac:dyDescent="0.2">
      <c r="A174" s="272">
        <v>41609</v>
      </c>
      <c r="B174" s="273">
        <v>92.190331527949297</v>
      </c>
      <c r="C174" s="273">
        <v>86.451006454614699</v>
      </c>
    </row>
    <row r="175" spans="1:3" x14ac:dyDescent="0.2">
      <c r="A175" s="272">
        <v>41640</v>
      </c>
      <c r="B175" s="273">
        <v>93.669542007306603</v>
      </c>
      <c r="C175" s="273">
        <v>87.589770730723501</v>
      </c>
    </row>
    <row r="176" spans="1:3" x14ac:dyDescent="0.2">
      <c r="A176" s="272">
        <v>41671</v>
      </c>
      <c r="B176" s="273">
        <v>92.700554426831999</v>
      </c>
      <c r="C176" s="273">
        <v>86.390338032736295</v>
      </c>
    </row>
    <row r="177" spans="1:3" x14ac:dyDescent="0.2">
      <c r="A177" s="272">
        <v>41699</v>
      </c>
      <c r="B177" s="273">
        <v>91.788541489591694</v>
      </c>
      <c r="C177" s="273">
        <v>87.318128186474794</v>
      </c>
    </row>
    <row r="178" spans="1:3" x14ac:dyDescent="0.2">
      <c r="A178" s="272">
        <v>41730</v>
      </c>
      <c r="B178" s="273">
        <v>92.901523298056702</v>
      </c>
      <c r="C178" s="273">
        <v>87.874102821589005</v>
      </c>
    </row>
    <row r="179" spans="1:3" x14ac:dyDescent="0.2">
      <c r="A179" s="272">
        <v>41760</v>
      </c>
      <c r="B179" s="273">
        <v>92.768311583011695</v>
      </c>
      <c r="C179" s="273">
        <v>87.629170753439197</v>
      </c>
    </row>
    <row r="180" spans="1:3" x14ac:dyDescent="0.2">
      <c r="A180" s="272">
        <v>41791</v>
      </c>
      <c r="B180" s="273">
        <v>93.641855696379196</v>
      </c>
      <c r="C180" s="273">
        <v>87.688007005349505</v>
      </c>
    </row>
    <row r="181" spans="1:3" x14ac:dyDescent="0.2">
      <c r="A181" s="272">
        <v>41821</v>
      </c>
      <c r="B181" s="273">
        <v>94.215639775150905</v>
      </c>
      <c r="C181" s="273">
        <v>88.351553993836902</v>
      </c>
    </row>
    <row r="182" spans="1:3" x14ac:dyDescent="0.2">
      <c r="A182" s="272">
        <v>41852</v>
      </c>
      <c r="B182" s="273">
        <v>93.493081610739296</v>
      </c>
      <c r="C182" s="273">
        <v>88.155027790229994</v>
      </c>
    </row>
    <row r="183" spans="1:3" x14ac:dyDescent="0.2">
      <c r="A183" s="272">
        <v>41883</v>
      </c>
      <c r="B183" s="273">
        <v>94.946029592525605</v>
      </c>
      <c r="C183" s="273">
        <v>89.252051021198099</v>
      </c>
    </row>
    <row r="184" spans="1:3" x14ac:dyDescent="0.2">
      <c r="A184" s="272">
        <v>41913</v>
      </c>
      <c r="B184" s="273">
        <v>93.606690430932403</v>
      </c>
      <c r="C184" s="273">
        <v>88.930562569875406</v>
      </c>
    </row>
    <row r="185" spans="1:3" x14ac:dyDescent="0.2">
      <c r="A185" s="272">
        <v>41944</v>
      </c>
      <c r="B185" s="273">
        <v>93.093253120845603</v>
      </c>
      <c r="C185" s="273">
        <v>88.783082869845103</v>
      </c>
    </row>
    <row r="186" spans="1:3" x14ac:dyDescent="0.2">
      <c r="A186" s="272">
        <v>41974</v>
      </c>
      <c r="B186" s="273">
        <v>94.332866725330305</v>
      </c>
      <c r="C186" s="273">
        <v>90.300923225322805</v>
      </c>
    </row>
    <row r="187" spans="1:3" x14ac:dyDescent="0.2">
      <c r="A187" s="272">
        <v>42005</v>
      </c>
      <c r="B187" s="273">
        <v>95.113896058884507</v>
      </c>
      <c r="C187" s="273">
        <v>90.037255747279801</v>
      </c>
    </row>
    <row r="188" spans="1:3" x14ac:dyDescent="0.2">
      <c r="A188" s="272">
        <v>42036</v>
      </c>
      <c r="B188" s="273">
        <v>95.838674391371498</v>
      </c>
      <c r="C188" s="273">
        <v>90.762214062810301</v>
      </c>
    </row>
    <row r="189" spans="1:3" x14ac:dyDescent="0.2">
      <c r="A189" s="272">
        <v>42064</v>
      </c>
      <c r="B189" s="273">
        <v>96.447886221295406</v>
      </c>
      <c r="C189" s="273">
        <v>91.8310104065974</v>
      </c>
    </row>
    <row r="190" spans="1:3" x14ac:dyDescent="0.2">
      <c r="A190" s="272">
        <v>42095</v>
      </c>
      <c r="B190" s="273">
        <v>95.635181198592505</v>
      </c>
      <c r="C190" s="273">
        <v>91.005044675835506</v>
      </c>
    </row>
    <row r="191" spans="1:3" x14ac:dyDescent="0.2">
      <c r="A191" s="272">
        <v>42125</v>
      </c>
      <c r="B191" s="273">
        <v>95.700798733975603</v>
      </c>
      <c r="C191" s="273">
        <v>90.042065003812098</v>
      </c>
    </row>
    <row r="192" spans="1:3" x14ac:dyDescent="0.2">
      <c r="A192" s="272">
        <v>42156</v>
      </c>
      <c r="B192" s="273">
        <v>96.207222224211705</v>
      </c>
      <c r="C192" s="273">
        <v>90.915559221194698</v>
      </c>
    </row>
    <row r="193" spans="1:3" x14ac:dyDescent="0.2">
      <c r="A193" s="272">
        <v>42186</v>
      </c>
      <c r="B193" s="273">
        <v>97.063106256859399</v>
      </c>
      <c r="C193" s="273">
        <v>91.539087404817195</v>
      </c>
    </row>
    <row r="194" spans="1:3" x14ac:dyDescent="0.2">
      <c r="A194" s="272">
        <v>42217</v>
      </c>
      <c r="B194" s="273">
        <v>95.894179154272294</v>
      </c>
      <c r="C194" s="273">
        <v>91.402053643545699</v>
      </c>
    </row>
    <row r="195" spans="1:3" x14ac:dyDescent="0.2">
      <c r="A195" s="272">
        <v>42248</v>
      </c>
      <c r="B195" s="273">
        <v>97.666802870582998</v>
      </c>
      <c r="C195" s="273">
        <v>91.833031582713701</v>
      </c>
    </row>
    <row r="196" spans="1:3" x14ac:dyDescent="0.2">
      <c r="A196" s="272">
        <v>42278</v>
      </c>
      <c r="B196" s="273">
        <v>98.043811169875994</v>
      </c>
      <c r="C196" s="273">
        <v>92.651214591889698</v>
      </c>
    </row>
    <row r="197" spans="1:3" x14ac:dyDescent="0.2">
      <c r="A197" s="272">
        <v>42309</v>
      </c>
      <c r="B197" s="273">
        <v>97.401389019634394</v>
      </c>
      <c r="C197" s="273">
        <v>91.765261899284397</v>
      </c>
    </row>
    <row r="198" spans="1:3" x14ac:dyDescent="0.2">
      <c r="A198" s="272">
        <v>42339</v>
      </c>
      <c r="B198" s="273">
        <v>97.678776894169104</v>
      </c>
      <c r="C198" s="273">
        <v>91.503505575370596</v>
      </c>
    </row>
    <row r="199" spans="1:3" x14ac:dyDescent="0.2">
      <c r="A199" s="272">
        <v>42370</v>
      </c>
      <c r="B199" s="273">
        <v>98.235742654930505</v>
      </c>
      <c r="C199" s="273">
        <v>91.911594587888999</v>
      </c>
    </row>
    <row r="200" spans="1:3" x14ac:dyDescent="0.2">
      <c r="A200" s="272">
        <v>42401</v>
      </c>
      <c r="B200" s="273">
        <v>100.67655336140299</v>
      </c>
      <c r="C200" s="273">
        <v>93.290708046241903</v>
      </c>
    </row>
    <row r="201" spans="1:3" x14ac:dyDescent="0.2">
      <c r="A201" s="272">
        <v>42430</v>
      </c>
      <c r="B201" s="273">
        <v>98.240195451854007</v>
      </c>
      <c r="C201" s="273">
        <v>91.697509689160299</v>
      </c>
    </row>
    <row r="202" spans="1:3" x14ac:dyDescent="0.2">
      <c r="A202" s="272">
        <v>42461</v>
      </c>
      <c r="B202" s="273">
        <v>98.278281622961899</v>
      </c>
      <c r="C202" s="273">
        <v>92.181873306199094</v>
      </c>
    </row>
    <row r="203" spans="1:3" x14ac:dyDescent="0.2">
      <c r="A203" s="272">
        <v>42491</v>
      </c>
      <c r="B203" s="273">
        <v>97.381368135434499</v>
      </c>
      <c r="C203" s="273">
        <v>91.655881054119106</v>
      </c>
    </row>
    <row r="204" spans="1:3" x14ac:dyDescent="0.2">
      <c r="A204" s="272">
        <v>42522</v>
      </c>
      <c r="B204" s="273">
        <v>98.7701978163565</v>
      </c>
      <c r="C204" s="273">
        <v>93.263022817174104</v>
      </c>
    </row>
    <row r="205" spans="1:3" x14ac:dyDescent="0.2">
      <c r="A205" s="272">
        <v>42552</v>
      </c>
      <c r="B205" s="273">
        <v>97.84801931877</v>
      </c>
      <c r="C205" s="273">
        <v>92.605996067113793</v>
      </c>
    </row>
    <row r="206" spans="1:3" x14ac:dyDescent="0.2">
      <c r="A206" s="272">
        <v>42583</v>
      </c>
      <c r="B206" s="273">
        <v>100.00058456905499</v>
      </c>
      <c r="C206" s="273">
        <v>94.171759014199793</v>
      </c>
    </row>
    <row r="207" spans="1:3" x14ac:dyDescent="0.2">
      <c r="A207" s="272">
        <v>42614</v>
      </c>
      <c r="B207" s="273">
        <v>99.070845013394404</v>
      </c>
      <c r="C207" s="273">
        <v>93.664988816104</v>
      </c>
    </row>
    <row r="208" spans="1:3" x14ac:dyDescent="0.2">
      <c r="A208" s="272">
        <v>42644</v>
      </c>
      <c r="B208" s="273">
        <v>98.519467689875796</v>
      </c>
      <c r="C208" s="273">
        <v>92.772354594627302</v>
      </c>
    </row>
    <row r="209" spans="1:3" x14ac:dyDescent="0.2">
      <c r="A209" s="272">
        <v>42675</v>
      </c>
      <c r="B209" s="273">
        <v>100.148932516955</v>
      </c>
      <c r="C209" s="273">
        <v>94.121933411469499</v>
      </c>
    </row>
    <row r="210" spans="1:3" x14ac:dyDescent="0.2">
      <c r="A210" s="272">
        <v>42705</v>
      </c>
      <c r="B210" s="273">
        <v>99.474836043856996</v>
      </c>
      <c r="C210" s="273">
        <v>94.047009954479194</v>
      </c>
    </row>
    <row r="211" spans="1:3" x14ac:dyDescent="0.2">
      <c r="A211" s="272">
        <v>42736</v>
      </c>
      <c r="B211" s="273">
        <v>100.28209325305301</v>
      </c>
      <c r="C211" s="273">
        <v>95.064244859938498</v>
      </c>
    </row>
    <row r="212" spans="1:3" x14ac:dyDescent="0.2">
      <c r="A212" s="272">
        <v>42767</v>
      </c>
      <c r="B212" s="273">
        <v>99.912689700645203</v>
      </c>
      <c r="C212" s="273">
        <v>93.467441846994404</v>
      </c>
    </row>
    <row r="213" spans="1:3" x14ac:dyDescent="0.2">
      <c r="A213" s="272">
        <v>42795</v>
      </c>
      <c r="B213" s="273">
        <v>100.819322290402</v>
      </c>
      <c r="C213" s="273">
        <v>95.254261132948102</v>
      </c>
    </row>
    <row r="214" spans="1:3" x14ac:dyDescent="0.2">
      <c r="A214" s="272">
        <v>42826</v>
      </c>
      <c r="B214" s="273">
        <v>99.844965159056997</v>
      </c>
      <c r="C214" s="273">
        <v>95.084788850213201</v>
      </c>
    </row>
    <row r="215" spans="1:3" x14ac:dyDescent="0.2">
      <c r="A215" s="272">
        <v>42856</v>
      </c>
      <c r="B215" s="273">
        <v>103.690447142013</v>
      </c>
      <c r="C215" s="273">
        <v>97.183785816696101</v>
      </c>
    </row>
    <row r="216" spans="1:3" x14ac:dyDescent="0.2">
      <c r="A216" s="272">
        <v>42887</v>
      </c>
      <c r="B216" s="273">
        <v>101.097195699731</v>
      </c>
      <c r="C216" s="273">
        <v>96.793147681919805</v>
      </c>
    </row>
    <row r="217" spans="1:3" x14ac:dyDescent="0.2">
      <c r="A217" s="272">
        <v>42917</v>
      </c>
      <c r="B217" s="273">
        <v>102.49821327182001</v>
      </c>
      <c r="C217" s="273">
        <v>96.856168624714797</v>
      </c>
    </row>
    <row r="218" spans="1:3" x14ac:dyDescent="0.2">
      <c r="A218" s="272">
        <v>42948</v>
      </c>
      <c r="B218" s="273">
        <v>104.15351876997001</v>
      </c>
      <c r="C218" s="273">
        <v>97.562644769025297</v>
      </c>
    </row>
    <row r="219" spans="1:3" x14ac:dyDescent="0.2">
      <c r="A219" s="272">
        <v>42979</v>
      </c>
      <c r="B219" s="273">
        <v>102.613865508473</v>
      </c>
      <c r="C219" s="273">
        <v>97.609744724674698</v>
      </c>
    </row>
    <row r="220" spans="1:3" x14ac:dyDescent="0.2">
      <c r="A220" s="272">
        <v>43009</v>
      </c>
      <c r="B220" s="273">
        <v>103.217468047545</v>
      </c>
      <c r="C220" s="273">
        <v>96.858709013091399</v>
      </c>
    </row>
    <row r="221" spans="1:3" x14ac:dyDescent="0.2">
      <c r="A221" s="272">
        <v>43040</v>
      </c>
      <c r="B221" s="273">
        <v>104.651286454238</v>
      </c>
      <c r="C221" s="273">
        <v>98.714503810742698</v>
      </c>
    </row>
    <row r="222" spans="1:3" x14ac:dyDescent="0.2">
      <c r="A222" s="272">
        <v>43070</v>
      </c>
      <c r="B222" s="273">
        <v>104.39602541678499</v>
      </c>
      <c r="C222" s="273">
        <v>99.690424459191505</v>
      </c>
    </row>
    <row r="223" spans="1:3" x14ac:dyDescent="0.2">
      <c r="A223" s="272">
        <v>43101</v>
      </c>
      <c r="B223" s="273">
        <v>104.17852385138499</v>
      </c>
      <c r="C223" s="273">
        <v>98.845408547505897</v>
      </c>
    </row>
    <row r="224" spans="1:3" x14ac:dyDescent="0.2">
      <c r="A224" s="272">
        <v>43132</v>
      </c>
      <c r="B224" s="273">
        <v>102.285205844584</v>
      </c>
      <c r="C224" s="273">
        <v>98.500709602643795</v>
      </c>
    </row>
    <row r="225" spans="1:3" x14ac:dyDescent="0.2">
      <c r="A225" s="272">
        <v>43160</v>
      </c>
      <c r="B225" s="273">
        <v>102.88282055443101</v>
      </c>
      <c r="C225" s="273">
        <v>98.590299456106806</v>
      </c>
    </row>
    <row r="226" spans="1:3" x14ac:dyDescent="0.2">
      <c r="A226" s="272">
        <v>43191</v>
      </c>
      <c r="B226" s="273">
        <v>103.3788452344</v>
      </c>
      <c r="C226" s="273">
        <v>98.295920548579502</v>
      </c>
    </row>
    <row r="227" spans="1:3" x14ac:dyDescent="0.2">
      <c r="A227" s="272">
        <v>43221</v>
      </c>
      <c r="B227" s="273">
        <v>103.385266150191</v>
      </c>
      <c r="C227" s="273">
        <v>98.849850967857904</v>
      </c>
    </row>
    <row r="228" spans="1:3" x14ac:dyDescent="0.2">
      <c r="A228" s="272">
        <v>43252</v>
      </c>
      <c r="B228" s="273">
        <v>103.88699316583801</v>
      </c>
      <c r="C228" s="273">
        <v>99.036871750425107</v>
      </c>
    </row>
    <row r="229" spans="1:3" x14ac:dyDescent="0.2">
      <c r="A229" s="272">
        <v>43282</v>
      </c>
      <c r="B229" s="273">
        <v>104.663742675105</v>
      </c>
      <c r="C229" s="273">
        <v>99.517395648192107</v>
      </c>
    </row>
    <row r="230" spans="1:3" x14ac:dyDescent="0.2">
      <c r="A230" s="272">
        <v>43313</v>
      </c>
      <c r="B230" s="273">
        <v>103.91603246531</v>
      </c>
      <c r="C230" s="273">
        <v>98.831980452566299</v>
      </c>
    </row>
    <row r="231" spans="1:3" x14ac:dyDescent="0.2">
      <c r="A231" s="272">
        <v>43344</v>
      </c>
      <c r="B231" s="273">
        <v>102.398975833245</v>
      </c>
      <c r="C231" s="273">
        <v>98.125806462754298</v>
      </c>
    </row>
    <row r="232" spans="1:3" x14ac:dyDescent="0.2">
      <c r="A232" s="272">
        <v>43374</v>
      </c>
      <c r="B232" s="273">
        <v>104.02100494747999</v>
      </c>
      <c r="C232" s="273">
        <v>99.752760922274703</v>
      </c>
    </row>
    <row r="233" spans="1:3" x14ac:dyDescent="0.2">
      <c r="A233" s="272">
        <v>43405</v>
      </c>
      <c r="B233" s="273">
        <v>102.501610369658</v>
      </c>
      <c r="C233" s="273">
        <v>98.367738336220796</v>
      </c>
    </row>
    <row r="234" spans="1:3" x14ac:dyDescent="0.2">
      <c r="A234" s="272">
        <v>43435</v>
      </c>
      <c r="B234" s="273">
        <v>104.000853953929</v>
      </c>
      <c r="C234" s="273">
        <v>99.125302164573398</v>
      </c>
    </row>
    <row r="235" spans="1:3" x14ac:dyDescent="0.2">
      <c r="A235" s="272">
        <v>43466</v>
      </c>
      <c r="B235" s="273">
        <v>104.356457568895</v>
      </c>
      <c r="C235" s="273">
        <v>99.477951831236297</v>
      </c>
    </row>
    <row r="236" spans="1:3" x14ac:dyDescent="0.2">
      <c r="A236" s="272">
        <v>43497</v>
      </c>
      <c r="B236" s="273">
        <v>103.451854951383</v>
      </c>
      <c r="C236" s="273">
        <v>98.368091724800607</v>
      </c>
    </row>
    <row r="237" spans="1:3" x14ac:dyDescent="0.2">
      <c r="A237" s="272">
        <v>43525</v>
      </c>
      <c r="B237" s="273">
        <v>102.35823194907699</v>
      </c>
      <c r="C237" s="273">
        <v>98.496468653891796</v>
      </c>
    </row>
    <row r="238" spans="1:3" x14ac:dyDescent="0.2">
      <c r="A238" s="272">
        <v>43556</v>
      </c>
      <c r="B238" s="273">
        <v>102.846135745262</v>
      </c>
      <c r="C238" s="273">
        <v>98.015281096109106</v>
      </c>
    </row>
    <row r="239" spans="1:3" x14ac:dyDescent="0.2">
      <c r="A239" s="272">
        <v>43586</v>
      </c>
      <c r="B239" s="273">
        <v>103.583830288671</v>
      </c>
      <c r="C239" s="273">
        <v>99.324938008165802</v>
      </c>
    </row>
    <row r="240" spans="1:3" x14ac:dyDescent="0.2">
      <c r="A240" s="272">
        <v>43617</v>
      </c>
      <c r="B240" s="273">
        <v>101.129122545097</v>
      </c>
      <c r="C240" s="273">
        <v>97.329727048435203</v>
      </c>
    </row>
    <row r="241" spans="1:3" x14ac:dyDescent="0.2">
      <c r="A241" s="272">
        <v>43647</v>
      </c>
      <c r="B241" s="273">
        <v>103.033213576208</v>
      </c>
      <c r="C241" s="273">
        <v>98.819149027683295</v>
      </c>
    </row>
    <row r="242" spans="1:3" x14ac:dyDescent="0.2">
      <c r="A242" s="272">
        <v>43678</v>
      </c>
      <c r="B242" s="273">
        <v>100.884028586151</v>
      </c>
      <c r="C242" s="273">
        <v>98.551394181488504</v>
      </c>
    </row>
    <row r="243" spans="1:3" x14ac:dyDescent="0.2">
      <c r="A243" s="272">
        <v>43709</v>
      </c>
      <c r="B243" s="273">
        <v>102.055858573319</v>
      </c>
      <c r="C243" s="273">
        <v>97.991949115746294</v>
      </c>
    </row>
    <row r="244" spans="1:3" x14ac:dyDescent="0.2">
      <c r="A244" s="272">
        <v>43739</v>
      </c>
      <c r="B244" s="273">
        <v>101.680278474849</v>
      </c>
      <c r="C244" s="273">
        <v>97.991830867229098</v>
      </c>
    </row>
    <row r="245" spans="1:3" x14ac:dyDescent="0.2">
      <c r="A245" s="272">
        <v>43770</v>
      </c>
      <c r="B245" s="273">
        <v>101.15896505105199</v>
      </c>
      <c r="C245" s="273">
        <v>96.860005193057901</v>
      </c>
    </row>
    <row r="246" spans="1:3" x14ac:dyDescent="0.2">
      <c r="A246" s="272">
        <v>43800</v>
      </c>
      <c r="B246" s="273">
        <v>99.116279469549596</v>
      </c>
      <c r="C246" s="273">
        <v>96.499773659962997</v>
      </c>
    </row>
    <row r="247" spans="1:3" x14ac:dyDescent="0.2">
      <c r="A247" s="272">
        <v>43831</v>
      </c>
      <c r="B247" s="273">
        <v>100.62263135147199</v>
      </c>
      <c r="C247" s="273">
        <v>96.493902006505394</v>
      </c>
    </row>
    <row r="248" spans="1:3" x14ac:dyDescent="0.2">
      <c r="A248" s="272">
        <v>43862</v>
      </c>
      <c r="B248" s="273">
        <v>100.453403580874</v>
      </c>
      <c r="C248" s="273">
        <v>95.323448234491394</v>
      </c>
    </row>
    <row r="249" spans="1:3" x14ac:dyDescent="0.2">
      <c r="A249" s="272">
        <v>43891</v>
      </c>
      <c r="B249" s="273">
        <v>89.143204316810895</v>
      </c>
      <c r="C249" s="273">
        <v>91.151269921660102</v>
      </c>
    </row>
    <row r="250" spans="1:3" x14ac:dyDescent="0.2">
      <c r="A250" s="272">
        <v>43922</v>
      </c>
      <c r="B250" s="273">
        <v>75.590498134314402</v>
      </c>
      <c r="C250" s="273">
        <v>80.418124710757994</v>
      </c>
    </row>
    <row r="251" spans="1:3" x14ac:dyDescent="0.2">
      <c r="A251" s="272">
        <v>43952</v>
      </c>
      <c r="B251" s="273">
        <v>81.140589300857101</v>
      </c>
      <c r="C251" s="273">
        <v>81.770344902925501</v>
      </c>
    </row>
    <row r="252" spans="1:3" x14ac:dyDescent="0.2">
      <c r="A252" s="272">
        <v>43983</v>
      </c>
      <c r="B252" s="273">
        <v>88.9362430513807</v>
      </c>
      <c r="C252" s="273">
        <v>87.0833637607697</v>
      </c>
    </row>
    <row r="253" spans="1:3" x14ac:dyDescent="0.2">
      <c r="A253" s="272">
        <v>44013</v>
      </c>
      <c r="B253" s="273">
        <v>92.333256438312702</v>
      </c>
      <c r="C253" s="273">
        <v>91.600186010448198</v>
      </c>
    </row>
    <row r="254" spans="1:3" x14ac:dyDescent="0.2">
      <c r="A254" s="272">
        <v>44044</v>
      </c>
      <c r="B254" s="273">
        <v>93.8719923576122</v>
      </c>
      <c r="C254" s="273">
        <v>93.042894900038306</v>
      </c>
    </row>
    <row r="255" spans="1:3" x14ac:dyDescent="0.2">
      <c r="A255" s="272">
        <v>44075</v>
      </c>
      <c r="B255" s="273">
        <v>96.864148123398806</v>
      </c>
      <c r="C255" s="273">
        <v>95.239354772729101</v>
      </c>
    </row>
    <row r="256" spans="1:3" x14ac:dyDescent="0.2">
      <c r="A256" s="272">
        <v>44105</v>
      </c>
      <c r="B256" s="273">
        <v>96.706662030379405</v>
      </c>
      <c r="C256" s="273">
        <v>96.299603901267304</v>
      </c>
    </row>
    <row r="257" spans="1:3" x14ac:dyDescent="0.2">
      <c r="A257" s="272">
        <v>44136</v>
      </c>
      <c r="B257" s="273">
        <v>98.227156387584699</v>
      </c>
      <c r="C257" s="273">
        <v>98.520728654307106</v>
      </c>
    </row>
    <row r="258" spans="1:3" x14ac:dyDescent="0.2">
      <c r="A258" s="272">
        <v>44166</v>
      </c>
      <c r="B258" s="273">
        <v>97.435880120993602</v>
      </c>
      <c r="C258" s="273">
        <v>98.057612473204003</v>
      </c>
    </row>
    <row r="259" spans="1:3" x14ac:dyDescent="0.2">
      <c r="A259" s="272">
        <v>44197</v>
      </c>
      <c r="B259" s="273">
        <v>96.094463897947904</v>
      </c>
      <c r="C259" s="273">
        <v>97.038481175144398</v>
      </c>
    </row>
    <row r="260" spans="1:3" x14ac:dyDescent="0.2">
      <c r="A260" s="272">
        <v>44228</v>
      </c>
      <c r="B260" s="273">
        <v>96.443911015899801</v>
      </c>
      <c r="C260" s="273">
        <v>97.362324730788202</v>
      </c>
    </row>
    <row r="261" spans="1:3" x14ac:dyDescent="0.2">
      <c r="A261" s="272">
        <v>44256</v>
      </c>
      <c r="B261" s="273">
        <v>100.410548356398</v>
      </c>
      <c r="C261" s="273">
        <v>100.16995012034501</v>
      </c>
    </row>
    <row r="262" spans="1:3" x14ac:dyDescent="0.2">
      <c r="A262" s="272">
        <v>44287</v>
      </c>
      <c r="B262" s="273">
        <v>99.568483912667205</v>
      </c>
      <c r="C262" s="273">
        <v>99.7087432355126</v>
      </c>
    </row>
    <row r="263" spans="1:3" x14ac:dyDescent="0.2">
      <c r="A263" s="272">
        <v>44317</v>
      </c>
      <c r="B263" s="273">
        <v>99.738952916992602</v>
      </c>
      <c r="C263" s="273">
        <v>99.208881070940095</v>
      </c>
    </row>
    <row r="264" spans="1:3" x14ac:dyDescent="0.2">
      <c r="A264" s="272">
        <v>44348</v>
      </c>
      <c r="B264" s="273">
        <v>99.902904185543505</v>
      </c>
      <c r="C264" s="273">
        <v>99.956662876551306</v>
      </c>
    </row>
    <row r="265" spans="1:3" x14ac:dyDescent="0.2">
      <c r="A265" s="272">
        <v>44378</v>
      </c>
      <c r="B265" s="273">
        <v>98.570636748942107</v>
      </c>
      <c r="C265" s="273">
        <v>99.003435134555204</v>
      </c>
    </row>
    <row r="266" spans="1:3" x14ac:dyDescent="0.2">
      <c r="A266" s="272">
        <v>44409</v>
      </c>
      <c r="B266" s="273">
        <v>98.727092805272406</v>
      </c>
      <c r="C266" s="273">
        <v>99.676222201331697</v>
      </c>
    </row>
    <row r="267" spans="1:3" x14ac:dyDescent="0.2">
      <c r="A267" s="272">
        <v>44440</v>
      </c>
      <c r="B267" s="273">
        <v>98.842507999696295</v>
      </c>
      <c r="C267" s="273">
        <v>99.122680293248294</v>
      </c>
    </row>
    <row r="268" spans="1:3" x14ac:dyDescent="0.2">
      <c r="A268" s="272">
        <v>44470</v>
      </c>
      <c r="B268" s="273">
        <v>100.344739717978</v>
      </c>
      <c r="C268" s="273">
        <v>99.051551000785906</v>
      </c>
    </row>
    <row r="269" spans="1:3" x14ac:dyDescent="0.2">
      <c r="A269" s="272">
        <v>44501</v>
      </c>
      <c r="B269" s="273">
        <v>104.258237133088</v>
      </c>
      <c r="C269" s="273">
        <v>103.559733727365</v>
      </c>
    </row>
    <row r="270" spans="1:3" x14ac:dyDescent="0.2">
      <c r="A270" s="272">
        <v>44531</v>
      </c>
      <c r="B270" s="273">
        <v>107.09752130957401</v>
      </c>
      <c r="C270" s="273">
        <v>106.141334433433</v>
      </c>
    </row>
    <row r="271" spans="1:3" x14ac:dyDescent="0.2">
      <c r="A271" s="272">
        <v>44562</v>
      </c>
      <c r="B271" s="273">
        <v>103.502100208389</v>
      </c>
      <c r="C271" s="273">
        <v>104.594332264274</v>
      </c>
    </row>
    <row r="272" spans="1:3" x14ac:dyDescent="0.2">
      <c r="A272" s="272">
        <v>44593</v>
      </c>
      <c r="B272" s="273">
        <v>103.987181743994</v>
      </c>
      <c r="C272" s="273">
        <v>104.09082414106101</v>
      </c>
    </row>
    <row r="273" spans="1:3" x14ac:dyDescent="0.2">
      <c r="A273" s="272">
        <v>44621</v>
      </c>
      <c r="B273" s="273">
        <v>104.019218963432</v>
      </c>
      <c r="C273" s="273">
        <v>105.06161098888499</v>
      </c>
    </row>
    <row r="274" spans="1:3" x14ac:dyDescent="0.2">
      <c r="A274" s="272">
        <v>44652</v>
      </c>
      <c r="B274" s="273">
        <v>106.35659942185799</v>
      </c>
      <c r="C274" s="273">
        <v>105.09684627045699</v>
      </c>
    </row>
    <row r="275" spans="1:3" x14ac:dyDescent="0.2">
      <c r="A275" s="272">
        <v>44682</v>
      </c>
      <c r="B275" s="273">
        <v>107.28471714876299</v>
      </c>
      <c r="C275" s="273">
        <v>106.64019331857401</v>
      </c>
    </row>
    <row r="276" spans="1:3" x14ac:dyDescent="0.2">
      <c r="A276" s="272">
        <v>44713</v>
      </c>
      <c r="B276" s="273">
        <v>105.20962230472099</v>
      </c>
      <c r="C276" s="273">
        <v>105.458797976814</v>
      </c>
    </row>
    <row r="277" spans="1:3" x14ac:dyDescent="0.2">
      <c r="A277" s="272">
        <v>44743</v>
      </c>
      <c r="B277" s="273">
        <v>104.51376894096801</v>
      </c>
      <c r="C277" s="273">
        <v>105.05480128213399</v>
      </c>
    </row>
    <row r="278" spans="1:3" x14ac:dyDescent="0.2">
      <c r="A278" s="272">
        <v>44774</v>
      </c>
      <c r="B278" s="273">
        <v>109.457161392873</v>
      </c>
      <c r="C278" s="273">
        <v>106.803968712857</v>
      </c>
    </row>
    <row r="279" spans="1:3" x14ac:dyDescent="0.2">
      <c r="A279" s="272">
        <v>44805</v>
      </c>
      <c r="B279" s="273">
        <v>107.494962922753</v>
      </c>
      <c r="C279" s="273">
        <v>105.820686753963</v>
      </c>
    </row>
    <row r="280" spans="1:3" x14ac:dyDescent="0.2">
      <c r="A280" s="272">
        <v>44835</v>
      </c>
      <c r="B280" s="273">
        <v>105.12797590665301</v>
      </c>
      <c r="C280" s="273">
        <v>105.195217622519</v>
      </c>
    </row>
    <row r="281" spans="1:3" x14ac:dyDescent="0.2">
      <c r="A281" s="272">
        <v>44866</v>
      </c>
      <c r="B281" s="273">
        <v>104.38210933862</v>
      </c>
      <c r="C281" s="273">
        <v>103.204174308178</v>
      </c>
    </row>
    <row r="282" spans="1:3" x14ac:dyDescent="0.2">
      <c r="A282" s="272">
        <v>44896</v>
      </c>
      <c r="B282" s="273">
        <v>103.231334171268</v>
      </c>
      <c r="C282" s="273">
        <v>103.009146188976</v>
      </c>
    </row>
    <row r="283" spans="1:3" x14ac:dyDescent="0.2">
      <c r="A283" s="272">
        <v>44927</v>
      </c>
      <c r="B283" s="273">
        <v>102.597611812933</v>
      </c>
      <c r="C283" s="273">
        <v>103.158130529712</v>
      </c>
    </row>
    <row r="284" spans="1:3" x14ac:dyDescent="0.2">
      <c r="A284" s="272">
        <v>44958</v>
      </c>
      <c r="B284" s="273">
        <v>102.218226220247</v>
      </c>
      <c r="C284" s="273">
        <v>101.478436153193</v>
      </c>
    </row>
    <row r="285" spans="1:3" x14ac:dyDescent="0.2">
      <c r="A285" s="272">
        <v>44986</v>
      </c>
      <c r="B285" s="273">
        <v>99.318393433276398</v>
      </c>
      <c r="C285" s="273">
        <v>100.345978471373</v>
      </c>
    </row>
    <row r="286" spans="1:3" x14ac:dyDescent="0.2">
      <c r="A286" s="272">
        <v>45017</v>
      </c>
      <c r="B286" s="273">
        <v>101.563014303071</v>
      </c>
      <c r="C286" s="273">
        <v>101.151084136066</v>
      </c>
    </row>
    <row r="287" spans="1:3" x14ac:dyDescent="0.2">
      <c r="A287" s="272">
        <v>45047</v>
      </c>
      <c r="B287" s="273">
        <v>102.853604223083</v>
      </c>
      <c r="C287" s="273">
        <v>101.95912695205701</v>
      </c>
    </row>
    <row r="288" spans="1:3" x14ac:dyDescent="0.2">
      <c r="A288" s="272">
        <v>45078</v>
      </c>
      <c r="B288" s="273">
        <v>100.32761700663799</v>
      </c>
      <c r="C288" s="273">
        <v>100.427821962935</v>
      </c>
    </row>
    <row r="289" spans="1:3" x14ac:dyDescent="0.2">
      <c r="A289" s="272">
        <v>45108</v>
      </c>
      <c r="B289" s="273">
        <v>100.473132030241</v>
      </c>
      <c r="C289" s="273">
        <v>100.86406872086999</v>
      </c>
    </row>
    <row r="290" spans="1:3" x14ac:dyDescent="0.2">
      <c r="A290" s="272">
        <v>45139</v>
      </c>
      <c r="B290" s="273">
        <v>100.317034097118</v>
      </c>
      <c r="C290" s="273">
        <v>100.346848647204</v>
      </c>
    </row>
    <row r="291" spans="1:3" x14ac:dyDescent="0.2">
      <c r="A291" s="272">
        <v>45170</v>
      </c>
      <c r="B291" s="273">
        <v>96.892996785503996</v>
      </c>
      <c r="C291" s="273">
        <v>99.575177528329903</v>
      </c>
    </row>
    <row r="292" spans="1:3" x14ac:dyDescent="0.2">
      <c r="A292" s="272">
        <v>45200</v>
      </c>
      <c r="B292" s="273">
        <v>97.1271210176686</v>
      </c>
      <c r="C292" s="273">
        <v>100.213464966546</v>
      </c>
    </row>
    <row r="293" spans="1:3" x14ac:dyDescent="0.2">
      <c r="A293" s="272">
        <v>45231</v>
      </c>
      <c r="B293" s="273">
        <v>96.557805127729694</v>
      </c>
      <c r="C293" s="273">
        <v>98.690756481226103</v>
      </c>
    </row>
    <row r="294" spans="1:3" x14ac:dyDescent="0.2">
      <c r="A294" s="272">
        <v>45261</v>
      </c>
      <c r="B294" s="273">
        <v>96.238633759922095</v>
      </c>
      <c r="C294" s="273">
        <v>99.708414216312093</v>
      </c>
    </row>
    <row r="295" spans="1:3" x14ac:dyDescent="0.2">
      <c r="A295" s="272">
        <v>45292</v>
      </c>
      <c r="B295" s="273">
        <v>94.131867818654001</v>
      </c>
      <c r="C295" s="273">
        <v>97.764627267679401</v>
      </c>
    </row>
    <row r="296" spans="1:3" x14ac:dyDescent="0.2">
      <c r="A296" s="272">
        <v>45323</v>
      </c>
      <c r="B296" s="273">
        <v>97.100718975112301</v>
      </c>
      <c r="C296" s="273">
        <v>100.118853451174</v>
      </c>
    </row>
    <row r="297" spans="1:3" x14ac:dyDescent="0.2">
      <c r="A297" s="272">
        <v>45352</v>
      </c>
      <c r="B297" s="273">
        <v>95.930256378381401</v>
      </c>
      <c r="C297" s="273">
        <v>99.766824076661393</v>
      </c>
    </row>
    <row r="298" spans="1:3" x14ac:dyDescent="0.2">
      <c r="A298" s="272">
        <v>45383</v>
      </c>
      <c r="B298" s="273">
        <v>97.605316450009596</v>
      </c>
      <c r="C298" s="273">
        <v>101.307613383166</v>
      </c>
    </row>
    <row r="299" spans="1:3" x14ac:dyDescent="0.2">
      <c r="A299" s="272">
        <v>45413</v>
      </c>
      <c r="B299" s="273">
        <v>95.490761829148397</v>
      </c>
      <c r="C299" s="273">
        <v>99.808495195284095</v>
      </c>
    </row>
    <row r="300" spans="1:3" x14ac:dyDescent="0.2">
      <c r="A300" s="272">
        <v>45444</v>
      </c>
      <c r="B300" s="273">
        <v>94.5407132245643</v>
      </c>
      <c r="C300" s="273">
        <v>100.733978384878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E140-43E6-4162-83AA-8FCE9B0C736F}">
  <dimension ref="C1:AG48"/>
  <sheetViews>
    <sheetView zoomScaleNormal="100" workbookViewId="0"/>
  </sheetViews>
  <sheetFormatPr defaultColWidth="8.85546875" defaultRowHeight="12.75" x14ac:dyDescent="0.2"/>
  <cols>
    <col min="1" max="1" width="6.5703125" style="258" bestFit="1" customWidth="1"/>
    <col min="2" max="3" width="5.7109375" style="258" customWidth="1"/>
    <col min="4" max="4" width="6.5703125" style="258" bestFit="1" customWidth="1"/>
    <col min="5" max="31" width="5.7109375" style="258" customWidth="1"/>
    <col min="32" max="16384" width="8.85546875" style="258"/>
  </cols>
  <sheetData>
    <row r="1" spans="3:33" x14ac:dyDescent="0.2">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row>
    <row r="2" spans="3:33" x14ac:dyDescent="0.2">
      <c r="C2" s="275"/>
      <c r="D2" s="275"/>
      <c r="E2" s="275"/>
      <c r="F2" s="275"/>
      <c r="G2" s="275"/>
      <c r="H2" s="275"/>
      <c r="I2" s="275"/>
      <c r="J2" s="275"/>
      <c r="K2" s="275"/>
      <c r="L2" s="275"/>
      <c r="M2" s="275"/>
      <c r="N2" s="275"/>
      <c r="O2" s="275"/>
      <c r="P2" s="275"/>
      <c r="Q2" s="275"/>
      <c r="R2" s="275"/>
      <c r="S2" s="275"/>
      <c r="T2" s="275"/>
      <c r="U2" s="275"/>
      <c r="V2" s="275"/>
      <c r="W2" s="275"/>
      <c r="X2" s="275"/>
      <c r="Y2" s="275"/>
      <c r="Z2" s="275"/>
    </row>
    <row r="6" spans="3:33" x14ac:dyDescent="0.2">
      <c r="D6" s="276"/>
      <c r="E6" s="277">
        <v>44621</v>
      </c>
      <c r="F6" s="277">
        <v>44713</v>
      </c>
      <c r="G6" s="277">
        <v>44805</v>
      </c>
      <c r="H6" s="277">
        <v>44896</v>
      </c>
      <c r="I6" s="277">
        <v>44986</v>
      </c>
      <c r="J6" s="277">
        <v>45078</v>
      </c>
      <c r="K6" s="277">
        <v>45170</v>
      </c>
      <c r="L6" s="277">
        <v>45261</v>
      </c>
      <c r="M6" s="277">
        <v>45352</v>
      </c>
      <c r="N6" s="277">
        <v>45444</v>
      </c>
      <c r="O6" s="277">
        <v>45536</v>
      </c>
      <c r="P6" s="277">
        <v>45627</v>
      </c>
      <c r="Q6" s="277">
        <v>45717</v>
      </c>
      <c r="R6" s="277">
        <v>45809</v>
      </c>
      <c r="S6" s="277">
        <v>45901</v>
      </c>
      <c r="T6" s="277">
        <v>45992</v>
      </c>
      <c r="U6" s="277">
        <v>46082</v>
      </c>
      <c r="V6" s="277">
        <v>46174</v>
      </c>
      <c r="W6" s="277">
        <v>46266</v>
      </c>
      <c r="X6" s="277">
        <v>46357</v>
      </c>
      <c r="Y6" s="277">
        <v>46447</v>
      </c>
      <c r="Z6" s="277">
        <v>46539</v>
      </c>
      <c r="AA6" s="277">
        <v>46631</v>
      </c>
      <c r="AB6" s="277">
        <v>46722</v>
      </c>
      <c r="AC6" s="277">
        <v>46813</v>
      </c>
      <c r="AD6" s="277">
        <v>46905</v>
      </c>
      <c r="AE6" s="277">
        <v>46997</v>
      </c>
      <c r="AF6" s="277">
        <v>47088</v>
      </c>
    </row>
    <row r="7" spans="3:33" x14ac:dyDescent="0.2">
      <c r="D7" s="278" t="s">
        <v>619</v>
      </c>
      <c r="E7" s="278">
        <v>1</v>
      </c>
      <c r="F7" s="278">
        <v>1.0216744058160372</v>
      </c>
      <c r="G7" s="278">
        <v>1.0375203844783585</v>
      </c>
      <c r="H7" s="278">
        <v>1.0609622303400554</v>
      </c>
      <c r="I7" s="278">
        <v>1.0498324036269231</v>
      </c>
      <c r="J7" s="278">
        <v>1.0389499856131934</v>
      </c>
      <c r="K7" s="278">
        <v>1.0307734113076865</v>
      </c>
      <c r="L7" s="278">
        <v>1.0207009873689321</v>
      </c>
      <c r="M7" s="278">
        <v>1.0139646984391466</v>
      </c>
      <c r="N7" s="278">
        <v>1.0230281460258306</v>
      </c>
      <c r="O7" s="278">
        <v>1.0337489943570342</v>
      </c>
      <c r="P7" s="278">
        <v>1.0449865138284582</v>
      </c>
      <c r="Q7" s="278">
        <v>1.0558574165276517</v>
      </c>
      <c r="R7" s="278">
        <v>1.0635368560479166</v>
      </c>
      <c r="S7" s="278">
        <v>1.0714503126582617</v>
      </c>
      <c r="T7" s="278">
        <v>1.0809487643190603</v>
      </c>
      <c r="U7" s="278">
        <v>1.0901625251403739</v>
      </c>
      <c r="V7" s="278">
        <v>1.099310948601111</v>
      </c>
      <c r="W7" s="278">
        <v>1.1072274234552597</v>
      </c>
      <c r="X7" s="278">
        <v>1.115810939008733</v>
      </c>
      <c r="Y7" s="278">
        <v>1.1244538966274351</v>
      </c>
      <c r="Z7" s="278">
        <v>1.1324134328810964</v>
      </c>
      <c r="AA7" s="278">
        <v>1.1401792162735125</v>
      </c>
      <c r="AB7" s="278">
        <v>1.1485589622818715</v>
      </c>
      <c r="AC7" s="278">
        <v>1.1569973164551346</v>
      </c>
      <c r="AD7" s="278">
        <v>1.1666234264019295</v>
      </c>
      <c r="AE7" s="278">
        <v>1.1764439128212838</v>
      </c>
      <c r="AF7" s="278">
        <v>1.1863467306144388</v>
      </c>
      <c r="AG7" s="278"/>
    </row>
    <row r="8" spans="3:33" ht="13.5" thickBot="1" x14ac:dyDescent="0.25">
      <c r="D8" s="279" t="s">
        <v>620</v>
      </c>
      <c r="E8" s="279">
        <v>1</v>
      </c>
      <c r="F8" s="279">
        <v>1.019917665310287</v>
      </c>
      <c r="G8" s="279">
        <v>1.0363688168244249</v>
      </c>
      <c r="H8" s="279">
        <v>1.057681924647949</v>
      </c>
      <c r="I8" s="279">
        <v>1.0490433324787274</v>
      </c>
      <c r="J8" s="279">
        <v>1.0398047615422554</v>
      </c>
      <c r="K8" s="279">
        <v>1.0301459824039896</v>
      </c>
      <c r="L8" s="279">
        <v>1.0184177554084259</v>
      </c>
      <c r="M8" s="279">
        <v>1.0113875960978709</v>
      </c>
      <c r="N8" s="279">
        <v>1.0127844073622103</v>
      </c>
      <c r="O8" s="279">
        <v>1.0165189269228492</v>
      </c>
      <c r="P8" s="279">
        <v>1.0274986688837724</v>
      </c>
      <c r="Q8" s="279">
        <v>1.0371802441803302</v>
      </c>
      <c r="R8" s="279">
        <v>1.0480558909775017</v>
      </c>
      <c r="S8" s="279">
        <v>1.0578928103921406</v>
      </c>
      <c r="T8" s="279">
        <v>1.0690893059792972</v>
      </c>
      <c r="U8" s="279">
        <v>1.0792590102791053</v>
      </c>
      <c r="V8" s="279">
        <v>1.0876139582713247</v>
      </c>
      <c r="W8" s="279">
        <v>1.0947368452606647</v>
      </c>
      <c r="X8" s="279">
        <v>1.1029041124617687</v>
      </c>
      <c r="Y8" s="279">
        <v>1.1111225938611946</v>
      </c>
      <c r="Z8" s="279">
        <v>1.1197366938398141</v>
      </c>
      <c r="AA8" s="279">
        <v>1.1271273367916257</v>
      </c>
      <c r="AB8" s="279">
        <v>1.1351937305343287</v>
      </c>
      <c r="AC8" s="279">
        <v>1.1433156514513925</v>
      </c>
      <c r="AD8" s="279">
        <v>1.1525657699641134</v>
      </c>
      <c r="AE8" s="279">
        <v>1.1620109251971602</v>
      </c>
      <c r="AF8" s="279">
        <v>1.171413610542178</v>
      </c>
      <c r="AG8" s="279"/>
    </row>
    <row r="10" spans="3:33" x14ac:dyDescent="0.2">
      <c r="E10" s="311" t="s">
        <v>833</v>
      </c>
      <c r="F10" s="312"/>
      <c r="G10" s="312"/>
      <c r="H10" s="312"/>
      <c r="I10" s="312"/>
      <c r="J10" s="312"/>
      <c r="K10" s="312"/>
      <c r="L10" s="312"/>
      <c r="M10" s="312"/>
      <c r="N10" s="310"/>
      <c r="O10" s="310"/>
      <c r="P10" s="310"/>
      <c r="V10" s="245" t="s">
        <v>834</v>
      </c>
    </row>
    <row r="28" spans="3:33" x14ac:dyDescent="0.2">
      <c r="R28" s="239" t="s">
        <v>0</v>
      </c>
      <c r="AG28" s="239" t="s">
        <v>209</v>
      </c>
    </row>
    <row r="30" spans="3:33" x14ac:dyDescent="0.2">
      <c r="G30" s="257"/>
      <c r="H30" s="257"/>
      <c r="I30" s="257"/>
      <c r="J30" s="257"/>
      <c r="K30" s="257"/>
      <c r="L30" s="257"/>
    </row>
    <row r="31" spans="3:33" x14ac:dyDescent="0.2">
      <c r="F31" s="280"/>
      <c r="G31" s="280"/>
      <c r="H31" s="280"/>
      <c r="I31" s="280"/>
      <c r="J31" s="280"/>
      <c r="K31" s="280"/>
      <c r="L31" s="280"/>
      <c r="M31" s="281"/>
      <c r="N31" s="281"/>
      <c r="O31" s="281"/>
      <c r="P31" s="281"/>
      <c r="Q31" s="281"/>
      <c r="R31" s="281"/>
      <c r="S31" s="281"/>
      <c r="T31" s="281"/>
      <c r="U31" s="281"/>
      <c r="V31" s="281"/>
      <c r="W31" s="281"/>
      <c r="X31" s="281"/>
      <c r="Y31" s="281"/>
    </row>
    <row r="32" spans="3:33" x14ac:dyDescent="0.2">
      <c r="C32" s="280"/>
      <c r="D32" s="280"/>
      <c r="E32" s="280"/>
      <c r="F32" s="280"/>
      <c r="G32" s="280"/>
      <c r="H32" s="280"/>
      <c r="I32" s="280"/>
      <c r="J32" s="281"/>
      <c r="K32" s="281"/>
      <c r="L32" s="281"/>
      <c r="M32" s="281"/>
      <c r="N32" s="281"/>
      <c r="O32" s="281"/>
      <c r="P32" s="281"/>
      <c r="Q32" s="281"/>
      <c r="R32" s="281"/>
      <c r="S32" s="281"/>
      <c r="T32" s="281"/>
      <c r="U32" s="281"/>
      <c r="V32" s="281"/>
    </row>
    <row r="33" spans="3:22" x14ac:dyDescent="0.2">
      <c r="D33" s="257"/>
      <c r="E33" s="257"/>
      <c r="F33" s="257"/>
      <c r="G33" s="257"/>
      <c r="H33" s="257"/>
      <c r="I33" s="257"/>
    </row>
    <row r="34" spans="3:22" x14ac:dyDescent="0.2">
      <c r="D34" s="257"/>
      <c r="E34" s="257"/>
      <c r="F34" s="257"/>
      <c r="G34" s="257"/>
      <c r="H34" s="257"/>
      <c r="I34" s="257"/>
    </row>
    <row r="35" spans="3:22" x14ac:dyDescent="0.2">
      <c r="D35" s="257"/>
      <c r="E35" s="257"/>
      <c r="F35" s="257"/>
      <c r="G35" s="257"/>
      <c r="H35" s="257"/>
      <c r="I35" s="257"/>
    </row>
    <row r="36" spans="3:22" x14ac:dyDescent="0.2">
      <c r="D36" s="257"/>
      <c r="E36" s="257"/>
      <c r="F36" s="257"/>
      <c r="G36" s="257"/>
      <c r="H36" s="257"/>
      <c r="I36" s="257"/>
    </row>
    <row r="37" spans="3:22" x14ac:dyDescent="0.2">
      <c r="D37" s="257"/>
      <c r="E37" s="257"/>
      <c r="F37" s="257"/>
      <c r="G37" s="257"/>
      <c r="H37" s="257"/>
      <c r="I37" s="257"/>
    </row>
    <row r="38" spans="3:22" x14ac:dyDescent="0.2">
      <c r="D38" s="257"/>
      <c r="E38" s="257"/>
      <c r="F38" s="257"/>
      <c r="G38" s="257"/>
      <c r="H38" s="257"/>
      <c r="I38" s="257"/>
    </row>
    <row r="39" spans="3:22" x14ac:dyDescent="0.2">
      <c r="D39" s="257"/>
      <c r="E39" s="257"/>
      <c r="F39" s="257"/>
      <c r="G39" s="257"/>
      <c r="H39" s="257"/>
      <c r="I39" s="257"/>
    </row>
    <row r="40" spans="3:22" x14ac:dyDescent="0.2">
      <c r="C40" s="280"/>
      <c r="D40" s="280"/>
      <c r="E40" s="280"/>
      <c r="F40" s="280"/>
      <c r="G40" s="280"/>
      <c r="H40" s="280"/>
      <c r="I40" s="280"/>
      <c r="J40" s="281"/>
      <c r="K40" s="281"/>
      <c r="L40" s="281"/>
      <c r="M40" s="281"/>
      <c r="N40" s="281"/>
      <c r="O40" s="281"/>
      <c r="P40" s="281"/>
      <c r="Q40" s="281"/>
      <c r="R40" s="281"/>
      <c r="S40" s="281"/>
      <c r="T40" s="281"/>
      <c r="U40" s="281"/>
      <c r="V40" s="281"/>
    </row>
    <row r="41" spans="3:22" x14ac:dyDescent="0.2">
      <c r="C41" s="280"/>
      <c r="D41" s="280"/>
      <c r="E41" s="280"/>
      <c r="F41" s="280"/>
      <c r="G41" s="280"/>
      <c r="H41" s="280"/>
      <c r="I41" s="280"/>
      <c r="J41" s="281"/>
      <c r="K41" s="281"/>
      <c r="L41" s="281"/>
      <c r="M41" s="281"/>
      <c r="N41" s="281"/>
      <c r="O41" s="281"/>
      <c r="P41" s="281"/>
      <c r="Q41" s="281"/>
      <c r="R41" s="281"/>
      <c r="S41" s="281"/>
      <c r="T41" s="281"/>
      <c r="U41" s="281"/>
      <c r="V41" s="281"/>
    </row>
    <row r="42" spans="3:22" x14ac:dyDescent="0.2">
      <c r="D42" s="257"/>
      <c r="E42" s="257"/>
      <c r="F42" s="257"/>
      <c r="G42" s="257"/>
      <c r="H42" s="257"/>
      <c r="I42" s="257"/>
    </row>
    <row r="43" spans="3:22" x14ac:dyDescent="0.2">
      <c r="D43" s="257"/>
      <c r="E43" s="257"/>
      <c r="F43" s="257"/>
      <c r="G43" s="257"/>
      <c r="H43" s="257"/>
      <c r="I43" s="257"/>
    </row>
    <row r="44" spans="3:22" x14ac:dyDescent="0.2">
      <c r="D44" s="257"/>
      <c r="E44" s="257"/>
      <c r="F44" s="257"/>
      <c r="G44" s="257"/>
      <c r="H44" s="257"/>
      <c r="I44" s="257"/>
    </row>
    <row r="45" spans="3:22" x14ac:dyDescent="0.2">
      <c r="D45" s="257"/>
      <c r="E45" s="257"/>
      <c r="F45" s="257"/>
      <c r="G45" s="257"/>
      <c r="H45" s="257"/>
      <c r="I45" s="257"/>
    </row>
    <row r="46" spans="3:22" x14ac:dyDescent="0.2">
      <c r="D46" s="257"/>
      <c r="E46" s="257"/>
      <c r="F46" s="257"/>
      <c r="G46" s="257"/>
      <c r="H46" s="257"/>
      <c r="I46" s="257"/>
    </row>
    <row r="47" spans="3:22" x14ac:dyDescent="0.2">
      <c r="D47" s="257"/>
      <c r="E47" s="257"/>
      <c r="F47" s="257"/>
      <c r="G47" s="257"/>
      <c r="H47" s="257"/>
      <c r="I47" s="257"/>
    </row>
    <row r="48" spans="3:22" x14ac:dyDescent="0.2">
      <c r="D48" s="257"/>
      <c r="E48" s="257"/>
      <c r="F48" s="257"/>
      <c r="G48" s="257"/>
      <c r="H48" s="257"/>
      <c r="I48" s="25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AC41"/>
  <sheetViews>
    <sheetView workbookViewId="0"/>
  </sheetViews>
  <sheetFormatPr defaultColWidth="8.5703125" defaultRowHeight="12.75" x14ac:dyDescent="0.2"/>
  <cols>
    <col min="1" max="1" width="13.5703125" style="283" customWidth="1"/>
    <col min="2" max="16384" width="8.5703125" style="283"/>
  </cols>
  <sheetData>
    <row r="3" spans="3:16" x14ac:dyDescent="0.2">
      <c r="C3" s="282"/>
      <c r="D3" s="276">
        <v>2022</v>
      </c>
      <c r="E3" s="276">
        <v>2023</v>
      </c>
      <c r="F3" s="276">
        <v>2024</v>
      </c>
      <c r="G3" s="276">
        <v>2025</v>
      </c>
      <c r="H3" s="276">
        <v>2026</v>
      </c>
      <c r="I3" s="276">
        <v>2027</v>
      </c>
      <c r="J3" s="276">
        <v>2028</v>
      </c>
    </row>
    <row r="4" spans="3:16" x14ac:dyDescent="0.2">
      <c r="C4" s="284" t="s">
        <v>619</v>
      </c>
      <c r="D4" s="278">
        <v>8.0831836021288517</v>
      </c>
      <c r="E4" s="278">
        <v>-1.5731536667874191</v>
      </c>
      <c r="F4" s="278">
        <v>1.2969527726797159</v>
      </c>
      <c r="G4" s="278">
        <v>3.5712101920882366</v>
      </c>
      <c r="H4" s="278">
        <v>3.267569260059755</v>
      </c>
      <c r="I4" s="278">
        <v>2.9537111058087984</v>
      </c>
      <c r="J4" s="278">
        <v>3.2239604049806969</v>
      </c>
    </row>
    <row r="5" spans="3:16" ht="13.5" thickBot="1" x14ac:dyDescent="0.25">
      <c r="C5" s="285" t="s">
        <v>620</v>
      </c>
      <c r="D5" s="279">
        <v>8.0567603728124446</v>
      </c>
      <c r="E5" s="279">
        <v>-1.5194683025339883</v>
      </c>
      <c r="F5" s="279">
        <v>-0.14083394155531836</v>
      </c>
      <c r="G5" s="279">
        <v>3.9158638360653919</v>
      </c>
      <c r="H5" s="279">
        <v>3.3396937646380742</v>
      </c>
      <c r="I5" s="279">
        <v>2.9341407209241943</v>
      </c>
      <c r="J5" s="279">
        <v>3.1270141763384718</v>
      </c>
    </row>
    <row r="6" spans="3:16" x14ac:dyDescent="0.2">
      <c r="D6" s="286"/>
      <c r="E6" s="286"/>
      <c r="F6" s="286"/>
      <c r="G6" s="286"/>
      <c r="H6" s="286"/>
      <c r="I6" s="286"/>
    </row>
    <row r="7" spans="3:16" x14ac:dyDescent="0.2">
      <c r="D7" s="287"/>
      <c r="E7" s="287"/>
      <c r="F7" s="287"/>
      <c r="G7" s="287"/>
      <c r="H7" s="287"/>
      <c r="I7" s="287"/>
    </row>
    <row r="8" spans="3:16" x14ac:dyDescent="0.2">
      <c r="D8" s="288"/>
      <c r="E8" s="288"/>
      <c r="F8" s="288"/>
      <c r="G8" s="288"/>
      <c r="H8" s="288"/>
      <c r="I8" s="288"/>
      <c r="K8" s="286"/>
      <c r="L8" s="286"/>
      <c r="M8" s="286"/>
      <c r="N8" s="286"/>
      <c r="O8" s="286"/>
      <c r="P8" s="286"/>
    </row>
    <row r="9" spans="3:16" x14ac:dyDescent="0.2">
      <c r="C9" s="225" t="s">
        <v>849</v>
      </c>
      <c r="D9" s="288"/>
      <c r="E9" s="288"/>
      <c r="F9" s="288"/>
      <c r="G9" s="288"/>
      <c r="H9" s="288"/>
      <c r="I9" s="288"/>
      <c r="J9" s="225"/>
      <c r="K9" s="286"/>
      <c r="M9" s="286"/>
      <c r="N9" s="286"/>
      <c r="O9" s="286"/>
      <c r="P9" s="286"/>
    </row>
    <row r="17" spans="3:29" x14ac:dyDescent="0.2">
      <c r="M17" s="258"/>
      <c r="O17" s="258"/>
      <c r="P17" s="258"/>
      <c r="Q17" s="258"/>
      <c r="R17" s="258"/>
      <c r="S17" s="258"/>
      <c r="T17" s="258"/>
      <c r="U17" s="258"/>
      <c r="V17" s="258"/>
      <c r="W17" s="258"/>
      <c r="X17" s="258"/>
      <c r="Y17" s="258"/>
      <c r="Z17" s="258"/>
      <c r="AA17" s="258"/>
      <c r="AB17" s="258"/>
    </row>
    <row r="18" spans="3:29" x14ac:dyDescent="0.2">
      <c r="M18" s="258"/>
      <c r="N18" s="258"/>
      <c r="O18" s="258"/>
      <c r="P18" s="258"/>
      <c r="Q18" s="258"/>
      <c r="R18" s="258"/>
      <c r="S18" s="258"/>
      <c r="T18" s="258"/>
      <c r="U18" s="258"/>
      <c r="V18" s="258"/>
      <c r="W18" s="258"/>
      <c r="X18" s="258"/>
      <c r="Y18" s="258"/>
      <c r="Z18" s="258"/>
      <c r="AA18" s="258"/>
      <c r="AB18" s="258"/>
      <c r="AC18" s="258"/>
    </row>
    <row r="23" spans="3:29" x14ac:dyDescent="0.2">
      <c r="I23" s="246" t="s">
        <v>0</v>
      </c>
    </row>
    <row r="26" spans="3:29" x14ac:dyDescent="0.2">
      <c r="C26" s="225" t="s">
        <v>850</v>
      </c>
    </row>
    <row r="41" spans="9:9" x14ac:dyDescent="0.2">
      <c r="I41" s="246" t="s">
        <v>209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45"/>
  <sheetViews>
    <sheetView showGridLines="0" zoomScaleNormal="100" workbookViewId="0"/>
  </sheetViews>
  <sheetFormatPr defaultColWidth="8.5703125" defaultRowHeight="12.75" x14ac:dyDescent="0.2"/>
  <cols>
    <col min="1" max="1" width="14.42578125" style="209" bestFit="1" customWidth="1"/>
    <col min="2" max="2" width="8.5703125" style="209"/>
    <col min="3" max="3" width="11.42578125" style="209" customWidth="1"/>
    <col min="4" max="4" width="9.5703125" style="209" customWidth="1"/>
    <col min="5" max="11" width="8.5703125" style="209"/>
    <col min="12" max="13" width="15.42578125" style="209" customWidth="1"/>
    <col min="14" max="14" width="8.5703125" style="209" customWidth="1"/>
    <col min="15" max="16384" width="8.5703125" style="209"/>
  </cols>
  <sheetData>
    <row r="1" spans="1:32" x14ac:dyDescent="0.2">
      <c r="A1" s="289"/>
    </row>
    <row r="4" spans="1:32" x14ac:dyDescent="0.2">
      <c r="L4" s="263" t="s">
        <v>417</v>
      </c>
      <c r="M4" s="263" t="s">
        <v>418</v>
      </c>
      <c r="N4" s="216"/>
      <c r="O4" s="216"/>
      <c r="P4" s="216"/>
      <c r="Q4" s="216"/>
      <c r="R4" s="216"/>
      <c r="S4" s="216"/>
      <c r="T4" s="216"/>
      <c r="U4" s="216"/>
      <c r="V4" s="216"/>
      <c r="W4" s="216"/>
      <c r="X4" s="216"/>
      <c r="Y4" s="216"/>
      <c r="Z4" s="216"/>
      <c r="AA4" s="216"/>
      <c r="AB4" s="216"/>
      <c r="AC4" s="216"/>
      <c r="AD4" s="216"/>
      <c r="AE4" s="216"/>
      <c r="AF4" s="216"/>
    </row>
    <row r="5" spans="1:32" x14ac:dyDescent="0.2">
      <c r="L5" s="243"/>
      <c r="M5" s="243"/>
    </row>
    <row r="6" spans="1:32" x14ac:dyDescent="0.2">
      <c r="B6" s="711" t="s">
        <v>839</v>
      </c>
      <c r="C6" s="712"/>
      <c r="D6" s="712"/>
      <c r="E6" s="712"/>
      <c r="F6" s="712"/>
      <c r="G6" s="712"/>
      <c r="H6" s="712"/>
      <c r="I6" s="712"/>
      <c r="L6" s="243" t="s">
        <v>331</v>
      </c>
      <c r="M6" s="243" t="s">
        <v>332</v>
      </c>
    </row>
    <row r="7" spans="1:32" x14ac:dyDescent="0.2">
      <c r="B7" s="290"/>
      <c r="L7" s="241"/>
      <c r="M7" s="241"/>
      <c r="N7" s="241">
        <v>2019</v>
      </c>
      <c r="O7" s="241">
        <v>2020</v>
      </c>
      <c r="P7" s="241">
        <v>2021</v>
      </c>
      <c r="Q7" s="241">
        <v>2022</v>
      </c>
      <c r="R7" s="241">
        <v>2023</v>
      </c>
      <c r="S7" s="241">
        <v>2024</v>
      </c>
      <c r="T7" s="241">
        <v>2025</v>
      </c>
      <c r="U7" s="241">
        <v>2026</v>
      </c>
      <c r="V7" s="241">
        <v>2027</v>
      </c>
      <c r="W7" s="241">
        <v>2028</v>
      </c>
    </row>
    <row r="8" spans="1:32" x14ac:dyDescent="0.2">
      <c r="B8" s="290"/>
      <c r="L8" s="243" t="s">
        <v>593</v>
      </c>
      <c r="M8" s="243" t="s">
        <v>594</v>
      </c>
      <c r="N8" s="291">
        <v>2.4904522219063585</v>
      </c>
      <c r="O8" s="291">
        <v>-2.7369207813028429</v>
      </c>
      <c r="P8" s="291">
        <v>0.22711301197748668</v>
      </c>
      <c r="Q8" s="291">
        <v>0.28610354967901763</v>
      </c>
      <c r="R8" s="291">
        <v>-0.5102842501479854</v>
      </c>
      <c r="S8" s="291">
        <v>-0.5335595221386602</v>
      </c>
      <c r="T8" s="291">
        <v>-0.56420527405601772</v>
      </c>
      <c r="U8" s="291">
        <v>-0.45075095264367482</v>
      </c>
      <c r="V8" s="291">
        <v>-1.2902342245665777</v>
      </c>
      <c r="W8" s="291">
        <v>-1.1995603010759304</v>
      </c>
    </row>
    <row r="9" spans="1:32" x14ac:dyDescent="0.2">
      <c r="L9" s="292" t="s">
        <v>1002</v>
      </c>
      <c r="M9" s="292" t="s">
        <v>1003</v>
      </c>
      <c r="N9" s="293">
        <v>1.2594000000000001</v>
      </c>
      <c r="O9" s="293">
        <v>-3.2467000000000001</v>
      </c>
      <c r="P9" s="293">
        <v>1.0169999999999999</v>
      </c>
      <c r="Q9" s="293">
        <v>1.2887</v>
      </c>
      <c r="R9" s="293">
        <v>0.2</v>
      </c>
      <c r="S9" s="293">
        <v>-0.1</v>
      </c>
      <c r="T9" s="293">
        <v>-0.2</v>
      </c>
      <c r="U9" s="293">
        <v>-0.4</v>
      </c>
    </row>
    <row r="10" spans="1:32" x14ac:dyDescent="0.2">
      <c r="B10" s="290"/>
      <c r="L10" s="243" t="s">
        <v>592</v>
      </c>
      <c r="M10" s="243" t="s">
        <v>591</v>
      </c>
      <c r="N10" s="291">
        <v>2.4903897370727845</v>
      </c>
      <c r="O10" s="291">
        <v>-2.7371676052152183</v>
      </c>
      <c r="P10" s="291">
        <v>0.22727974492671166</v>
      </c>
      <c r="Q10" s="291">
        <v>0.28516617347584816</v>
      </c>
      <c r="R10" s="291">
        <v>-0.5061520888271942</v>
      </c>
      <c r="S10" s="291">
        <v>-0.31830273935294917</v>
      </c>
      <c r="T10" s="291">
        <v>-7.7618452206551503E-3</v>
      </c>
      <c r="U10" s="291">
        <v>-0.26522811026045146</v>
      </c>
      <c r="V10" s="291">
        <v>-0.35321935505526758</v>
      </c>
      <c r="W10" s="291">
        <v>-0.14794308879300111</v>
      </c>
    </row>
    <row r="11" spans="1:32" x14ac:dyDescent="0.2">
      <c r="B11" s="290"/>
      <c r="L11" s="292" t="s">
        <v>589</v>
      </c>
      <c r="M11" s="292" t="s">
        <v>590</v>
      </c>
      <c r="N11" s="293">
        <v>1.9715206492669557</v>
      </c>
      <c r="O11" s="293">
        <v>-2.7425938373516923</v>
      </c>
      <c r="P11" s="293">
        <v>0.35991408706246286</v>
      </c>
      <c r="Q11" s="293">
        <v>0.56571798704809773</v>
      </c>
      <c r="R11" s="293">
        <v>-0.58541681099330001</v>
      </c>
      <c r="S11" s="293">
        <v>-0.68622420368651404</v>
      </c>
      <c r="T11" s="293">
        <v>-0.25421829838251364</v>
      </c>
      <c r="U11" s="293">
        <v>-0.16947886558842384</v>
      </c>
      <c r="V11" s="293">
        <v>-8.4739432794156411E-2</v>
      </c>
      <c r="W11" s="293">
        <v>0</v>
      </c>
    </row>
    <row r="12" spans="1:32" x14ac:dyDescent="0.2">
      <c r="B12" s="290"/>
      <c r="L12" s="243"/>
      <c r="M12" s="243"/>
      <c r="N12" s="291"/>
      <c r="O12" s="291"/>
      <c r="P12" s="291"/>
      <c r="Q12" s="291"/>
      <c r="R12" s="291"/>
      <c r="S12" s="291"/>
    </row>
    <row r="13" spans="1:32" x14ac:dyDescent="0.2">
      <c r="B13" s="290"/>
      <c r="L13" s="243"/>
      <c r="M13" s="243"/>
      <c r="N13" s="294"/>
    </row>
    <row r="14" spans="1:32" x14ac:dyDescent="0.2">
      <c r="B14" s="290"/>
    </row>
    <row r="15" spans="1:32" x14ac:dyDescent="0.2">
      <c r="B15" s="290"/>
    </row>
    <row r="16" spans="1:32" x14ac:dyDescent="0.2">
      <c r="B16" s="290"/>
      <c r="L16" s="295" t="s">
        <v>564</v>
      </c>
      <c r="M16" s="296"/>
      <c r="N16" s="296"/>
      <c r="O16" s="296"/>
      <c r="P16" s="296"/>
      <c r="Q16" s="296"/>
      <c r="R16" s="296"/>
      <c r="S16" s="296"/>
    </row>
    <row r="17" spans="2:24" ht="26.25" thickBot="1" x14ac:dyDescent="0.25">
      <c r="B17" s="290"/>
      <c r="L17" s="175"/>
      <c r="M17" s="297" t="s">
        <v>454</v>
      </c>
      <c r="N17" s="297" t="s">
        <v>455</v>
      </c>
      <c r="O17" s="297" t="s">
        <v>832</v>
      </c>
      <c r="P17" s="297" t="s">
        <v>456</v>
      </c>
      <c r="Q17" s="297" t="s">
        <v>457</v>
      </c>
      <c r="S17" s="226"/>
    </row>
    <row r="18" spans="2:24" x14ac:dyDescent="0.2">
      <c r="B18" s="290"/>
      <c r="L18" s="141">
        <v>2019</v>
      </c>
      <c r="M18" s="298">
        <v>2.4904522219063585</v>
      </c>
      <c r="N18" s="298">
        <v>2.0047186818716645</v>
      </c>
      <c r="O18" s="298">
        <v>0.94133553060931074</v>
      </c>
      <c r="P18" s="298">
        <v>0.73832075748523995</v>
      </c>
      <c r="Q18" s="298">
        <v>0.31557996964857021</v>
      </c>
      <c r="R18" s="291"/>
      <c r="S18" s="299"/>
      <c r="T18" s="296"/>
    </row>
    <row r="19" spans="2:24" x14ac:dyDescent="0.2">
      <c r="B19" s="290"/>
      <c r="L19" s="141">
        <v>2020</v>
      </c>
      <c r="M19" s="298">
        <v>-2.7369207813028429</v>
      </c>
      <c r="N19" s="302">
        <v>1.8657898171271059</v>
      </c>
      <c r="O19" s="302">
        <v>1.0441230304312654</v>
      </c>
      <c r="P19" s="302">
        <v>0.73996111999702652</v>
      </c>
      <c r="Q19" s="298">
        <v>7.4827067839249653E-2</v>
      </c>
      <c r="R19" s="291"/>
      <c r="S19" s="299"/>
      <c r="T19" s="226"/>
      <c r="U19" s="226"/>
      <c r="V19" s="226"/>
      <c r="W19" s="226"/>
    </row>
    <row r="20" spans="2:24" x14ac:dyDescent="0.2">
      <c r="B20" s="290"/>
      <c r="I20" s="291"/>
      <c r="L20" s="174">
        <v>2021</v>
      </c>
      <c r="M20" s="303">
        <v>0.22711301197748668</v>
      </c>
      <c r="N20" s="304">
        <v>1.6728039251547644</v>
      </c>
      <c r="O20" s="304">
        <v>1.0856249940824236</v>
      </c>
      <c r="P20" s="304">
        <v>0.53593873760541755</v>
      </c>
      <c r="Q20" s="303">
        <v>4.5820779430010478E-2</v>
      </c>
      <c r="R20" s="291"/>
      <c r="S20" s="299"/>
      <c r="T20" s="300"/>
      <c r="U20" s="300"/>
      <c r="V20" s="300"/>
      <c r="W20" s="300"/>
      <c r="X20" s="301"/>
    </row>
    <row r="21" spans="2:24" x14ac:dyDescent="0.2">
      <c r="I21" s="291"/>
      <c r="L21" s="174">
        <v>2022</v>
      </c>
      <c r="M21" s="303">
        <v>0.28610354967901763</v>
      </c>
      <c r="N21" s="304">
        <v>1.8101139562624935</v>
      </c>
      <c r="O21" s="304">
        <v>1.0870044786905009</v>
      </c>
      <c r="P21" s="304">
        <v>0.65204530023342677</v>
      </c>
      <c r="Q21" s="303">
        <v>6.4549069885092056E-2</v>
      </c>
      <c r="R21" s="291"/>
      <c r="S21" s="299"/>
      <c r="T21" s="300"/>
      <c r="U21" s="300"/>
      <c r="V21" s="300"/>
      <c r="W21" s="300"/>
      <c r="X21" s="301"/>
    </row>
    <row r="22" spans="2:24" x14ac:dyDescent="0.2">
      <c r="I22" s="291"/>
      <c r="L22" s="305">
        <v>2023</v>
      </c>
      <c r="M22" s="306">
        <v>-0.5102842501479854</v>
      </c>
      <c r="N22" s="307">
        <v>2.4097066387723354</v>
      </c>
      <c r="O22" s="307">
        <v>1.445636480001089</v>
      </c>
      <c r="P22" s="307">
        <v>0.88744370845773024</v>
      </c>
      <c r="Q22" s="306">
        <v>6.5394366438150206E-2</v>
      </c>
      <c r="R22" s="291"/>
      <c r="S22" s="299"/>
      <c r="T22" s="300"/>
      <c r="U22" s="300"/>
      <c r="V22" s="300"/>
      <c r="W22" s="300"/>
      <c r="X22" s="301"/>
    </row>
    <row r="23" spans="2:24" x14ac:dyDescent="0.2">
      <c r="H23" s="239" t="s">
        <v>843</v>
      </c>
      <c r="I23" s="291"/>
      <c r="J23" s="243"/>
      <c r="L23" s="141" t="s">
        <v>435</v>
      </c>
      <c r="M23" s="298">
        <v>-0.5335595221386602</v>
      </c>
      <c r="N23" s="302">
        <v>2.3240995462908476</v>
      </c>
      <c r="O23" s="302">
        <v>1.3634118284741037</v>
      </c>
      <c r="P23" s="302">
        <v>0.99307506965786496</v>
      </c>
      <c r="Q23" s="298">
        <v>-4.1067455932296631E-2</v>
      </c>
      <c r="R23" s="291"/>
      <c r="S23" s="299"/>
      <c r="T23" s="300"/>
      <c r="U23" s="300"/>
      <c r="V23" s="300"/>
      <c r="W23" s="300"/>
      <c r="X23" s="301"/>
    </row>
    <row r="24" spans="2:24" x14ac:dyDescent="0.2">
      <c r="I24" s="291"/>
      <c r="L24" s="141" t="s">
        <v>436</v>
      </c>
      <c r="M24" s="298">
        <v>-0.56420527405601772</v>
      </c>
      <c r="N24" s="302">
        <v>2.2552938498755726</v>
      </c>
      <c r="O24" s="302">
        <v>1.3271899677548493</v>
      </c>
      <c r="P24" s="302">
        <v>1.0599810374917129</v>
      </c>
      <c r="Q24" s="298">
        <v>-0.13809737979423442</v>
      </c>
      <c r="R24" s="291"/>
      <c r="S24" s="299"/>
      <c r="T24" s="300"/>
      <c r="U24" s="300"/>
      <c r="V24" s="300"/>
      <c r="W24" s="300"/>
      <c r="X24" s="301"/>
    </row>
    <row r="25" spans="2:24" x14ac:dyDescent="0.2">
      <c r="I25" s="291"/>
      <c r="L25" s="141" t="s">
        <v>437</v>
      </c>
      <c r="M25" s="298">
        <v>-0.45075095264367482</v>
      </c>
      <c r="N25" s="302">
        <v>2.2414457852617531</v>
      </c>
      <c r="O25" s="302">
        <v>1.1480042308568583</v>
      </c>
      <c r="P25" s="302">
        <v>1.2485972596738921</v>
      </c>
      <c r="Q25" s="298">
        <v>-0.15938765168776597</v>
      </c>
      <c r="R25" s="291"/>
      <c r="S25" s="299"/>
      <c r="T25" s="300"/>
      <c r="U25" s="300"/>
      <c r="V25" s="300"/>
      <c r="W25" s="300"/>
      <c r="X25" s="301"/>
    </row>
    <row r="26" spans="2:24" x14ac:dyDescent="0.2">
      <c r="I26" s="291"/>
      <c r="L26" s="141" t="s">
        <v>450</v>
      </c>
      <c r="M26" s="298">
        <v>-1.2902342245665777</v>
      </c>
      <c r="N26" s="302">
        <v>1.9038071188105299</v>
      </c>
      <c r="O26" s="302">
        <v>0.96650227200165695</v>
      </c>
      <c r="P26" s="302">
        <v>1.0940353887679493</v>
      </c>
      <c r="Q26" s="298">
        <v>-0.15916697850449543</v>
      </c>
      <c r="S26" s="226"/>
      <c r="T26" s="300"/>
      <c r="U26" s="300"/>
      <c r="V26" s="300"/>
      <c r="W26" s="300"/>
      <c r="X26" s="301"/>
    </row>
    <row r="27" spans="2:24" x14ac:dyDescent="0.2">
      <c r="B27" s="308" t="s">
        <v>840</v>
      </c>
      <c r="I27" s="291"/>
      <c r="L27" s="141" t="s">
        <v>595</v>
      </c>
      <c r="M27" s="298">
        <v>-1.1995603010759304</v>
      </c>
      <c r="N27" s="302">
        <v>1.7979584887821698</v>
      </c>
      <c r="O27" s="302">
        <v>1.0073035643409112</v>
      </c>
      <c r="P27" s="302">
        <v>1.0073514112035378</v>
      </c>
      <c r="Q27" s="298">
        <v>-0.21814938834379421</v>
      </c>
      <c r="S27" s="226"/>
      <c r="T27" s="300"/>
      <c r="U27" s="300"/>
      <c r="V27" s="300"/>
      <c r="W27" s="300"/>
      <c r="X27" s="301"/>
    </row>
    <row r="28" spans="2:24" x14ac:dyDescent="0.2">
      <c r="Q28" s="246" t="s">
        <v>0</v>
      </c>
      <c r="T28" s="300"/>
      <c r="U28" s="300"/>
      <c r="V28" s="300"/>
      <c r="W28" s="300"/>
      <c r="X28" s="301"/>
    </row>
    <row r="29" spans="2:24" x14ac:dyDescent="0.2">
      <c r="T29" s="300"/>
      <c r="U29" s="300"/>
      <c r="V29" s="300"/>
      <c r="W29" s="300"/>
      <c r="X29" s="301"/>
    </row>
    <row r="30" spans="2:24" x14ac:dyDescent="0.2">
      <c r="S30" s="226"/>
      <c r="T30" s="299"/>
      <c r="U30" s="226"/>
      <c r="V30" s="226"/>
      <c r="W30" s="226"/>
    </row>
    <row r="31" spans="2:24" x14ac:dyDescent="0.2">
      <c r="S31" s="226"/>
      <c r="T31" s="299"/>
      <c r="U31" s="226"/>
      <c r="V31" s="226"/>
      <c r="W31" s="226"/>
    </row>
    <row r="32" spans="2:24" x14ac:dyDescent="0.2">
      <c r="L32" s="308" t="s">
        <v>851</v>
      </c>
      <c r="R32" s="291"/>
      <c r="S32" s="299"/>
      <c r="T32" s="299"/>
      <c r="U32" s="226"/>
      <c r="V32" s="226"/>
      <c r="W32" s="226"/>
    </row>
    <row r="33" spans="8:23" x14ac:dyDescent="0.2">
      <c r="R33" s="309"/>
      <c r="S33" s="226"/>
      <c r="T33" s="226"/>
      <c r="U33" s="226"/>
      <c r="V33" s="226"/>
      <c r="W33" s="226"/>
    </row>
    <row r="34" spans="8:23" ht="39" thickBot="1" x14ac:dyDescent="0.25">
      <c r="L34" s="175"/>
      <c r="M34" s="297" t="s">
        <v>458</v>
      </c>
      <c r="N34" s="297" t="s">
        <v>459</v>
      </c>
      <c r="O34" s="297" t="s">
        <v>832</v>
      </c>
      <c r="P34" s="297" t="s">
        <v>460</v>
      </c>
      <c r="Q34" s="297" t="s">
        <v>461</v>
      </c>
      <c r="R34" s="291"/>
      <c r="S34" s="226"/>
      <c r="T34" s="226"/>
      <c r="U34" s="226"/>
      <c r="V34" s="226"/>
      <c r="W34" s="226"/>
    </row>
    <row r="35" spans="8:23" x14ac:dyDescent="0.2">
      <c r="L35" s="141">
        <v>2019</v>
      </c>
      <c r="M35" s="298">
        <v>2.4904522219063585</v>
      </c>
      <c r="N35" s="298">
        <v>2.0047186818716645</v>
      </c>
      <c r="O35" s="298">
        <v>0.94133553060931074</v>
      </c>
      <c r="P35" s="298">
        <v>0.73832075748523995</v>
      </c>
      <c r="Q35" s="298">
        <v>0.31557996964857021</v>
      </c>
      <c r="R35" s="291"/>
      <c r="S35" s="226"/>
      <c r="T35" s="226"/>
      <c r="U35" s="226"/>
      <c r="V35" s="226"/>
      <c r="W35" s="226"/>
    </row>
    <row r="36" spans="8:23" x14ac:dyDescent="0.2">
      <c r="K36" s="291"/>
      <c r="L36" s="141">
        <v>2020</v>
      </c>
      <c r="M36" s="298">
        <v>-2.7369207813028429</v>
      </c>
      <c r="N36" s="302">
        <v>1.8657898171271059</v>
      </c>
      <c r="O36" s="302">
        <v>1.0441230304312654</v>
      </c>
      <c r="P36" s="302">
        <v>0.73996111999702652</v>
      </c>
      <c r="Q36" s="298">
        <v>7.4827067839249653E-2</v>
      </c>
      <c r="R36" s="291"/>
      <c r="S36" s="226"/>
      <c r="T36" s="226"/>
      <c r="U36" s="226"/>
      <c r="V36" s="226"/>
      <c r="W36" s="226"/>
    </row>
    <row r="37" spans="8:23" x14ac:dyDescent="0.2">
      <c r="K37" s="291"/>
      <c r="L37" s="174">
        <v>2021</v>
      </c>
      <c r="M37" s="303">
        <v>0.22711301197748668</v>
      </c>
      <c r="N37" s="304">
        <v>1.6728039251547644</v>
      </c>
      <c r="O37" s="304">
        <v>1.0856249940824236</v>
      </c>
      <c r="P37" s="304">
        <v>0.53593873760541755</v>
      </c>
      <c r="Q37" s="303">
        <v>4.5820779430010478E-2</v>
      </c>
      <c r="R37" s="291"/>
      <c r="S37" s="226"/>
      <c r="T37" s="226"/>
      <c r="U37" s="226"/>
      <c r="V37" s="226"/>
      <c r="W37" s="226"/>
    </row>
    <row r="38" spans="8:23" x14ac:dyDescent="0.2">
      <c r="K38" s="291"/>
      <c r="L38" s="174">
        <v>2022</v>
      </c>
      <c r="M38" s="303">
        <v>0.28610354967901763</v>
      </c>
      <c r="N38" s="304">
        <v>1.8101139562624935</v>
      </c>
      <c r="O38" s="304">
        <v>1.0870044786905009</v>
      </c>
      <c r="P38" s="304">
        <v>0.65204530023342677</v>
      </c>
      <c r="Q38" s="303">
        <v>6.4549069885092056E-2</v>
      </c>
      <c r="R38" s="291"/>
      <c r="S38" s="226"/>
      <c r="T38" s="226"/>
      <c r="U38" s="226"/>
      <c r="V38" s="226"/>
      <c r="W38" s="226"/>
    </row>
    <row r="39" spans="8:23" x14ac:dyDescent="0.2">
      <c r="K39" s="291"/>
      <c r="L39" s="305">
        <v>2023</v>
      </c>
      <c r="M39" s="306">
        <v>-0.5102842501479854</v>
      </c>
      <c r="N39" s="307">
        <v>2.4097066387723354</v>
      </c>
      <c r="O39" s="307">
        <v>1.445636480001089</v>
      </c>
      <c r="P39" s="307">
        <v>0.88744370845773024</v>
      </c>
      <c r="Q39" s="306">
        <v>6.5394366438150206E-2</v>
      </c>
      <c r="S39" s="226"/>
      <c r="T39" s="226"/>
      <c r="U39" s="226"/>
      <c r="V39" s="226"/>
      <c r="W39" s="226"/>
    </row>
    <row r="40" spans="8:23" x14ac:dyDescent="0.2">
      <c r="K40" s="291"/>
      <c r="L40" s="141" t="s">
        <v>435</v>
      </c>
      <c r="M40" s="298">
        <v>-0.5335595221386602</v>
      </c>
      <c r="N40" s="302">
        <v>2.3240995462908476</v>
      </c>
      <c r="O40" s="302">
        <v>1.3634118284741037</v>
      </c>
      <c r="P40" s="302">
        <v>0.99307506965786496</v>
      </c>
      <c r="Q40" s="298">
        <v>-4.1067455932296631E-2</v>
      </c>
      <c r="S40" s="226"/>
      <c r="T40" s="226"/>
      <c r="U40" s="226"/>
      <c r="V40" s="226"/>
      <c r="W40" s="226"/>
    </row>
    <row r="41" spans="8:23" x14ac:dyDescent="0.2">
      <c r="H41" s="239" t="s">
        <v>844</v>
      </c>
      <c r="K41" s="291"/>
      <c r="L41" s="141" t="s">
        <v>436</v>
      </c>
      <c r="M41" s="298">
        <v>-0.56420527405601772</v>
      </c>
      <c r="N41" s="302">
        <v>2.2552938498755726</v>
      </c>
      <c r="O41" s="302">
        <v>1.3271899677548493</v>
      </c>
      <c r="P41" s="302">
        <v>1.0599810374917129</v>
      </c>
      <c r="Q41" s="298">
        <v>-0.13809737979423442</v>
      </c>
      <c r="S41" s="226"/>
      <c r="T41" s="226"/>
      <c r="U41" s="226"/>
      <c r="V41" s="226"/>
      <c r="W41" s="226"/>
    </row>
    <row r="42" spans="8:23" x14ac:dyDescent="0.2">
      <c r="K42" s="291"/>
      <c r="L42" s="141" t="s">
        <v>437</v>
      </c>
      <c r="M42" s="298">
        <v>-0.45075095264367482</v>
      </c>
      <c r="N42" s="302">
        <v>2.2414457852617531</v>
      </c>
      <c r="O42" s="302">
        <v>1.1480042308568583</v>
      </c>
      <c r="P42" s="302">
        <v>1.2485972596738921</v>
      </c>
      <c r="Q42" s="298">
        <v>-0.15938765168776597</v>
      </c>
      <c r="S42" s="226"/>
      <c r="T42" s="226"/>
      <c r="U42" s="226"/>
      <c r="V42" s="226"/>
      <c r="W42" s="226"/>
    </row>
    <row r="43" spans="8:23" x14ac:dyDescent="0.2">
      <c r="K43" s="291"/>
      <c r="L43" s="141" t="s">
        <v>450</v>
      </c>
      <c r="M43" s="298">
        <v>-1.2902342245665777</v>
      </c>
      <c r="N43" s="302">
        <v>1.9038071188105299</v>
      </c>
      <c r="O43" s="302">
        <v>0.96650227200165695</v>
      </c>
      <c r="P43" s="302">
        <v>1.0940353887679493</v>
      </c>
      <c r="Q43" s="298">
        <v>-0.15916697850449543</v>
      </c>
    </row>
    <row r="44" spans="8:23" x14ac:dyDescent="0.2">
      <c r="K44" s="291"/>
      <c r="L44" s="141" t="s">
        <v>595</v>
      </c>
      <c r="M44" s="298">
        <v>-1.1995603010759304</v>
      </c>
      <c r="N44" s="302">
        <v>1.7979584887821698</v>
      </c>
      <c r="O44" s="302">
        <v>1.0073035643409112</v>
      </c>
      <c r="P44" s="302">
        <v>1.0073514112035378</v>
      </c>
      <c r="Q44" s="298">
        <v>-0.21814938834379421</v>
      </c>
    </row>
    <row r="45" spans="8:23" x14ac:dyDescent="0.2">
      <c r="Q45" s="246" t="s">
        <v>209</v>
      </c>
    </row>
  </sheetData>
  <mergeCells count="1">
    <mergeCell ref="B6:I6"/>
  </mergeCells>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árok25"/>
  <dimension ref="A4:AB102"/>
  <sheetViews>
    <sheetView showGridLines="0" zoomScaleNormal="100" workbookViewId="0"/>
  </sheetViews>
  <sheetFormatPr defaultColWidth="9.42578125" defaultRowHeight="12.75" x14ac:dyDescent="0.2"/>
  <cols>
    <col min="1" max="1" width="14.42578125" style="318" bestFit="1" customWidth="1"/>
    <col min="2" max="2" width="28.42578125" style="318" customWidth="1"/>
    <col min="3" max="3" width="30.42578125" style="318" customWidth="1"/>
    <col min="4" max="20" width="6.28515625" style="318" customWidth="1"/>
    <col min="21" max="21" width="8.5703125" style="318" bestFit="1" customWidth="1"/>
    <col min="22" max="22" width="10.42578125" style="318" customWidth="1"/>
    <col min="23" max="16384" width="9.42578125" style="318"/>
  </cols>
  <sheetData>
    <row r="4" spans="2:20" ht="13.5" thickBot="1" x14ac:dyDescent="0.25">
      <c r="B4" s="314"/>
      <c r="C4" s="314"/>
      <c r="D4" s="314"/>
      <c r="E4" s="314"/>
      <c r="F4" s="314"/>
      <c r="G4" s="314"/>
      <c r="H4" s="314"/>
      <c r="I4" s="315"/>
      <c r="J4" s="315"/>
      <c r="K4" s="315"/>
      <c r="L4" s="315"/>
      <c r="M4" s="316"/>
      <c r="N4" s="316"/>
      <c r="O4" s="316"/>
      <c r="P4" s="316"/>
      <c r="Q4" s="316"/>
      <c r="R4" s="316"/>
      <c r="S4" s="316"/>
      <c r="T4" s="317"/>
    </row>
    <row r="5" spans="2:20" x14ac:dyDescent="0.2">
      <c r="B5" s="319" t="s">
        <v>307</v>
      </c>
      <c r="C5" s="319" t="s">
        <v>308</v>
      </c>
      <c r="D5" s="320">
        <v>2008</v>
      </c>
      <c r="E5" s="320">
        <v>2009</v>
      </c>
      <c r="F5" s="320">
        <v>2010</v>
      </c>
      <c r="G5" s="320">
        <v>2011</v>
      </c>
      <c r="H5" s="320">
        <v>2012</v>
      </c>
      <c r="I5" s="320">
        <v>2013</v>
      </c>
      <c r="J5" s="320">
        <v>2014</v>
      </c>
      <c r="K5" s="321">
        <v>2015</v>
      </c>
      <c r="L5" s="321">
        <v>2016</v>
      </c>
      <c r="M5" s="321">
        <v>2017</v>
      </c>
      <c r="N5" s="321">
        <v>2018</v>
      </c>
      <c r="O5" s="321">
        <v>2019</v>
      </c>
      <c r="P5" s="321">
        <v>2020</v>
      </c>
      <c r="Q5" s="321">
        <v>2021</v>
      </c>
      <c r="R5" s="321">
        <v>2022</v>
      </c>
      <c r="S5" s="321">
        <v>2023</v>
      </c>
      <c r="T5" s="321">
        <v>2024</v>
      </c>
    </row>
    <row r="6" spans="2:20" x14ac:dyDescent="0.2">
      <c r="B6" s="322" t="s">
        <v>241</v>
      </c>
      <c r="C6" s="322" t="s">
        <v>242</v>
      </c>
      <c r="D6" s="323">
        <v>-2.5</v>
      </c>
      <c r="E6" s="323">
        <v>-8.1</v>
      </c>
      <c r="F6" s="323">
        <v>-7.5</v>
      </c>
      <c r="G6" s="323">
        <v>-4.3</v>
      </c>
      <c r="H6" s="323">
        <v>-4.4000000000000004</v>
      </c>
      <c r="I6" s="323">
        <v>-2.9</v>
      </c>
      <c r="J6" s="323">
        <v>-3.1</v>
      </c>
      <c r="K6" s="323">
        <v>-2.7</v>
      </c>
      <c r="L6" s="323">
        <v>-2.6</v>
      </c>
      <c r="M6" s="323">
        <v>-1</v>
      </c>
      <c r="N6" s="323">
        <v>-1</v>
      </c>
      <c r="O6" s="323">
        <v>-1.2</v>
      </c>
      <c r="P6" s="323">
        <v>-5.3</v>
      </c>
      <c r="Q6" s="323">
        <v>-5.2</v>
      </c>
      <c r="R6" s="323">
        <v>-1.7</v>
      </c>
      <c r="S6" s="323">
        <v>-4.9000000000000004</v>
      </c>
      <c r="T6" s="323">
        <v>-5.79</v>
      </c>
    </row>
    <row r="7" spans="2:20" x14ac:dyDescent="0.2">
      <c r="B7" s="324" t="s">
        <v>653</v>
      </c>
      <c r="C7" s="324" t="s">
        <v>243</v>
      </c>
      <c r="D7" s="325"/>
      <c r="E7" s="325"/>
      <c r="F7" s="325"/>
      <c r="G7" s="325"/>
      <c r="H7" s="325"/>
      <c r="I7" s="325"/>
      <c r="J7" s="325"/>
      <c r="K7" s="325"/>
      <c r="L7" s="325"/>
      <c r="M7" s="325"/>
      <c r="N7" s="325"/>
      <c r="O7" s="325"/>
      <c r="P7" s="325"/>
      <c r="Q7" s="325"/>
      <c r="R7" s="326"/>
      <c r="S7" s="326"/>
      <c r="T7" s="326">
        <v>-5.976147865853668</v>
      </c>
    </row>
    <row r="8" spans="2:20" x14ac:dyDescent="0.2">
      <c r="B8" s="327" t="s">
        <v>646</v>
      </c>
      <c r="C8" s="327" t="s">
        <v>647</v>
      </c>
      <c r="D8" s="328"/>
      <c r="E8" s="328">
        <v>-10</v>
      </c>
      <c r="F8" s="328">
        <v>-10</v>
      </c>
      <c r="G8" s="328"/>
      <c r="H8" s="328"/>
      <c r="I8" s="328"/>
      <c r="J8" s="328"/>
      <c r="K8" s="328"/>
      <c r="L8" s="328"/>
      <c r="M8" s="328"/>
      <c r="N8" s="328"/>
      <c r="O8" s="328"/>
      <c r="P8" s="328"/>
      <c r="Q8" s="328"/>
      <c r="R8" s="328"/>
      <c r="S8" s="328"/>
      <c r="T8" s="328"/>
    </row>
    <row r="9" spans="2:20" x14ac:dyDescent="0.2">
      <c r="B9" s="327" t="s">
        <v>648</v>
      </c>
      <c r="C9" s="327" t="s">
        <v>648</v>
      </c>
      <c r="D9" s="328"/>
      <c r="E9" s="328"/>
      <c r="F9" s="328"/>
      <c r="G9" s="328"/>
      <c r="H9" s="328"/>
      <c r="I9" s="328"/>
      <c r="J9" s="328"/>
      <c r="K9" s="328"/>
      <c r="L9" s="328"/>
      <c r="M9" s="328"/>
      <c r="N9" s="328"/>
      <c r="O9" s="328"/>
      <c r="P9" s="328">
        <v>-10</v>
      </c>
      <c r="Q9" s="328">
        <v>-10</v>
      </c>
      <c r="R9" s="328"/>
      <c r="S9" s="328"/>
      <c r="T9" s="328"/>
    </row>
    <row r="10" spans="2:20" x14ac:dyDescent="0.2">
      <c r="B10" s="327" t="s">
        <v>649</v>
      </c>
      <c r="C10" s="327" t="s">
        <v>650</v>
      </c>
      <c r="D10" s="328"/>
      <c r="E10" s="328"/>
      <c r="F10" s="328"/>
      <c r="G10" s="328"/>
      <c r="H10" s="328"/>
      <c r="I10" s="328"/>
      <c r="J10" s="328"/>
      <c r="K10" s="328"/>
      <c r="L10" s="328"/>
      <c r="M10" s="328"/>
      <c r="N10" s="328"/>
      <c r="O10" s="328"/>
      <c r="P10" s="328"/>
      <c r="Q10" s="328"/>
      <c r="R10" s="328">
        <v>-10</v>
      </c>
      <c r="S10" s="328">
        <v>-10</v>
      </c>
      <c r="T10" s="328">
        <v>-10</v>
      </c>
    </row>
    <row r="11" spans="2:20" ht="13.5" thickBot="1" x14ac:dyDescent="0.25">
      <c r="B11" s="329" t="s">
        <v>651</v>
      </c>
      <c r="C11" s="329" t="s">
        <v>652</v>
      </c>
      <c r="D11" s="330">
        <v>-3</v>
      </c>
      <c r="E11" s="330">
        <v>-3</v>
      </c>
      <c r="F11" s="330">
        <v>-3</v>
      </c>
      <c r="G11" s="330">
        <v>-3</v>
      </c>
      <c r="H11" s="330">
        <v>-3</v>
      </c>
      <c r="I11" s="330">
        <v>-3</v>
      </c>
      <c r="J11" s="330">
        <v>-3</v>
      </c>
      <c r="K11" s="330">
        <v>-3</v>
      </c>
      <c r="L11" s="330">
        <v>-3</v>
      </c>
      <c r="M11" s="330">
        <v>-3</v>
      </c>
      <c r="N11" s="330">
        <v>-3</v>
      </c>
      <c r="O11" s="330">
        <v>-3</v>
      </c>
      <c r="P11" s="330">
        <v>-3</v>
      </c>
      <c r="Q11" s="330">
        <v>-3</v>
      </c>
      <c r="R11" s="330">
        <v>-3</v>
      </c>
      <c r="S11" s="330">
        <v>-3</v>
      </c>
      <c r="T11" s="330">
        <v>-3</v>
      </c>
    </row>
    <row r="12" spans="2:20" x14ac:dyDescent="0.2">
      <c r="B12" s="322"/>
      <c r="C12" s="322"/>
      <c r="D12" s="209"/>
      <c r="E12" s="209"/>
      <c r="F12" s="209"/>
      <c r="G12" s="209"/>
      <c r="H12" s="209"/>
      <c r="I12" s="209"/>
      <c r="J12" s="209"/>
      <c r="K12" s="209"/>
      <c r="L12" s="209"/>
      <c r="M12" s="209"/>
      <c r="N12" s="209"/>
      <c r="O12" s="209"/>
      <c r="P12" s="209"/>
      <c r="Q12" s="209"/>
      <c r="R12" s="331"/>
    </row>
    <row r="13" spans="2:20" x14ac:dyDescent="0.2">
      <c r="B13" s="332" t="s">
        <v>664</v>
      </c>
      <c r="C13" s="322"/>
      <c r="D13" s="209"/>
      <c r="E13" s="209"/>
      <c r="F13" s="209"/>
      <c r="G13" s="209"/>
      <c r="H13" s="209"/>
      <c r="I13" s="332" t="s">
        <v>665</v>
      </c>
      <c r="J13" s="209"/>
      <c r="K13" s="209"/>
      <c r="L13" s="209"/>
      <c r="M13" s="209"/>
      <c r="N13" s="209"/>
      <c r="O13" s="209"/>
      <c r="P13" s="209"/>
      <c r="Q13" s="209"/>
      <c r="R13" s="331"/>
    </row>
    <row r="14" spans="2:20" x14ac:dyDescent="0.2">
      <c r="B14" s="322"/>
      <c r="C14" s="322"/>
      <c r="D14" s="209"/>
      <c r="E14" s="209"/>
      <c r="F14" s="209"/>
      <c r="G14" s="209"/>
      <c r="H14" s="209"/>
      <c r="I14" s="209"/>
      <c r="J14" s="209"/>
      <c r="K14" s="209"/>
      <c r="L14" s="209"/>
      <c r="M14" s="209"/>
      <c r="N14" s="209"/>
      <c r="O14" s="209"/>
      <c r="P14" s="209"/>
      <c r="Q14" s="209"/>
      <c r="R14" s="331"/>
    </row>
    <row r="15" spans="2:20" x14ac:dyDescent="0.2">
      <c r="B15" s="322"/>
      <c r="C15" s="322"/>
      <c r="D15" s="209"/>
      <c r="E15" s="209"/>
      <c r="F15" s="209"/>
      <c r="G15" s="209"/>
      <c r="H15" s="209"/>
      <c r="I15" s="209"/>
      <c r="J15" s="209"/>
      <c r="K15" s="209"/>
      <c r="L15" s="209"/>
      <c r="M15" s="209"/>
      <c r="N15" s="209"/>
      <c r="O15" s="209"/>
      <c r="P15" s="209"/>
      <c r="Q15" s="209"/>
      <c r="R15" s="331"/>
    </row>
    <row r="16" spans="2:20" x14ac:dyDescent="0.2">
      <c r="B16" s="322"/>
      <c r="C16" s="322"/>
      <c r="D16" s="209"/>
      <c r="E16" s="209"/>
      <c r="F16" s="209"/>
      <c r="G16" s="209"/>
      <c r="H16" s="209"/>
      <c r="I16" s="209"/>
      <c r="J16" s="209"/>
      <c r="K16" s="209"/>
      <c r="L16" s="209"/>
      <c r="M16" s="209"/>
      <c r="N16" s="209"/>
      <c r="O16" s="209"/>
      <c r="P16" s="209"/>
      <c r="Q16" s="209"/>
      <c r="R16" s="331"/>
    </row>
    <row r="17" spans="2:19" x14ac:dyDescent="0.2">
      <c r="B17" s="322"/>
      <c r="C17" s="322"/>
      <c r="D17" s="209"/>
      <c r="E17" s="209"/>
      <c r="F17" s="209"/>
      <c r="G17" s="209"/>
      <c r="H17" s="209"/>
      <c r="I17" s="209"/>
      <c r="J17" s="209"/>
      <c r="K17" s="209"/>
      <c r="L17" s="209"/>
      <c r="M17" s="209"/>
      <c r="N17" s="209"/>
      <c r="O17" s="209"/>
      <c r="P17" s="209"/>
      <c r="Q17" s="209"/>
      <c r="R17" s="331"/>
    </row>
    <row r="29" spans="2:19" x14ac:dyDescent="0.2">
      <c r="D29" s="239" t="s">
        <v>0</v>
      </c>
      <c r="R29" s="239"/>
      <c r="S29" s="239" t="s">
        <v>209</v>
      </c>
    </row>
    <row r="32" spans="2:19" ht="13.5" thickBot="1" x14ac:dyDescent="0.25">
      <c r="B32" s="333"/>
      <c r="C32" s="333"/>
      <c r="D32" s="333"/>
      <c r="E32" s="332"/>
      <c r="F32" s="332"/>
      <c r="G32" s="332"/>
      <c r="H32" s="332"/>
      <c r="I32" s="334"/>
      <c r="J32" s="334"/>
      <c r="K32" s="334"/>
      <c r="L32" s="334"/>
    </row>
    <row r="33" spans="1:28" x14ac:dyDescent="0.2">
      <c r="B33" s="319" t="s">
        <v>309</v>
      </c>
      <c r="C33" s="319" t="s">
        <v>310</v>
      </c>
      <c r="D33" s="335" t="s">
        <v>311</v>
      </c>
      <c r="E33" s="332"/>
      <c r="F33" s="332" t="s">
        <v>666</v>
      </c>
      <c r="G33" s="332"/>
      <c r="H33" s="334"/>
      <c r="I33" s="334"/>
      <c r="J33" s="334"/>
      <c r="K33" s="334"/>
      <c r="L33" s="334"/>
      <c r="O33" s="334"/>
      <c r="T33" s="332" t="s">
        <v>667</v>
      </c>
      <c r="U33" s="334"/>
      <c r="V33" s="334"/>
      <c r="W33" s="334"/>
      <c r="X33" s="334"/>
    </row>
    <row r="34" spans="1:28" x14ac:dyDescent="0.2">
      <c r="B34" s="145" t="s">
        <v>244</v>
      </c>
      <c r="C34" s="336" t="s">
        <v>174</v>
      </c>
      <c r="D34" s="337">
        <v>6.1716161062452999</v>
      </c>
    </row>
    <row r="35" spans="1:28" x14ac:dyDescent="0.2">
      <c r="B35" s="146" t="s">
        <v>245</v>
      </c>
      <c r="C35" s="318" t="s">
        <v>249</v>
      </c>
      <c r="D35" s="338">
        <v>8.4447009706329688</v>
      </c>
    </row>
    <row r="36" spans="1:28" x14ac:dyDescent="0.2">
      <c r="B36" s="146" t="s">
        <v>72</v>
      </c>
      <c r="C36" s="318" t="s">
        <v>668</v>
      </c>
      <c r="D36" s="338">
        <v>3.9784195223584415</v>
      </c>
    </row>
    <row r="37" spans="1:28" x14ac:dyDescent="0.2">
      <c r="B37" s="147" t="s">
        <v>5</v>
      </c>
      <c r="C37" s="336" t="s">
        <v>250</v>
      </c>
      <c r="D37" s="339">
        <v>7.1106900430175184</v>
      </c>
    </row>
    <row r="38" spans="1:28" x14ac:dyDescent="0.2">
      <c r="B38" s="146" t="s">
        <v>246</v>
      </c>
      <c r="C38" s="318" t="s">
        <v>251</v>
      </c>
      <c r="D38" s="338">
        <v>6.6300892387528494</v>
      </c>
    </row>
    <row r="39" spans="1:28" x14ac:dyDescent="0.2">
      <c r="B39" s="146" t="s">
        <v>13</v>
      </c>
      <c r="C39" s="318" t="s">
        <v>175</v>
      </c>
      <c r="D39" s="338">
        <v>11.184398784921918</v>
      </c>
    </row>
    <row r="40" spans="1:28" x14ac:dyDescent="0.2">
      <c r="B40" s="146" t="s">
        <v>15</v>
      </c>
      <c r="C40" s="318" t="s">
        <v>252</v>
      </c>
      <c r="D40" s="338">
        <v>32.06260969525561</v>
      </c>
    </row>
    <row r="41" spans="1:28" x14ac:dyDescent="0.2">
      <c r="B41" s="146" t="s">
        <v>247</v>
      </c>
      <c r="C41" s="318" t="s">
        <v>253</v>
      </c>
      <c r="D41" s="338">
        <v>9.7240937338824658</v>
      </c>
    </row>
    <row r="42" spans="1:28" x14ac:dyDescent="0.2">
      <c r="B42" s="146" t="s">
        <v>248</v>
      </c>
      <c r="C42" s="318" t="s">
        <v>254</v>
      </c>
      <c r="D42" s="338">
        <v>23.808359873557816</v>
      </c>
    </row>
    <row r="43" spans="1:28" x14ac:dyDescent="0.2">
      <c r="B43" s="146" t="s">
        <v>32</v>
      </c>
      <c r="C43" s="318" t="s">
        <v>255</v>
      </c>
      <c r="D43" s="338">
        <v>0.35192559933538253</v>
      </c>
    </row>
    <row r="44" spans="1:28" ht="13.5" thickBot="1" x14ac:dyDescent="0.25">
      <c r="B44" s="153" t="s">
        <v>149</v>
      </c>
      <c r="C44" s="316" t="s">
        <v>663</v>
      </c>
      <c r="D44" s="340">
        <v>2.5798102881243845</v>
      </c>
    </row>
    <row r="45" spans="1:28" x14ac:dyDescent="0.2">
      <c r="D45" s="341" t="s">
        <v>0</v>
      </c>
    </row>
    <row r="46" spans="1:28" x14ac:dyDescent="0.2">
      <c r="D46" s="341" t="s">
        <v>209</v>
      </c>
      <c r="E46" s="342"/>
      <c r="F46" s="342"/>
      <c r="H46" s="341"/>
      <c r="I46" s="341"/>
      <c r="J46" s="341"/>
      <c r="K46" s="341"/>
      <c r="L46" s="341"/>
      <c r="M46" s="343"/>
      <c r="N46" s="343"/>
      <c r="O46" s="342"/>
      <c r="T46" s="342"/>
      <c r="U46" s="344"/>
      <c r="W46" s="344"/>
    </row>
    <row r="47" spans="1:28" x14ac:dyDescent="0.2">
      <c r="B47" s="345"/>
      <c r="C47" s="345"/>
      <c r="D47" s="345"/>
      <c r="E47" s="345"/>
      <c r="F47" s="345"/>
      <c r="G47" s="345"/>
      <c r="H47" s="345"/>
      <c r="I47" s="345"/>
      <c r="J47" s="345"/>
      <c r="K47" s="345"/>
      <c r="L47" s="345"/>
      <c r="M47" s="346"/>
      <c r="N47" s="343"/>
      <c r="O47" s="342"/>
      <c r="U47" s="344"/>
      <c r="W47" s="344"/>
    </row>
    <row r="48" spans="1:28" x14ac:dyDescent="0.2">
      <c r="A48" s="342"/>
      <c r="B48" s="347"/>
      <c r="C48" s="347"/>
      <c r="D48" s="348"/>
      <c r="E48" s="345"/>
      <c r="F48" s="345"/>
      <c r="G48" s="345"/>
      <c r="H48" s="345"/>
      <c r="M48" s="246" t="s">
        <v>0</v>
      </c>
      <c r="Y48" s="246" t="s">
        <v>209</v>
      </c>
      <c r="AB48" s="239"/>
    </row>
    <row r="49" spans="2:19" x14ac:dyDescent="0.2">
      <c r="B49" s="345"/>
      <c r="C49" s="345"/>
      <c r="D49" s="349"/>
      <c r="E49" s="345"/>
      <c r="F49" s="345"/>
      <c r="G49" s="345"/>
      <c r="H49" s="345"/>
      <c r="I49" s="345"/>
      <c r="J49" s="345"/>
      <c r="K49" s="345"/>
      <c r="L49" s="345"/>
      <c r="M49" s="343"/>
      <c r="N49" s="343"/>
      <c r="O49" s="342"/>
      <c r="Q49" s="344"/>
      <c r="S49" s="344"/>
    </row>
    <row r="50" spans="2:19" x14ac:dyDescent="0.2">
      <c r="B50" s="347"/>
      <c r="C50" s="347"/>
      <c r="D50" s="349"/>
      <c r="E50" s="345"/>
      <c r="F50" s="345"/>
      <c r="G50" s="345"/>
      <c r="H50" s="345"/>
      <c r="I50" s="345"/>
      <c r="J50" s="345"/>
      <c r="K50" s="345"/>
      <c r="L50" s="345"/>
      <c r="M50" s="343"/>
      <c r="N50" s="343"/>
      <c r="O50" s="342"/>
      <c r="S50" s="344"/>
    </row>
    <row r="51" spans="2:19" x14ac:dyDescent="0.2">
      <c r="B51" s="350"/>
      <c r="C51" s="350"/>
      <c r="D51" s="351"/>
      <c r="E51" s="345"/>
      <c r="F51" s="345"/>
      <c r="G51" s="345"/>
      <c r="H51" s="352"/>
      <c r="I51" s="352"/>
      <c r="J51" s="352"/>
      <c r="K51" s="352"/>
      <c r="L51" s="352"/>
      <c r="N51" s="343"/>
      <c r="O51" s="342"/>
      <c r="S51" s="344"/>
    </row>
    <row r="52" spans="2:19" x14ac:dyDescent="0.2">
      <c r="B52" s="345"/>
      <c r="C52" s="345"/>
      <c r="D52" s="345"/>
      <c r="E52" s="345"/>
      <c r="F52" s="345"/>
      <c r="G52" s="345"/>
      <c r="H52" s="345"/>
      <c r="I52" s="345"/>
      <c r="J52" s="345"/>
      <c r="K52" s="345"/>
      <c r="L52" s="345"/>
      <c r="N52" s="343"/>
      <c r="O52" s="342"/>
      <c r="S52" s="344"/>
    </row>
    <row r="53" spans="2:19" x14ac:dyDescent="0.2">
      <c r="B53" s="350"/>
      <c r="C53" s="350"/>
      <c r="D53" s="351"/>
      <c r="E53" s="345"/>
      <c r="F53" s="345"/>
      <c r="G53" s="345"/>
      <c r="H53" s="345"/>
      <c r="I53" s="345"/>
      <c r="J53" s="345"/>
      <c r="K53" s="345"/>
      <c r="L53" s="345"/>
      <c r="M53" s="343"/>
      <c r="N53" s="343"/>
      <c r="O53" s="342"/>
      <c r="S53" s="344"/>
    </row>
    <row r="54" spans="2:19" x14ac:dyDescent="0.2">
      <c r="B54" s="345"/>
      <c r="C54" s="345"/>
      <c r="D54" s="345"/>
      <c r="E54" s="345"/>
      <c r="F54" s="345"/>
      <c r="G54" s="345"/>
      <c r="H54" s="345"/>
      <c r="I54" s="345"/>
      <c r="J54" s="345"/>
      <c r="K54" s="345"/>
      <c r="L54" s="345"/>
      <c r="M54" s="343"/>
      <c r="N54" s="343"/>
      <c r="O54" s="342"/>
      <c r="S54" s="344"/>
    </row>
    <row r="55" spans="2:19" x14ac:dyDescent="0.2">
      <c r="B55" s="347"/>
      <c r="C55" s="347"/>
      <c r="D55" s="349"/>
      <c r="E55" s="345"/>
      <c r="F55" s="345"/>
      <c r="G55" s="345"/>
      <c r="H55" s="345"/>
      <c r="I55" s="345"/>
      <c r="J55" s="345"/>
      <c r="K55" s="345"/>
      <c r="L55" s="345"/>
      <c r="M55" s="343"/>
      <c r="N55" s="343"/>
      <c r="O55" s="342"/>
      <c r="S55" s="344"/>
    </row>
    <row r="56" spans="2:19" x14ac:dyDescent="0.2">
      <c r="B56" s="345"/>
      <c r="C56" s="345"/>
      <c r="D56" s="349"/>
      <c r="E56" s="345"/>
      <c r="F56" s="345"/>
      <c r="G56" s="345"/>
      <c r="H56" s="345"/>
      <c r="I56" s="345"/>
      <c r="J56" s="345"/>
      <c r="K56" s="345"/>
      <c r="L56" s="345"/>
      <c r="M56" s="343"/>
      <c r="N56" s="343"/>
      <c r="O56" s="342"/>
      <c r="S56" s="344"/>
    </row>
    <row r="57" spans="2:19" x14ac:dyDescent="0.2">
      <c r="B57" s="345"/>
      <c r="C57" s="345"/>
      <c r="D57" s="345"/>
      <c r="E57" s="345"/>
      <c r="F57" s="345"/>
      <c r="G57" s="345"/>
      <c r="H57" s="345"/>
      <c r="I57" s="345"/>
      <c r="J57" s="345"/>
      <c r="K57" s="345"/>
      <c r="L57" s="345"/>
      <c r="M57" s="343"/>
      <c r="N57" s="343"/>
      <c r="S57" s="344"/>
    </row>
    <row r="58" spans="2:19" x14ac:dyDescent="0.2">
      <c r="B58" s="345"/>
      <c r="C58" s="345"/>
      <c r="D58" s="345"/>
      <c r="E58" s="345"/>
      <c r="F58" s="345"/>
      <c r="G58" s="345"/>
      <c r="H58" s="345"/>
      <c r="I58" s="345"/>
      <c r="J58" s="345"/>
      <c r="K58" s="345"/>
      <c r="L58" s="345"/>
      <c r="M58" s="343"/>
      <c r="N58" s="343"/>
      <c r="O58" s="344"/>
      <c r="Q58" s="344"/>
      <c r="S58" s="344"/>
    </row>
    <row r="59" spans="2:19" x14ac:dyDescent="0.2">
      <c r="B59" s="345"/>
      <c r="C59" s="345"/>
      <c r="D59" s="345"/>
      <c r="E59" s="345"/>
      <c r="F59" s="345"/>
      <c r="G59" s="345"/>
      <c r="H59" s="345"/>
      <c r="I59" s="345"/>
      <c r="J59" s="345"/>
      <c r="K59" s="345"/>
      <c r="L59" s="345"/>
      <c r="M59" s="343"/>
      <c r="N59" s="343"/>
      <c r="O59" s="344"/>
      <c r="Q59" s="344"/>
    </row>
    <row r="60" spans="2:19" x14ac:dyDescent="0.2">
      <c r="B60" s="344"/>
      <c r="C60" s="344"/>
      <c r="D60" s="349"/>
      <c r="E60" s="345"/>
      <c r="F60" s="345"/>
      <c r="G60" s="345"/>
      <c r="H60" s="345"/>
      <c r="I60" s="345"/>
      <c r="J60" s="345"/>
      <c r="K60" s="345"/>
      <c r="L60" s="345"/>
      <c r="M60" s="343"/>
      <c r="N60" s="343"/>
      <c r="O60" s="344"/>
      <c r="Q60" s="344"/>
    </row>
    <row r="61" spans="2:19" x14ac:dyDescent="0.2">
      <c r="B61" s="345"/>
      <c r="C61" s="345"/>
      <c r="D61" s="345"/>
      <c r="E61" s="345"/>
      <c r="F61" s="345"/>
      <c r="G61" s="345"/>
      <c r="H61" s="345"/>
      <c r="I61" s="345"/>
      <c r="J61" s="345"/>
      <c r="K61" s="345"/>
      <c r="L61" s="345"/>
      <c r="M61" s="343"/>
      <c r="N61" s="343"/>
      <c r="O61" s="344"/>
      <c r="Q61" s="344"/>
    </row>
    <row r="62" spans="2:19" x14ac:dyDescent="0.2">
      <c r="B62" s="347"/>
      <c r="C62" s="347"/>
      <c r="D62" s="345"/>
      <c r="E62" s="345"/>
      <c r="F62" s="345"/>
      <c r="G62" s="345"/>
      <c r="H62" s="345"/>
      <c r="I62" s="345"/>
      <c r="J62" s="345"/>
      <c r="K62" s="345"/>
      <c r="L62" s="345"/>
      <c r="N62" s="343"/>
      <c r="O62" s="344"/>
      <c r="Q62" s="344"/>
    </row>
    <row r="63" spans="2:19" x14ac:dyDescent="0.2">
      <c r="B63" s="353"/>
      <c r="C63" s="353"/>
      <c r="D63" s="354"/>
      <c r="E63" s="345"/>
      <c r="F63" s="345"/>
      <c r="G63" s="345"/>
      <c r="H63" s="345"/>
      <c r="I63" s="345"/>
      <c r="J63" s="345"/>
      <c r="K63" s="345"/>
      <c r="L63" s="345"/>
      <c r="N63" s="343"/>
      <c r="O63" s="343"/>
      <c r="Q63" s="344"/>
    </row>
    <row r="64" spans="2:19" x14ac:dyDescent="0.2">
      <c r="B64" s="353"/>
      <c r="C64" s="353"/>
      <c r="D64" s="354"/>
      <c r="E64" s="345"/>
      <c r="F64" s="345"/>
      <c r="G64" s="345"/>
      <c r="H64" s="345"/>
      <c r="I64" s="345"/>
      <c r="J64" s="345"/>
      <c r="K64" s="345"/>
      <c r="L64" s="345"/>
      <c r="M64" s="355"/>
      <c r="N64" s="343"/>
      <c r="O64" s="343"/>
    </row>
    <row r="65" spans="2:15" x14ac:dyDescent="0.2">
      <c r="B65" s="345"/>
      <c r="C65" s="345"/>
      <c r="D65" s="356"/>
      <c r="E65" s="345"/>
      <c r="F65" s="357"/>
      <c r="G65" s="345"/>
      <c r="H65" s="345"/>
      <c r="I65" s="345"/>
      <c r="J65" s="345"/>
      <c r="K65" s="345"/>
      <c r="L65" s="345"/>
      <c r="M65" s="341"/>
      <c r="N65" s="341"/>
      <c r="O65" s="341"/>
    </row>
    <row r="66" spans="2:15" x14ac:dyDescent="0.2">
      <c r="B66" s="345"/>
      <c r="C66" s="345"/>
      <c r="D66" s="345"/>
      <c r="E66" s="345"/>
      <c r="F66" s="345"/>
      <c r="G66" s="345"/>
      <c r="H66" s="345"/>
      <c r="I66" s="345"/>
      <c r="J66" s="345"/>
      <c r="K66" s="345"/>
      <c r="L66" s="345"/>
      <c r="M66" s="345"/>
      <c r="N66" s="345"/>
      <c r="O66" s="345"/>
    </row>
    <row r="67" spans="2:15" x14ac:dyDescent="0.2">
      <c r="B67" s="345"/>
      <c r="C67" s="345"/>
      <c r="D67" s="345"/>
      <c r="E67" s="345"/>
      <c r="F67" s="345"/>
      <c r="G67" s="345"/>
      <c r="H67" s="345"/>
      <c r="I67" s="345"/>
      <c r="J67" s="345"/>
      <c r="K67" s="345"/>
      <c r="L67" s="345"/>
      <c r="M67" s="345"/>
      <c r="N67" s="345"/>
      <c r="O67" s="351"/>
    </row>
    <row r="68" spans="2:15" x14ac:dyDescent="0.2">
      <c r="B68" s="347"/>
      <c r="C68" s="347"/>
      <c r="D68" s="356"/>
      <c r="E68" s="345"/>
      <c r="F68" s="345"/>
      <c r="G68" s="345"/>
      <c r="H68" s="345"/>
      <c r="I68" s="345"/>
      <c r="J68" s="345"/>
      <c r="K68" s="345"/>
      <c r="L68" s="345"/>
      <c r="M68" s="345"/>
      <c r="N68" s="345"/>
      <c r="O68" s="351"/>
    </row>
    <row r="69" spans="2:15" x14ac:dyDescent="0.2">
      <c r="B69" s="358"/>
      <c r="C69" s="358"/>
      <c r="D69" s="349"/>
      <c r="E69" s="345"/>
      <c r="F69" s="345"/>
      <c r="G69" s="345"/>
      <c r="H69" s="345"/>
      <c r="I69" s="345"/>
      <c r="J69" s="345"/>
      <c r="K69" s="345"/>
      <c r="L69" s="345"/>
      <c r="M69" s="345"/>
      <c r="N69" s="345"/>
      <c r="O69" s="351"/>
    </row>
    <row r="70" spans="2:15" ht="13.5" customHeight="1" x14ac:dyDescent="0.2">
      <c r="B70" s="345"/>
      <c r="C70" s="345"/>
      <c r="D70" s="349"/>
      <c r="E70" s="345"/>
      <c r="F70" s="345"/>
      <c r="G70" s="345"/>
      <c r="H70" s="345"/>
      <c r="I70" s="345"/>
      <c r="J70" s="345"/>
      <c r="K70" s="345"/>
      <c r="L70" s="345"/>
      <c r="M70" s="345"/>
      <c r="N70" s="345"/>
      <c r="O70" s="351"/>
    </row>
    <row r="71" spans="2:15" x14ac:dyDescent="0.2">
      <c r="B71" s="345"/>
      <c r="C71" s="345"/>
      <c r="D71" s="356"/>
      <c r="E71" s="345"/>
      <c r="F71" s="345"/>
      <c r="G71" s="345"/>
      <c r="H71" s="345"/>
      <c r="I71" s="345"/>
      <c r="J71" s="345"/>
      <c r="K71" s="345"/>
      <c r="L71" s="345"/>
      <c r="M71" s="345"/>
      <c r="N71" s="345"/>
      <c r="O71" s="345"/>
    </row>
    <row r="72" spans="2:15" x14ac:dyDescent="0.2">
      <c r="B72" s="345"/>
      <c r="C72" s="345"/>
      <c r="D72" s="356"/>
      <c r="E72" s="345"/>
      <c r="F72" s="345"/>
      <c r="G72" s="345"/>
      <c r="H72" s="345"/>
      <c r="I72" s="345"/>
      <c r="J72" s="345"/>
      <c r="K72" s="345"/>
      <c r="L72" s="345"/>
      <c r="M72" s="345"/>
      <c r="N72" s="345"/>
      <c r="O72" s="345"/>
    </row>
    <row r="73" spans="2:15" x14ac:dyDescent="0.2">
      <c r="B73" s="345"/>
      <c r="C73" s="345"/>
      <c r="D73" s="356"/>
      <c r="E73" s="345"/>
      <c r="F73" s="345"/>
      <c r="G73" s="345"/>
      <c r="H73" s="345"/>
      <c r="I73" s="345"/>
      <c r="J73" s="345"/>
      <c r="K73" s="345"/>
      <c r="L73" s="345"/>
      <c r="M73" s="345"/>
      <c r="N73" s="345"/>
      <c r="O73" s="345"/>
    </row>
    <row r="74" spans="2:15" x14ac:dyDescent="0.2">
      <c r="B74" s="345"/>
      <c r="C74" s="345"/>
      <c r="D74" s="345"/>
      <c r="E74" s="345"/>
      <c r="F74" s="345"/>
      <c r="G74" s="345"/>
      <c r="H74" s="345"/>
      <c r="I74" s="345"/>
      <c r="J74" s="345"/>
      <c r="K74" s="345"/>
      <c r="L74" s="345"/>
      <c r="M74" s="345"/>
      <c r="N74" s="345"/>
      <c r="O74" s="345"/>
    </row>
    <row r="75" spans="2:15" x14ac:dyDescent="0.2">
      <c r="B75" s="347"/>
      <c r="C75" s="347"/>
      <c r="D75" s="345"/>
      <c r="E75" s="345"/>
      <c r="F75" s="345"/>
      <c r="G75" s="345"/>
      <c r="H75" s="359"/>
      <c r="I75" s="359"/>
      <c r="J75" s="359"/>
      <c r="K75" s="359"/>
      <c r="L75" s="359"/>
      <c r="M75" s="345"/>
      <c r="N75" s="345"/>
      <c r="O75" s="345"/>
    </row>
    <row r="76" spans="2:15" x14ac:dyDescent="0.2">
      <c r="B76" s="345"/>
      <c r="C76" s="345"/>
      <c r="D76" s="356"/>
      <c r="E76" s="345"/>
      <c r="F76" s="345"/>
      <c r="G76" s="345"/>
      <c r="H76" s="360"/>
      <c r="I76" s="360"/>
      <c r="J76" s="360"/>
      <c r="K76" s="360"/>
      <c r="L76" s="360"/>
      <c r="M76" s="345"/>
      <c r="N76" s="345"/>
      <c r="O76" s="345"/>
    </row>
    <row r="77" spans="2:15" x14ac:dyDescent="0.2">
      <c r="B77" s="345"/>
      <c r="C77" s="345"/>
      <c r="D77" s="356"/>
      <c r="E77" s="345"/>
      <c r="F77" s="345"/>
      <c r="G77" s="345"/>
      <c r="H77" s="360"/>
      <c r="I77" s="360"/>
      <c r="J77" s="360"/>
      <c r="K77" s="360"/>
      <c r="L77" s="360"/>
      <c r="M77" s="345"/>
      <c r="N77" s="345"/>
      <c r="O77" s="345"/>
    </row>
    <row r="78" spans="2:15" x14ac:dyDescent="0.2">
      <c r="B78" s="345"/>
      <c r="C78" s="345"/>
      <c r="D78" s="356"/>
      <c r="E78" s="345"/>
      <c r="F78" s="345"/>
      <c r="G78" s="345"/>
      <c r="H78" s="360"/>
      <c r="I78" s="360"/>
      <c r="J78" s="360"/>
      <c r="K78" s="360"/>
      <c r="L78" s="360"/>
      <c r="M78" s="345"/>
      <c r="N78" s="345"/>
      <c r="O78" s="345"/>
    </row>
    <row r="79" spans="2:15" x14ac:dyDescent="0.2">
      <c r="B79" s="345"/>
      <c r="C79" s="345"/>
      <c r="D79" s="345"/>
      <c r="E79" s="345"/>
      <c r="F79" s="345"/>
      <c r="G79" s="345"/>
      <c r="H79" s="345"/>
      <c r="I79" s="345"/>
      <c r="J79" s="345"/>
      <c r="K79" s="345"/>
      <c r="L79" s="345"/>
      <c r="M79" s="345"/>
      <c r="N79" s="345"/>
      <c r="O79" s="345"/>
    </row>
    <row r="80" spans="2:15" x14ac:dyDescent="0.2">
      <c r="B80" s="347"/>
      <c r="C80" s="347"/>
      <c r="D80" s="347"/>
      <c r="E80" s="347"/>
      <c r="F80" s="345"/>
      <c r="G80" s="345"/>
      <c r="H80" s="359"/>
      <c r="I80" s="359"/>
      <c r="J80" s="359"/>
      <c r="K80" s="359"/>
      <c r="L80" s="359"/>
      <c r="M80" s="345"/>
      <c r="N80" s="345"/>
      <c r="O80" s="345"/>
    </row>
    <row r="81" spans="2:15" x14ac:dyDescent="0.2">
      <c r="B81" s="345"/>
      <c r="C81" s="345"/>
      <c r="D81" s="356"/>
      <c r="E81" s="345"/>
      <c r="F81" s="345"/>
      <c r="G81" s="345"/>
      <c r="H81" s="345"/>
      <c r="I81" s="345"/>
      <c r="J81" s="345"/>
      <c r="K81" s="345"/>
      <c r="L81" s="345"/>
      <c r="M81" s="345"/>
      <c r="N81" s="345"/>
      <c r="O81" s="345"/>
    </row>
    <row r="82" spans="2:15" x14ac:dyDescent="0.2">
      <c r="B82" s="345"/>
      <c r="C82" s="345"/>
      <c r="D82" s="356"/>
      <c r="E82" s="345"/>
      <c r="F82" s="345"/>
      <c r="G82" s="345"/>
      <c r="H82" s="345"/>
      <c r="I82" s="345"/>
      <c r="J82" s="345"/>
      <c r="K82" s="345"/>
      <c r="L82" s="345"/>
      <c r="M82" s="345"/>
      <c r="N82" s="345"/>
      <c r="O82" s="345"/>
    </row>
    <row r="83" spans="2:15" x14ac:dyDescent="0.2">
      <c r="B83" s="345"/>
      <c r="C83" s="345"/>
      <c r="D83" s="345"/>
      <c r="E83" s="345"/>
      <c r="F83" s="345"/>
      <c r="G83" s="345"/>
      <c r="H83" s="345"/>
      <c r="I83" s="345"/>
      <c r="J83" s="345"/>
      <c r="K83" s="345"/>
      <c r="L83" s="345"/>
      <c r="M83" s="345"/>
      <c r="N83" s="345"/>
      <c r="O83" s="345"/>
    </row>
    <row r="84" spans="2:15" x14ac:dyDescent="0.2">
      <c r="M84" s="345"/>
      <c r="N84" s="345"/>
      <c r="O84" s="345"/>
    </row>
    <row r="85" spans="2:15" x14ac:dyDescent="0.2">
      <c r="M85" s="345"/>
      <c r="N85" s="345"/>
      <c r="O85" s="345"/>
    </row>
    <row r="86" spans="2:15" x14ac:dyDescent="0.2">
      <c r="M86" s="345"/>
      <c r="N86" s="345"/>
      <c r="O86" s="345"/>
    </row>
    <row r="87" spans="2:15" x14ac:dyDescent="0.2">
      <c r="M87" s="345"/>
      <c r="N87" s="345"/>
      <c r="O87" s="345"/>
    </row>
    <row r="88" spans="2:15" x14ac:dyDescent="0.2">
      <c r="M88" s="345"/>
      <c r="N88" s="345"/>
      <c r="O88" s="345"/>
    </row>
    <row r="89" spans="2:15" hidden="1" x14ac:dyDescent="0.2">
      <c r="M89" s="345"/>
      <c r="N89" s="345"/>
      <c r="O89" s="345"/>
    </row>
    <row r="90" spans="2:15" hidden="1" x14ac:dyDescent="0.2">
      <c r="M90" s="345"/>
      <c r="N90" s="345"/>
      <c r="O90" s="345"/>
    </row>
    <row r="91" spans="2:15" x14ac:dyDescent="0.2">
      <c r="M91" s="345"/>
      <c r="N91" s="345"/>
      <c r="O91" s="345"/>
    </row>
    <row r="92" spans="2:15" x14ac:dyDescent="0.2">
      <c r="M92" s="345"/>
      <c r="N92" s="345"/>
      <c r="O92" s="345"/>
    </row>
    <row r="93" spans="2:15" x14ac:dyDescent="0.2">
      <c r="M93" s="345"/>
      <c r="N93" s="345"/>
      <c r="O93" s="345"/>
    </row>
    <row r="94" spans="2:15" x14ac:dyDescent="0.2">
      <c r="M94" s="359"/>
      <c r="N94" s="345"/>
      <c r="O94" s="345"/>
    </row>
    <row r="95" spans="2:15" x14ac:dyDescent="0.2">
      <c r="M95" s="360"/>
      <c r="N95" s="345"/>
      <c r="O95" s="345"/>
    </row>
    <row r="96" spans="2:15" x14ac:dyDescent="0.2">
      <c r="M96" s="360"/>
      <c r="N96" s="345"/>
      <c r="O96" s="345"/>
    </row>
    <row r="97" spans="13:15" x14ac:dyDescent="0.2">
      <c r="M97" s="360"/>
      <c r="N97" s="345"/>
      <c r="O97" s="345"/>
    </row>
    <row r="98" spans="13:15" x14ac:dyDescent="0.2">
      <c r="M98" s="345"/>
      <c r="N98" s="345"/>
      <c r="O98" s="345"/>
    </row>
    <row r="99" spans="13:15" x14ac:dyDescent="0.2">
      <c r="M99" s="359"/>
      <c r="N99" s="345"/>
      <c r="O99" s="345"/>
    </row>
    <row r="100" spans="13:15" x14ac:dyDescent="0.2">
      <c r="M100" s="345"/>
      <c r="N100" s="345"/>
      <c r="O100" s="345"/>
    </row>
    <row r="101" spans="13:15" x14ac:dyDescent="0.2">
      <c r="M101" s="345"/>
      <c r="N101" s="345"/>
      <c r="O101" s="345"/>
    </row>
    <row r="102" spans="13:15" x14ac:dyDescent="0.2">
      <c r="M102" s="345"/>
      <c r="N102" s="345"/>
      <c r="O102" s="345"/>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523AE-D162-4ECA-BACC-DC08E4185A28}">
  <dimension ref="D2:W63"/>
  <sheetViews>
    <sheetView showGridLines="0" zoomScaleNormal="100" workbookViewId="0"/>
  </sheetViews>
  <sheetFormatPr defaultColWidth="9.28515625" defaultRowHeight="12.75" x14ac:dyDescent="0.2"/>
  <cols>
    <col min="1" max="2" width="7" style="364" customWidth="1"/>
    <col min="3" max="3" width="8.42578125" style="364" customWidth="1"/>
    <col min="4" max="7" width="21.42578125" style="364" customWidth="1"/>
    <col min="8" max="8" width="9.28515625" style="364"/>
    <col min="9" max="9" width="28" style="364" customWidth="1"/>
    <col min="10" max="16384" width="9.28515625" style="364"/>
  </cols>
  <sheetData>
    <row r="2" spans="4:23" ht="13.5" thickBot="1" x14ac:dyDescent="0.25">
      <c r="D2" s="713" t="s">
        <v>1023</v>
      </c>
      <c r="E2" s="713"/>
      <c r="F2" s="713"/>
      <c r="G2" s="713"/>
      <c r="I2" s="365" t="s">
        <v>1024</v>
      </c>
      <c r="J2" s="365"/>
      <c r="K2" s="365"/>
      <c r="L2" s="365"/>
      <c r="M2" s="365"/>
      <c r="N2" s="365"/>
    </row>
    <row r="3" spans="4:23" x14ac:dyDescent="0.2">
      <c r="H3" s="366"/>
    </row>
    <row r="4" spans="4:23" x14ac:dyDescent="0.2">
      <c r="D4" s="367"/>
      <c r="E4" s="368" t="s">
        <v>805</v>
      </c>
      <c r="G4" s="209"/>
      <c r="H4" s="209"/>
      <c r="I4" s="367"/>
      <c r="J4" s="368" t="s">
        <v>806</v>
      </c>
      <c r="L4" s="209"/>
      <c r="M4" s="209"/>
      <c r="N4" s="209"/>
      <c r="O4" s="209"/>
      <c r="P4" s="209"/>
      <c r="Q4" s="209"/>
      <c r="R4" s="209"/>
      <c r="S4" s="209"/>
      <c r="T4" s="209"/>
      <c r="U4" s="209"/>
      <c r="V4" s="209"/>
      <c r="W4" s="209"/>
    </row>
    <row r="5" spans="4:23" x14ac:dyDescent="0.2">
      <c r="D5" s="369"/>
      <c r="E5" s="241">
        <v>2024</v>
      </c>
      <c r="G5" s="209"/>
      <c r="H5" s="209"/>
      <c r="I5" s="369"/>
      <c r="J5" s="241">
        <v>2024</v>
      </c>
      <c r="L5" s="209"/>
      <c r="M5" s="209"/>
      <c r="N5" s="209"/>
      <c r="O5" s="209"/>
      <c r="P5" s="209"/>
      <c r="Q5" s="209"/>
      <c r="R5" s="209"/>
      <c r="S5" s="209"/>
      <c r="T5" s="209"/>
      <c r="U5" s="209"/>
      <c r="V5" s="209"/>
      <c r="W5" s="209"/>
    </row>
    <row r="6" spans="4:23" x14ac:dyDescent="0.2">
      <c r="D6" s="209" t="s">
        <v>807</v>
      </c>
      <c r="E6" s="291">
        <v>5.9985437089056406</v>
      </c>
      <c r="G6" s="209"/>
      <c r="H6" s="209"/>
      <c r="I6" s="209" t="s">
        <v>808</v>
      </c>
      <c r="J6" s="291">
        <v>5.9985437089056406</v>
      </c>
      <c r="L6" s="209"/>
      <c r="M6" s="209"/>
      <c r="N6" s="209"/>
      <c r="O6" s="209"/>
      <c r="P6" s="209"/>
      <c r="Q6" s="209"/>
      <c r="R6" s="209"/>
      <c r="S6" s="209"/>
      <c r="T6" s="209"/>
      <c r="U6" s="209"/>
      <c r="V6" s="209"/>
      <c r="W6" s="209"/>
    </row>
    <row r="7" spans="4:23" x14ac:dyDescent="0.2">
      <c r="D7" s="209" t="s">
        <v>809</v>
      </c>
      <c r="E7" s="291">
        <v>-0.59592825345522826</v>
      </c>
      <c r="G7" s="209"/>
      <c r="H7" s="209"/>
      <c r="I7" s="209" t="s">
        <v>810</v>
      </c>
      <c r="J7" s="291">
        <v>-0.59592825345522826</v>
      </c>
      <c r="L7" s="209"/>
      <c r="M7" s="209"/>
      <c r="N7" s="209"/>
      <c r="O7" s="209"/>
      <c r="P7" s="209"/>
      <c r="Q7" s="209"/>
      <c r="R7" s="209"/>
      <c r="S7" s="209"/>
      <c r="T7" s="209"/>
      <c r="U7" s="209"/>
      <c r="V7" s="209"/>
      <c r="W7" s="209"/>
    </row>
    <row r="8" spans="4:23" x14ac:dyDescent="0.2">
      <c r="D8" s="209" t="s">
        <v>811</v>
      </c>
      <c r="E8" s="291">
        <v>4.0592936522718972</v>
      </c>
      <c r="G8" s="209"/>
      <c r="H8" s="209"/>
      <c r="I8" s="209" t="s">
        <v>812</v>
      </c>
      <c r="J8" s="291">
        <v>4.0592936522718972</v>
      </c>
      <c r="L8" s="209"/>
      <c r="M8" s="209"/>
      <c r="N8" s="209"/>
      <c r="O8" s="209"/>
      <c r="P8" s="209"/>
      <c r="Q8" s="209"/>
      <c r="R8" s="209"/>
      <c r="S8" s="209"/>
      <c r="T8" s="209"/>
      <c r="U8" s="209"/>
      <c r="V8" s="209"/>
      <c r="W8" s="209"/>
    </row>
    <row r="9" spans="4:23" x14ac:dyDescent="0.2">
      <c r="D9" s="209" t="s">
        <v>813</v>
      </c>
      <c r="E9" s="291">
        <v>-0.12160119024468649</v>
      </c>
      <c r="G9" s="209"/>
      <c r="H9" s="209"/>
      <c r="I9" s="209" t="s">
        <v>814</v>
      </c>
      <c r="J9" s="291">
        <v>-0.12160119024468649</v>
      </c>
      <c r="L9" s="209"/>
      <c r="M9" s="209"/>
      <c r="N9" s="209"/>
      <c r="O9" s="209"/>
      <c r="P9" s="209"/>
      <c r="Q9" s="209"/>
      <c r="R9" s="209"/>
      <c r="S9" s="209"/>
      <c r="T9" s="209"/>
      <c r="U9" s="209"/>
      <c r="V9" s="209"/>
      <c r="W9" s="209"/>
    </row>
    <row r="10" spans="4:23" x14ac:dyDescent="0.2">
      <c r="D10" s="209" t="s">
        <v>815</v>
      </c>
      <c r="E10" s="291">
        <v>-0.89369665857875313</v>
      </c>
      <c r="G10" s="209"/>
      <c r="H10" s="209"/>
      <c r="I10" s="209" t="s">
        <v>816</v>
      </c>
      <c r="J10" s="291">
        <v>-0.89369665857875313</v>
      </c>
      <c r="L10" s="209"/>
      <c r="M10" s="209"/>
      <c r="N10" s="209"/>
      <c r="O10" s="209"/>
      <c r="P10" s="209"/>
      <c r="Q10" s="209"/>
      <c r="R10" s="209"/>
      <c r="S10" s="209"/>
      <c r="T10" s="209"/>
      <c r="U10" s="209"/>
      <c r="V10" s="209"/>
      <c r="W10" s="209"/>
    </row>
    <row r="11" spans="4:23" x14ac:dyDescent="0.2">
      <c r="D11" s="241" t="s">
        <v>29</v>
      </c>
      <c r="E11" s="370">
        <v>8.4466112588988693</v>
      </c>
      <c r="G11" s="209"/>
      <c r="H11" s="209"/>
      <c r="I11" s="241" t="s">
        <v>170</v>
      </c>
      <c r="J11" s="370">
        <v>8.4466112588988693</v>
      </c>
      <c r="L11" s="209"/>
      <c r="M11" s="209"/>
      <c r="N11" s="209"/>
      <c r="O11" s="209"/>
      <c r="P11" s="209"/>
      <c r="Q11" s="209"/>
      <c r="R11" s="209"/>
      <c r="S11" s="209"/>
      <c r="T11" s="209"/>
      <c r="U11" s="209"/>
      <c r="V11" s="209"/>
      <c r="W11" s="209"/>
    </row>
    <row r="12" spans="4:23" x14ac:dyDescent="0.2">
      <c r="D12" s="209" t="s">
        <v>443</v>
      </c>
      <c r="E12" s="209">
        <v>6.8</v>
      </c>
      <c r="F12" s="209"/>
      <c r="G12" s="209"/>
      <c r="H12" s="209"/>
      <c r="I12" s="209" t="s">
        <v>1001</v>
      </c>
      <c r="J12" s="209">
        <v>6.8</v>
      </c>
      <c r="L12" s="209"/>
      <c r="M12" s="209"/>
      <c r="N12" s="209"/>
      <c r="O12" s="209"/>
      <c r="P12" s="209"/>
      <c r="Q12" s="209"/>
      <c r="R12" s="209"/>
      <c r="S12" s="209"/>
      <c r="T12" s="209"/>
      <c r="U12" s="209"/>
      <c r="V12" s="209"/>
      <c r="W12" s="209"/>
    </row>
    <row r="13" spans="4:23" x14ac:dyDescent="0.2">
      <c r="D13" s="243"/>
      <c r="E13" s="371"/>
      <c r="F13" s="371"/>
      <c r="G13" s="371"/>
      <c r="H13" s="209"/>
      <c r="I13" s="243"/>
      <c r="J13" s="371"/>
      <c r="L13" s="371"/>
      <c r="M13" s="371"/>
      <c r="N13" s="209"/>
      <c r="O13" s="209"/>
      <c r="P13" s="209"/>
      <c r="Q13" s="209"/>
      <c r="R13" s="209"/>
      <c r="S13" s="209"/>
      <c r="T13" s="209"/>
      <c r="U13" s="209"/>
      <c r="V13" s="209"/>
      <c r="W13" s="209"/>
    </row>
    <row r="14" spans="4:23" x14ac:dyDescent="0.2">
      <c r="D14" s="209"/>
      <c r="E14" s="244"/>
      <c r="F14" s="244"/>
      <c r="G14" s="244"/>
      <c r="H14" s="209"/>
      <c r="I14" s="209"/>
      <c r="J14" s="244"/>
      <c r="K14" s="244"/>
      <c r="L14" s="244"/>
      <c r="M14" s="244"/>
      <c r="N14" s="209"/>
      <c r="O14" s="209"/>
      <c r="P14" s="209"/>
      <c r="Q14" s="209"/>
      <c r="R14" s="209"/>
      <c r="S14" s="209"/>
      <c r="T14" s="209"/>
      <c r="U14" s="209"/>
      <c r="V14" s="209"/>
      <c r="W14" s="209"/>
    </row>
    <row r="15" spans="4:23" x14ac:dyDescent="0.2">
      <c r="D15" s="209"/>
      <c r="E15" s="244"/>
      <c r="F15" s="244"/>
      <c r="G15" s="244"/>
      <c r="H15" s="209"/>
      <c r="I15" s="209"/>
      <c r="J15" s="244"/>
      <c r="K15" s="244"/>
      <c r="L15" s="244"/>
      <c r="M15" s="244"/>
      <c r="N15" s="209"/>
      <c r="O15" s="209"/>
      <c r="P15" s="209"/>
      <c r="Q15" s="209"/>
      <c r="R15" s="209"/>
      <c r="S15" s="209"/>
      <c r="T15" s="209"/>
      <c r="U15" s="209"/>
      <c r="V15" s="209"/>
      <c r="W15" s="209"/>
    </row>
    <row r="16" spans="4:23" x14ac:dyDescent="0.2">
      <c r="E16" s="372"/>
      <c r="F16" s="372"/>
      <c r="G16" s="372"/>
      <c r="H16" s="209"/>
      <c r="J16" s="372"/>
      <c r="K16" s="372"/>
      <c r="L16" s="372"/>
      <c r="M16" s="372"/>
      <c r="N16" s="209"/>
      <c r="O16" s="209"/>
      <c r="P16" s="209"/>
      <c r="Q16" s="209"/>
      <c r="R16" s="209"/>
      <c r="S16" s="209"/>
      <c r="T16" s="209"/>
      <c r="U16" s="209"/>
      <c r="V16" s="209"/>
      <c r="W16" s="209"/>
    </row>
    <row r="17" spans="4:23" x14ac:dyDescent="0.2">
      <c r="D17" s="243"/>
      <c r="E17" s="371"/>
      <c r="F17" s="371"/>
      <c r="G17" s="371"/>
      <c r="H17" s="209"/>
      <c r="I17" s="243"/>
      <c r="J17" s="371"/>
      <c r="K17" s="371"/>
      <c r="L17" s="371"/>
      <c r="M17" s="244"/>
      <c r="N17" s="209"/>
      <c r="O17" s="209"/>
      <c r="P17" s="209"/>
      <c r="Q17" s="209"/>
      <c r="R17" s="209"/>
      <c r="S17" s="209"/>
      <c r="T17" s="209"/>
      <c r="U17" s="209"/>
      <c r="V17" s="209"/>
      <c r="W17" s="209"/>
    </row>
    <row r="18" spans="4:23" x14ac:dyDescent="0.2">
      <c r="D18" s="209"/>
      <c r="E18" s="244"/>
      <c r="F18" s="244"/>
      <c r="G18" s="244"/>
      <c r="H18" s="209"/>
      <c r="I18" s="209"/>
      <c r="J18" s="244"/>
      <c r="K18" s="244"/>
      <c r="L18" s="244"/>
      <c r="M18" s="244"/>
      <c r="N18" s="209"/>
      <c r="O18" s="209"/>
      <c r="P18" s="209"/>
      <c r="Q18" s="209"/>
      <c r="R18" s="209"/>
      <c r="S18" s="209"/>
      <c r="T18" s="209"/>
      <c r="U18" s="209"/>
      <c r="V18" s="209"/>
      <c r="W18" s="209"/>
    </row>
    <row r="19" spans="4:23" x14ac:dyDescent="0.2">
      <c r="D19" s="209"/>
      <c r="E19" s="244"/>
      <c r="F19" s="244"/>
      <c r="G19" s="244"/>
      <c r="H19" s="209"/>
      <c r="I19" s="209"/>
      <c r="J19" s="244"/>
      <c r="K19" s="244"/>
      <c r="L19" s="244"/>
      <c r="M19" s="373"/>
      <c r="N19" s="209"/>
      <c r="O19" s="209"/>
      <c r="P19" s="209"/>
      <c r="Q19" s="209"/>
      <c r="R19" s="209"/>
      <c r="S19" s="209"/>
      <c r="T19" s="209"/>
      <c r="U19" s="209"/>
      <c r="V19" s="209"/>
      <c r="W19" s="209"/>
    </row>
    <row r="20" spans="4:23" x14ac:dyDescent="0.2">
      <c r="H20" s="209"/>
      <c r="M20" s="209"/>
      <c r="N20" s="209"/>
      <c r="O20" s="209"/>
      <c r="P20" s="209"/>
      <c r="Q20" s="209"/>
      <c r="R20" s="209"/>
      <c r="S20" s="209"/>
      <c r="T20" s="209"/>
      <c r="U20" s="209"/>
      <c r="V20" s="209"/>
      <c r="W20" s="209"/>
    </row>
    <row r="21" spans="4:23" x14ac:dyDescent="0.2">
      <c r="H21" s="209"/>
      <c r="M21" s="209"/>
      <c r="N21" s="209"/>
      <c r="O21" s="209"/>
      <c r="P21" s="209"/>
      <c r="Q21" s="209"/>
      <c r="R21" s="209"/>
      <c r="S21" s="209"/>
      <c r="T21" s="209"/>
      <c r="U21" s="209"/>
      <c r="V21" s="209"/>
      <c r="W21" s="209"/>
    </row>
    <row r="22" spans="4:23" x14ac:dyDescent="0.2">
      <c r="D22" s="209"/>
      <c r="E22" s="209"/>
      <c r="F22" s="209"/>
      <c r="G22" s="209"/>
      <c r="H22" s="209"/>
      <c r="I22" s="209"/>
      <c r="J22" s="209"/>
      <c r="K22" s="209"/>
      <c r="L22" s="209"/>
      <c r="M22" s="209"/>
      <c r="N22" s="209"/>
      <c r="O22" s="209"/>
      <c r="P22" s="209"/>
      <c r="Q22" s="209"/>
      <c r="R22" s="209"/>
      <c r="S22" s="209"/>
      <c r="T22" s="209"/>
      <c r="U22" s="209"/>
      <c r="V22" s="209"/>
      <c r="W22" s="209"/>
    </row>
    <row r="23" spans="4:23" x14ac:dyDescent="0.2">
      <c r="D23" s="209"/>
      <c r="E23" s="209"/>
      <c r="F23" s="209"/>
      <c r="G23" s="209"/>
      <c r="H23" s="209"/>
      <c r="I23" s="209"/>
      <c r="J23" s="209"/>
      <c r="K23" s="209"/>
      <c r="L23" s="209"/>
      <c r="M23" s="209"/>
      <c r="N23" s="209"/>
      <c r="O23" s="209"/>
      <c r="P23" s="209"/>
      <c r="Q23" s="209"/>
      <c r="R23" s="209"/>
      <c r="S23" s="209"/>
      <c r="T23" s="209"/>
      <c r="U23" s="209"/>
      <c r="V23" s="209"/>
      <c r="W23" s="209"/>
    </row>
    <row r="24" spans="4:23" x14ac:dyDescent="0.2">
      <c r="D24" s="209"/>
      <c r="E24" s="209"/>
      <c r="F24" s="209"/>
      <c r="G24" s="209"/>
      <c r="H24" s="209"/>
      <c r="I24" s="209"/>
      <c r="J24" s="209"/>
      <c r="K24" s="209"/>
      <c r="L24" s="209"/>
      <c r="M24" s="209"/>
      <c r="N24" s="209"/>
      <c r="O24" s="209"/>
      <c r="P24" s="209"/>
      <c r="Q24" s="209"/>
      <c r="R24" s="209"/>
      <c r="S24" s="209"/>
      <c r="T24" s="209"/>
      <c r="U24" s="209"/>
      <c r="V24" s="209"/>
      <c r="W24" s="209"/>
    </row>
    <row r="25" spans="4:23" x14ac:dyDescent="0.2">
      <c r="D25" s="209"/>
      <c r="E25" s="209"/>
      <c r="F25" s="209"/>
      <c r="G25" s="209"/>
      <c r="H25" s="209"/>
      <c r="I25" s="209"/>
      <c r="J25" s="209"/>
      <c r="K25" s="209"/>
      <c r="L25" s="209"/>
      <c r="M25" s="209"/>
      <c r="N25" s="209"/>
      <c r="O25" s="209"/>
      <c r="P25" s="209"/>
      <c r="Q25" s="209"/>
      <c r="R25" s="209"/>
      <c r="S25" s="209"/>
      <c r="T25" s="209"/>
      <c r="U25" s="209"/>
      <c r="V25" s="209"/>
      <c r="W25" s="209"/>
    </row>
    <row r="26" spans="4:23" x14ac:dyDescent="0.2">
      <c r="D26" s="209"/>
      <c r="E26" s="209"/>
      <c r="F26" s="209"/>
      <c r="G26" s="209"/>
      <c r="H26" s="209"/>
      <c r="I26" s="209"/>
      <c r="J26" s="209"/>
      <c r="K26" s="209"/>
      <c r="L26" s="209"/>
      <c r="M26" s="209"/>
      <c r="N26" s="209"/>
      <c r="O26" s="209"/>
      <c r="P26" s="209"/>
      <c r="Q26" s="209"/>
      <c r="R26" s="209"/>
      <c r="S26" s="209"/>
      <c r="T26" s="209"/>
      <c r="U26" s="209"/>
      <c r="V26" s="209"/>
      <c r="W26" s="209"/>
    </row>
    <row r="30" spans="4:23" x14ac:dyDescent="0.2">
      <c r="L30" s="377" t="s">
        <v>209</v>
      </c>
      <c r="M30" s="377"/>
    </row>
    <row r="31" spans="4:23" x14ac:dyDescent="0.2">
      <c r="F31" s="376" t="s">
        <v>817</v>
      </c>
    </row>
    <row r="34" spans="5:13" x14ac:dyDescent="0.2">
      <c r="E34" s="209"/>
      <c r="F34" s="209"/>
      <c r="G34" s="209"/>
      <c r="H34" s="209"/>
      <c r="I34" s="209"/>
      <c r="M34" s="374"/>
    </row>
    <row r="48" spans="5:13" x14ac:dyDescent="0.2">
      <c r="M48" s="209"/>
    </row>
    <row r="62" spans="6:12" x14ac:dyDescent="0.2">
      <c r="F62" s="375"/>
    </row>
    <row r="63" spans="6:12" x14ac:dyDescent="0.2">
      <c r="L63" s="375" t="s">
        <v>209</v>
      </c>
    </row>
  </sheetData>
  <mergeCells count="1">
    <mergeCell ref="D2:G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727A-E8A1-46BB-9547-2B669F44B281}">
  <dimension ref="A5:I78"/>
  <sheetViews>
    <sheetView showGridLines="0" zoomScaleNormal="100" workbookViewId="0"/>
  </sheetViews>
  <sheetFormatPr defaultColWidth="9.140625" defaultRowHeight="12.75" x14ac:dyDescent="0.2"/>
  <cols>
    <col min="1" max="1" width="7.85546875" style="361" bestFit="1" customWidth="1"/>
    <col min="2" max="2" width="13.7109375" style="361" bestFit="1" customWidth="1"/>
    <col min="3" max="16384" width="9.140625" style="361"/>
  </cols>
  <sheetData>
    <row r="5" spans="1:4" ht="25.5" x14ac:dyDescent="0.2">
      <c r="A5" s="210" t="s">
        <v>818</v>
      </c>
      <c r="B5" s="210" t="s">
        <v>819</v>
      </c>
      <c r="D5" s="363" t="s">
        <v>1025</v>
      </c>
    </row>
    <row r="6" spans="1:4" ht="25.5" x14ac:dyDescent="0.2">
      <c r="A6" s="210" t="s">
        <v>854</v>
      </c>
      <c r="B6" s="210" t="s">
        <v>820</v>
      </c>
      <c r="D6" s="363"/>
    </row>
    <row r="7" spans="1:4" x14ac:dyDescent="0.2">
      <c r="A7" s="211">
        <v>39508</v>
      </c>
      <c r="B7" s="212">
        <v>0.14864479459295155</v>
      </c>
    </row>
    <row r="8" spans="1:4" x14ac:dyDescent="0.2">
      <c r="A8" s="211">
        <v>39600</v>
      </c>
      <c r="B8" s="212">
        <v>0.14628690043229489</v>
      </c>
    </row>
    <row r="9" spans="1:4" x14ac:dyDescent="0.2">
      <c r="A9" s="211">
        <v>39692</v>
      </c>
      <c r="B9" s="212">
        <v>0.1501047521147979</v>
      </c>
    </row>
    <row r="10" spans="1:4" x14ac:dyDescent="0.2">
      <c r="A10" s="211">
        <v>39783</v>
      </c>
      <c r="B10" s="212">
        <v>0.15260842082763196</v>
      </c>
    </row>
    <row r="11" spans="1:4" x14ac:dyDescent="0.2">
      <c r="A11" s="211">
        <v>39873</v>
      </c>
      <c r="B11" s="212">
        <v>0.13523046965152982</v>
      </c>
    </row>
    <row r="12" spans="1:4" x14ac:dyDescent="0.2">
      <c r="A12" s="211">
        <v>39965</v>
      </c>
      <c r="B12" s="212">
        <v>0.13409469118612558</v>
      </c>
    </row>
    <row r="13" spans="1:4" x14ac:dyDescent="0.2">
      <c r="A13" s="211">
        <v>40057</v>
      </c>
      <c r="B13" s="212">
        <v>0.13689465532022552</v>
      </c>
    </row>
    <row r="14" spans="1:4" x14ac:dyDescent="0.2">
      <c r="A14" s="211">
        <v>40148</v>
      </c>
      <c r="B14" s="212">
        <v>0.13811609462282459</v>
      </c>
    </row>
    <row r="15" spans="1:4" x14ac:dyDescent="0.2">
      <c r="A15" s="211">
        <v>40238</v>
      </c>
      <c r="B15" s="212">
        <v>0.13152615571345305</v>
      </c>
    </row>
    <row r="16" spans="1:4" x14ac:dyDescent="0.2">
      <c r="A16" s="211">
        <v>40330</v>
      </c>
      <c r="B16" s="212">
        <v>0.13502090786855725</v>
      </c>
    </row>
    <row r="17" spans="1:9" x14ac:dyDescent="0.2">
      <c r="A17" s="211">
        <v>40422</v>
      </c>
      <c r="B17" s="212">
        <v>0.13342178035037644</v>
      </c>
    </row>
    <row r="18" spans="1:9" x14ac:dyDescent="0.2">
      <c r="A18" s="211">
        <v>40513</v>
      </c>
      <c r="B18" s="212">
        <v>0.1269378666078167</v>
      </c>
      <c r="I18" s="376" t="s">
        <v>817</v>
      </c>
    </row>
    <row r="19" spans="1:9" x14ac:dyDescent="0.2">
      <c r="A19" s="211">
        <v>40603</v>
      </c>
      <c r="B19" s="212">
        <v>0.13426977492095343</v>
      </c>
    </row>
    <row r="20" spans="1:9" x14ac:dyDescent="0.2">
      <c r="A20" s="211">
        <v>40695</v>
      </c>
      <c r="B20" s="212">
        <v>0.12756037015931429</v>
      </c>
    </row>
    <row r="21" spans="1:9" x14ac:dyDescent="0.2">
      <c r="A21" s="211">
        <v>40787</v>
      </c>
      <c r="B21" s="212">
        <v>0.12935288406586321</v>
      </c>
    </row>
    <row r="22" spans="1:9" x14ac:dyDescent="0.2">
      <c r="A22" s="211">
        <v>40878</v>
      </c>
      <c r="B22" s="212">
        <v>0.12603008528262657</v>
      </c>
      <c r="D22" s="363" t="s">
        <v>1076</v>
      </c>
    </row>
    <row r="23" spans="1:9" x14ac:dyDescent="0.2">
      <c r="A23" s="211">
        <v>40969</v>
      </c>
      <c r="B23" s="212">
        <v>0.12666922632909788</v>
      </c>
    </row>
    <row r="24" spans="1:9" x14ac:dyDescent="0.2">
      <c r="A24" s="211">
        <v>41061</v>
      </c>
      <c r="B24" s="212">
        <v>0.12234109888865131</v>
      </c>
    </row>
    <row r="25" spans="1:9" x14ac:dyDescent="0.2">
      <c r="A25" s="211">
        <v>41153</v>
      </c>
      <c r="B25" s="212">
        <v>0.12006954289841597</v>
      </c>
    </row>
    <row r="26" spans="1:9" x14ac:dyDescent="0.2">
      <c r="A26" s="211">
        <v>41244</v>
      </c>
      <c r="B26" s="212">
        <v>0.12334440742289997</v>
      </c>
    </row>
    <row r="27" spans="1:9" x14ac:dyDescent="0.2">
      <c r="A27" s="211">
        <v>41334</v>
      </c>
      <c r="B27" s="212">
        <v>0.12498405559159871</v>
      </c>
    </row>
    <row r="28" spans="1:9" x14ac:dyDescent="0.2">
      <c r="A28" s="211">
        <v>41426</v>
      </c>
      <c r="B28" s="212">
        <v>0.13298363408634109</v>
      </c>
    </row>
    <row r="29" spans="1:9" x14ac:dyDescent="0.2">
      <c r="A29" s="211">
        <v>41518</v>
      </c>
      <c r="B29" s="212">
        <v>0.13271489638030495</v>
      </c>
    </row>
    <row r="30" spans="1:9" x14ac:dyDescent="0.2">
      <c r="A30" s="211">
        <v>41609</v>
      </c>
      <c r="B30" s="212">
        <v>0.13177999110399349</v>
      </c>
    </row>
    <row r="31" spans="1:9" x14ac:dyDescent="0.2">
      <c r="A31" s="211">
        <v>41699</v>
      </c>
      <c r="B31" s="212">
        <v>0.14231832653303803</v>
      </c>
    </row>
    <row r="32" spans="1:9" x14ac:dyDescent="0.2">
      <c r="A32" s="211">
        <v>41791</v>
      </c>
      <c r="B32" s="212">
        <v>0.14077244332624914</v>
      </c>
    </row>
    <row r="33" spans="1:9" x14ac:dyDescent="0.2">
      <c r="A33" s="211">
        <v>41883</v>
      </c>
      <c r="B33" s="212">
        <v>0.13971106752321402</v>
      </c>
    </row>
    <row r="34" spans="1:9" x14ac:dyDescent="0.2">
      <c r="A34" s="211">
        <v>41974</v>
      </c>
      <c r="B34" s="212">
        <v>0.14351182881835112</v>
      </c>
    </row>
    <row r="35" spans="1:9" x14ac:dyDescent="0.2">
      <c r="A35" s="211">
        <v>42064</v>
      </c>
      <c r="B35" s="212">
        <v>0.14511489473856948</v>
      </c>
    </row>
    <row r="36" spans="1:9" x14ac:dyDescent="0.2">
      <c r="A36" s="211">
        <v>42156</v>
      </c>
      <c r="B36" s="212">
        <v>0.14289093859941562</v>
      </c>
    </row>
    <row r="37" spans="1:9" x14ac:dyDescent="0.2">
      <c r="A37" s="211">
        <v>42248</v>
      </c>
      <c r="B37" s="212">
        <v>0.14497674192045962</v>
      </c>
      <c r="I37" s="376" t="s">
        <v>209</v>
      </c>
    </row>
    <row r="38" spans="1:9" x14ac:dyDescent="0.2">
      <c r="A38" s="211">
        <v>42339</v>
      </c>
      <c r="B38" s="212">
        <v>0.14186032623444864</v>
      </c>
    </row>
    <row r="39" spans="1:9" x14ac:dyDescent="0.2">
      <c r="A39" s="211">
        <v>42430</v>
      </c>
      <c r="B39" s="212">
        <v>0.14587867059518178</v>
      </c>
    </row>
    <row r="40" spans="1:9" x14ac:dyDescent="0.2">
      <c r="A40" s="211">
        <v>42522</v>
      </c>
      <c r="B40" s="212">
        <v>0.1493701562636478</v>
      </c>
    </row>
    <row r="41" spans="1:9" x14ac:dyDescent="0.2">
      <c r="A41" s="211">
        <v>42614</v>
      </c>
      <c r="B41" s="212">
        <v>0.14994294931345625</v>
      </c>
    </row>
    <row r="42" spans="1:9" x14ac:dyDescent="0.2">
      <c r="A42" s="211">
        <v>42705</v>
      </c>
      <c r="B42" s="212">
        <v>0.15288723932230783</v>
      </c>
    </row>
    <row r="43" spans="1:9" x14ac:dyDescent="0.2">
      <c r="A43" s="211">
        <v>42795</v>
      </c>
      <c r="B43" s="212">
        <v>0.14937389374529089</v>
      </c>
    </row>
    <row r="44" spans="1:9" x14ac:dyDescent="0.2">
      <c r="A44" s="211">
        <v>42887</v>
      </c>
      <c r="B44" s="212">
        <v>0.14746398350608703</v>
      </c>
    </row>
    <row r="45" spans="1:9" x14ac:dyDescent="0.2">
      <c r="A45" s="211">
        <v>42979</v>
      </c>
      <c r="B45" s="212">
        <v>0.15052371991787061</v>
      </c>
    </row>
    <row r="46" spans="1:9" x14ac:dyDescent="0.2">
      <c r="A46" s="211">
        <v>43070</v>
      </c>
      <c r="B46" s="212">
        <v>0.15907748641115591</v>
      </c>
    </row>
    <row r="47" spans="1:9" x14ac:dyDescent="0.2">
      <c r="A47" s="211">
        <v>43160</v>
      </c>
      <c r="B47" s="212">
        <v>0.14951557820348477</v>
      </c>
    </row>
    <row r="48" spans="1:9" x14ac:dyDescent="0.2">
      <c r="A48" s="211">
        <v>43252</v>
      </c>
      <c r="B48" s="212">
        <v>0.1533095152217151</v>
      </c>
    </row>
    <row r="49" spans="1:2" x14ac:dyDescent="0.2">
      <c r="A49" s="211">
        <v>43344</v>
      </c>
      <c r="B49" s="212">
        <v>0.15065339531299321</v>
      </c>
    </row>
    <row r="50" spans="1:2" x14ac:dyDescent="0.2">
      <c r="A50" s="211">
        <v>43435</v>
      </c>
      <c r="B50" s="212">
        <v>0.15216771997892384</v>
      </c>
    </row>
    <row r="51" spans="1:2" x14ac:dyDescent="0.2">
      <c r="A51" s="211">
        <v>43525</v>
      </c>
      <c r="B51" s="212">
        <v>0.1557725285206687</v>
      </c>
    </row>
    <row r="52" spans="1:2" x14ac:dyDescent="0.2">
      <c r="A52" s="211">
        <v>43617</v>
      </c>
      <c r="B52" s="212">
        <v>0.1544911100245035</v>
      </c>
    </row>
    <row r="53" spans="1:2" x14ac:dyDescent="0.2">
      <c r="A53" s="211">
        <v>43709</v>
      </c>
      <c r="B53" s="212">
        <v>0.16048996836632637</v>
      </c>
    </row>
    <row r="54" spans="1:2" x14ac:dyDescent="0.2">
      <c r="A54" s="211">
        <v>43800</v>
      </c>
      <c r="B54" s="212">
        <v>0.16112338663064438</v>
      </c>
    </row>
    <row r="55" spans="1:2" x14ac:dyDescent="0.2">
      <c r="A55" s="211">
        <v>43891</v>
      </c>
      <c r="B55" s="212">
        <v>0.15618418226956349</v>
      </c>
    </row>
    <row r="56" spans="1:2" x14ac:dyDescent="0.2">
      <c r="A56" s="211">
        <v>43983</v>
      </c>
      <c r="B56" s="212">
        <v>0.15016286475451132</v>
      </c>
    </row>
    <row r="57" spans="1:2" x14ac:dyDescent="0.2">
      <c r="A57" s="211">
        <v>44075</v>
      </c>
      <c r="B57" s="212">
        <v>0.16152259744151176</v>
      </c>
    </row>
    <row r="58" spans="1:2" x14ac:dyDescent="0.2">
      <c r="A58" s="211">
        <v>44166</v>
      </c>
      <c r="B58" s="212">
        <v>0.16021000340344271</v>
      </c>
    </row>
    <row r="59" spans="1:2" x14ac:dyDescent="0.2">
      <c r="A59" s="211">
        <v>44256</v>
      </c>
      <c r="B59" s="212">
        <v>0.15513640646595686</v>
      </c>
    </row>
    <row r="60" spans="1:2" x14ac:dyDescent="0.2">
      <c r="A60" s="211">
        <v>44348</v>
      </c>
      <c r="B60" s="212">
        <v>0.1618272605505022</v>
      </c>
    </row>
    <row r="61" spans="1:2" x14ac:dyDescent="0.2">
      <c r="A61" s="211">
        <v>44440</v>
      </c>
      <c r="B61" s="212">
        <v>0.16508654739280268</v>
      </c>
    </row>
    <row r="62" spans="1:2" x14ac:dyDescent="0.2">
      <c r="A62" s="211">
        <v>44531</v>
      </c>
      <c r="B62" s="212">
        <v>0.16345894287321561</v>
      </c>
    </row>
    <row r="63" spans="1:2" x14ac:dyDescent="0.2">
      <c r="A63" s="211">
        <v>44621</v>
      </c>
      <c r="B63" s="212">
        <v>0.16067140746691885</v>
      </c>
    </row>
    <row r="64" spans="1:2" x14ac:dyDescent="0.2">
      <c r="A64" s="211">
        <v>44713</v>
      </c>
      <c r="B64" s="212">
        <v>0.16316595958283678</v>
      </c>
    </row>
    <row r="65" spans="1:6" x14ac:dyDescent="0.2">
      <c r="A65" s="211">
        <v>44805</v>
      </c>
      <c r="B65" s="212">
        <v>0.15664572957940265</v>
      </c>
    </row>
    <row r="66" spans="1:6" x14ac:dyDescent="0.2">
      <c r="A66" s="211">
        <v>44896</v>
      </c>
      <c r="B66" s="212">
        <v>0.15812456431232746</v>
      </c>
    </row>
    <row r="67" spans="1:6" x14ac:dyDescent="0.2">
      <c r="A67" s="211">
        <v>44986</v>
      </c>
      <c r="B67" s="212">
        <v>0.16240418722334665</v>
      </c>
    </row>
    <row r="68" spans="1:6" x14ac:dyDescent="0.2">
      <c r="A68" s="211">
        <v>45078</v>
      </c>
      <c r="B68" s="212">
        <v>0.16042799592693552</v>
      </c>
    </row>
    <row r="69" spans="1:6" x14ac:dyDescent="0.2">
      <c r="A69" s="211">
        <v>45170</v>
      </c>
      <c r="B69" s="212">
        <v>0.15813454935909424</v>
      </c>
    </row>
    <row r="70" spans="1:6" x14ac:dyDescent="0.2">
      <c r="A70" s="211">
        <v>45261</v>
      </c>
      <c r="B70" s="212">
        <v>0.15845728346166013</v>
      </c>
    </row>
    <row r="71" spans="1:6" x14ac:dyDescent="0.2">
      <c r="A71" s="211">
        <v>45352</v>
      </c>
      <c r="B71" s="212">
        <v>0.1554179972905505</v>
      </c>
    </row>
    <row r="72" spans="1:6" x14ac:dyDescent="0.2">
      <c r="A72" s="211">
        <v>45444</v>
      </c>
      <c r="B72" s="212">
        <v>0.15561629409479158</v>
      </c>
    </row>
    <row r="74" spans="1:6" x14ac:dyDescent="0.2">
      <c r="A74" s="362"/>
      <c r="B74" s="362"/>
      <c r="C74" s="362"/>
      <c r="D74" s="362"/>
      <c r="E74" s="362"/>
      <c r="F74" s="362"/>
    </row>
    <row r="75" spans="1:6" x14ac:dyDescent="0.2">
      <c r="A75" s="362"/>
      <c r="B75" s="362"/>
      <c r="C75" s="362"/>
      <c r="D75" s="362"/>
      <c r="E75" s="362"/>
      <c r="F75" s="362"/>
    </row>
    <row r="76" spans="1:6" x14ac:dyDescent="0.2">
      <c r="A76" s="362"/>
      <c r="B76" s="362"/>
      <c r="C76" s="362"/>
      <c r="D76" s="362"/>
      <c r="E76" s="362"/>
      <c r="F76" s="362"/>
    </row>
    <row r="77" spans="1:6" x14ac:dyDescent="0.2">
      <c r="A77" s="362"/>
      <c r="B77" s="362"/>
      <c r="C77" s="362"/>
      <c r="D77" s="362"/>
      <c r="E77" s="362"/>
      <c r="F77" s="362"/>
    </row>
    <row r="78" spans="1:6" x14ac:dyDescent="0.2">
      <c r="A78" s="362"/>
      <c r="B78" s="362"/>
      <c r="C78" s="362"/>
      <c r="D78" s="362"/>
      <c r="E78" s="362"/>
      <c r="F78" s="362"/>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810A0-51AF-4C6E-BF36-96D18A371E07}">
  <dimension ref="B4:H28"/>
  <sheetViews>
    <sheetView showGridLines="0" zoomScaleNormal="100" workbookViewId="0"/>
  </sheetViews>
  <sheetFormatPr defaultColWidth="9.140625" defaultRowHeight="12.75" x14ac:dyDescent="0.2"/>
  <cols>
    <col min="1" max="3" width="9.140625" style="209"/>
    <col min="4" max="4" width="65" style="209" customWidth="1"/>
    <col min="5" max="5" width="66.42578125" style="209" bestFit="1" customWidth="1"/>
    <col min="6" max="6" width="9.140625" style="209"/>
    <col min="7" max="7" width="12.5703125" style="209" customWidth="1"/>
    <col min="8" max="8" width="12.140625" style="209" customWidth="1"/>
    <col min="9" max="16384" width="9.140625" style="209"/>
  </cols>
  <sheetData>
    <row r="4" spans="2:8" x14ac:dyDescent="0.2">
      <c r="D4" s="724" t="s">
        <v>861</v>
      </c>
      <c r="E4" s="724"/>
      <c r="F4" s="724"/>
      <c r="G4" s="213"/>
    </row>
    <row r="5" spans="2:8" x14ac:dyDescent="0.2">
      <c r="D5" s="213" t="s">
        <v>862</v>
      </c>
      <c r="E5" s="136"/>
      <c r="F5" s="136"/>
      <c r="G5" s="136"/>
      <c r="H5" s="136"/>
    </row>
    <row r="6" spans="2:8" x14ac:dyDescent="0.2">
      <c r="D6" s="213"/>
      <c r="E6" s="136"/>
      <c r="F6" s="136"/>
      <c r="G6" s="136"/>
      <c r="H6" s="136"/>
    </row>
    <row r="7" spans="2:8" ht="25.5" x14ac:dyDescent="0.2">
      <c r="B7" s="216"/>
      <c r="C7" s="216"/>
      <c r="D7" s="720" t="s">
        <v>262</v>
      </c>
      <c r="E7" s="720" t="s">
        <v>263</v>
      </c>
      <c r="F7" s="722">
        <v>2023</v>
      </c>
      <c r="G7" s="382" t="s">
        <v>863</v>
      </c>
      <c r="H7" s="382" t="s">
        <v>1073</v>
      </c>
    </row>
    <row r="8" spans="2:8" ht="26.25" thickBot="1" x14ac:dyDescent="0.25">
      <c r="B8" s="384"/>
      <c r="C8" s="384"/>
      <c r="D8" s="721"/>
      <c r="E8" s="721"/>
      <c r="F8" s="723"/>
      <c r="G8" s="381" t="s">
        <v>865</v>
      </c>
      <c r="H8" s="381" t="s">
        <v>864</v>
      </c>
    </row>
    <row r="9" spans="2:8" ht="13.5" thickBot="1" x14ac:dyDescent="0.25">
      <c r="B9" s="216"/>
      <c r="C9" s="216"/>
      <c r="D9" s="380" t="s">
        <v>860</v>
      </c>
      <c r="E9" s="380"/>
      <c r="F9" s="174">
        <v>-3124</v>
      </c>
      <c r="G9" s="174">
        <v>-1155</v>
      </c>
      <c r="H9" s="174">
        <v>-667</v>
      </c>
    </row>
    <row r="10" spans="2:8" x14ac:dyDescent="0.2">
      <c r="B10" s="725" t="s">
        <v>533</v>
      </c>
      <c r="C10" s="725" t="s">
        <v>573</v>
      </c>
      <c r="D10" s="188" t="s">
        <v>264</v>
      </c>
      <c r="E10" s="189" t="s">
        <v>272</v>
      </c>
      <c r="F10" s="190">
        <v>-290</v>
      </c>
      <c r="G10" s="190">
        <v>-11</v>
      </c>
      <c r="H10" s="190">
        <v>-8</v>
      </c>
    </row>
    <row r="11" spans="2:8" x14ac:dyDescent="0.2">
      <c r="B11" s="715"/>
      <c r="C11" s="715"/>
      <c r="D11" s="191" t="s">
        <v>265</v>
      </c>
      <c r="E11" s="192" t="s">
        <v>273</v>
      </c>
      <c r="F11" s="193">
        <v>-237</v>
      </c>
      <c r="G11" s="193" t="s">
        <v>207</v>
      </c>
      <c r="H11" s="193" t="s">
        <v>207</v>
      </c>
    </row>
    <row r="12" spans="2:8" x14ac:dyDescent="0.2">
      <c r="B12" s="726"/>
      <c r="C12" s="726"/>
      <c r="D12" s="184" t="s">
        <v>266</v>
      </c>
      <c r="E12" s="185" t="s">
        <v>274</v>
      </c>
      <c r="F12" s="186">
        <v>-676</v>
      </c>
      <c r="G12" s="186">
        <v>-80</v>
      </c>
      <c r="H12" s="186">
        <v>-48</v>
      </c>
    </row>
    <row r="13" spans="2:8" x14ac:dyDescent="0.2">
      <c r="B13" s="715" t="s">
        <v>534</v>
      </c>
      <c r="C13" s="715" t="s">
        <v>535</v>
      </c>
      <c r="D13" s="138" t="s">
        <v>855</v>
      </c>
      <c r="E13" s="144" t="s">
        <v>275</v>
      </c>
      <c r="F13" s="128">
        <v>-1237</v>
      </c>
      <c r="G13" s="128">
        <v>-733</v>
      </c>
      <c r="H13" s="128">
        <v>-407</v>
      </c>
    </row>
    <row r="14" spans="2:8" x14ac:dyDescent="0.2">
      <c r="B14" s="715"/>
      <c r="C14" s="715"/>
      <c r="D14" s="138" t="s">
        <v>856</v>
      </c>
      <c r="E14" s="144" t="s">
        <v>872</v>
      </c>
      <c r="F14" s="128" t="s">
        <v>207</v>
      </c>
      <c r="G14" s="128">
        <v>-36</v>
      </c>
      <c r="H14" s="128">
        <v>-21</v>
      </c>
    </row>
    <row r="15" spans="2:8" x14ac:dyDescent="0.2">
      <c r="B15" s="715"/>
      <c r="C15" s="715"/>
      <c r="D15" s="138" t="s">
        <v>267</v>
      </c>
      <c r="E15" s="144" t="s">
        <v>276</v>
      </c>
      <c r="F15" s="128">
        <v>-371</v>
      </c>
      <c r="G15" s="128">
        <v>-246</v>
      </c>
      <c r="H15" s="128">
        <v>-155</v>
      </c>
    </row>
    <row r="16" spans="2:8" x14ac:dyDescent="0.2">
      <c r="B16" s="715"/>
      <c r="C16" s="715"/>
      <c r="D16" s="138" t="s">
        <v>857</v>
      </c>
      <c r="E16" s="144" t="s">
        <v>277</v>
      </c>
      <c r="F16" s="128">
        <v>-237</v>
      </c>
      <c r="G16" s="128">
        <v>-28</v>
      </c>
      <c r="H16" s="128">
        <v>-17</v>
      </c>
    </row>
    <row r="17" spans="2:8" x14ac:dyDescent="0.2">
      <c r="B17" s="726"/>
      <c r="C17" s="726"/>
      <c r="D17" s="184" t="s">
        <v>268</v>
      </c>
      <c r="E17" s="185" t="s">
        <v>278</v>
      </c>
      <c r="F17" s="187">
        <v>-76</v>
      </c>
      <c r="G17" s="187">
        <v>-21</v>
      </c>
      <c r="H17" s="187">
        <v>-13</v>
      </c>
    </row>
    <row r="18" spans="2:8" x14ac:dyDescent="0.2">
      <c r="B18" s="714" t="s">
        <v>536</v>
      </c>
      <c r="C18" s="717" t="s">
        <v>537</v>
      </c>
      <c r="D18" s="388" t="s">
        <v>269</v>
      </c>
      <c r="E18" s="389" t="s">
        <v>279</v>
      </c>
      <c r="F18" s="390">
        <v>937</v>
      </c>
      <c r="G18" s="390" t="s">
        <v>207</v>
      </c>
      <c r="H18" s="390" t="s">
        <v>207</v>
      </c>
    </row>
    <row r="19" spans="2:8" x14ac:dyDescent="0.2">
      <c r="B19" s="715"/>
      <c r="C19" s="718"/>
      <c r="D19" s="191" t="s">
        <v>237</v>
      </c>
      <c r="E19" s="192" t="s">
        <v>284</v>
      </c>
      <c r="F19" s="391" t="s">
        <v>207</v>
      </c>
      <c r="G19" s="391">
        <v>193</v>
      </c>
      <c r="H19" s="391" t="s">
        <v>207</v>
      </c>
    </row>
    <row r="20" spans="2:8" x14ac:dyDescent="0.2">
      <c r="B20" s="715"/>
      <c r="C20" s="718"/>
      <c r="D20" s="191" t="s">
        <v>270</v>
      </c>
      <c r="E20" s="192" t="s">
        <v>280</v>
      </c>
      <c r="F20" s="391">
        <v>30</v>
      </c>
      <c r="G20" s="391">
        <v>6</v>
      </c>
      <c r="H20" s="391" t="s">
        <v>207</v>
      </c>
    </row>
    <row r="21" spans="2:8" ht="13.5" thickBot="1" x14ac:dyDescent="0.25">
      <c r="B21" s="716"/>
      <c r="C21" s="719"/>
      <c r="D21" s="392" t="s">
        <v>271</v>
      </c>
      <c r="E21" s="393" t="s">
        <v>281</v>
      </c>
      <c r="F21" s="379">
        <v>152</v>
      </c>
      <c r="G21" s="379">
        <v>83</v>
      </c>
      <c r="H21" s="379" t="s">
        <v>207</v>
      </c>
    </row>
    <row r="22" spans="2:8" ht="13.5" thickBot="1" x14ac:dyDescent="0.25">
      <c r="B22" s="215"/>
      <c r="C22" s="215"/>
      <c r="D22" s="137" t="s">
        <v>858</v>
      </c>
      <c r="E22" s="137" t="s">
        <v>859</v>
      </c>
      <c r="F22" s="129">
        <v>-2005</v>
      </c>
      <c r="G22" s="378">
        <v>-873</v>
      </c>
      <c r="H22" s="129"/>
    </row>
    <row r="23" spans="2:8" x14ac:dyDescent="0.2">
      <c r="B23" s="385" t="s">
        <v>871</v>
      </c>
      <c r="C23" s="385"/>
      <c r="D23" s="385"/>
      <c r="E23" s="385"/>
      <c r="H23" s="386" t="s">
        <v>282</v>
      </c>
    </row>
    <row r="24" spans="2:8" x14ac:dyDescent="0.2">
      <c r="B24" s="385" t="s">
        <v>870</v>
      </c>
      <c r="C24" s="385"/>
      <c r="D24" s="385"/>
      <c r="E24" s="385"/>
      <c r="H24" s="387" t="s">
        <v>283</v>
      </c>
    </row>
    <row r="25" spans="2:8" x14ac:dyDescent="0.2">
      <c r="B25" s="385" t="s">
        <v>866</v>
      </c>
    </row>
    <row r="26" spans="2:8" x14ac:dyDescent="0.2">
      <c r="B26" s="385" t="s">
        <v>869</v>
      </c>
    </row>
    <row r="27" spans="2:8" x14ac:dyDescent="0.2">
      <c r="B27" s="385" t="s">
        <v>867</v>
      </c>
    </row>
    <row r="28" spans="2:8" x14ac:dyDescent="0.2">
      <c r="B28" s="209" t="s">
        <v>868</v>
      </c>
    </row>
  </sheetData>
  <mergeCells count="10">
    <mergeCell ref="D4:F4"/>
    <mergeCell ref="B10:B12"/>
    <mergeCell ref="C10:C12"/>
    <mergeCell ref="B13:B17"/>
    <mergeCell ref="C13:C17"/>
    <mergeCell ref="B18:B21"/>
    <mergeCell ref="C18:C21"/>
    <mergeCell ref="D7:D8"/>
    <mergeCell ref="E7:E8"/>
    <mergeCell ref="F7:F8"/>
  </mergeCells>
  <pageMargins left="0.7" right="0.7" top="0.75" bottom="0.75" header="0.3" footer="0.3"/>
  <pageSetup paperSize="0" orientation="portrait" horizontalDpi="0" verticalDpi="0" copie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2C100-9698-4E2F-85F4-BE139AA3F79A}">
  <dimension ref="A4:Q27"/>
  <sheetViews>
    <sheetView showGridLines="0" zoomScaleNormal="100" workbookViewId="0"/>
  </sheetViews>
  <sheetFormatPr defaultColWidth="9.140625" defaultRowHeight="12.75" x14ac:dyDescent="0.2"/>
  <cols>
    <col min="1" max="1" width="7.85546875" style="361" bestFit="1" customWidth="1"/>
    <col min="2" max="2" width="13.7109375" style="361" bestFit="1" customWidth="1"/>
    <col min="3" max="3" width="20.85546875" style="361" bestFit="1" customWidth="1"/>
    <col min="4" max="16384" width="9.140625" style="361"/>
  </cols>
  <sheetData>
    <row r="4" spans="1:10" x14ac:dyDescent="0.2">
      <c r="C4" s="363" t="s">
        <v>873</v>
      </c>
      <c r="J4" s="363" t="s">
        <v>1081</v>
      </c>
    </row>
    <row r="5" spans="1:10" x14ac:dyDescent="0.2">
      <c r="A5" s="362"/>
      <c r="B5" s="362"/>
      <c r="C5" s="362"/>
      <c r="D5" s="362"/>
      <c r="E5" s="362"/>
      <c r="F5" s="362"/>
    </row>
    <row r="22" spans="3:17" x14ac:dyDescent="0.2">
      <c r="H22" s="376" t="s">
        <v>817</v>
      </c>
      <c r="P22" s="376" t="s">
        <v>209</v>
      </c>
      <c r="Q22" s="376"/>
    </row>
    <row r="24" spans="3:17" ht="15" x14ac:dyDescent="0.25">
      <c r="H24"/>
    </row>
    <row r="25" spans="3:17" ht="15.75" thickBot="1" x14ac:dyDescent="0.3">
      <c r="C25" s="160"/>
      <c r="D25" s="160">
        <v>2024</v>
      </c>
      <c r="E25" s="160">
        <v>2025</v>
      </c>
      <c r="F25" s="160">
        <v>2026</v>
      </c>
      <c r="G25" s="160">
        <v>2027</v>
      </c>
      <c r="H25"/>
    </row>
    <row r="26" spans="3:17" ht="13.5" x14ac:dyDescent="0.2">
      <c r="C26" s="3" t="s">
        <v>1078</v>
      </c>
      <c r="D26" s="3"/>
      <c r="E26" s="692">
        <v>3.8494451594725254E-2</v>
      </c>
      <c r="F26" s="692">
        <v>8.5120000000000005E-3</v>
      </c>
      <c r="G26" s="692">
        <v>1.61371337605461E-2</v>
      </c>
      <c r="H26" s="692" t="s">
        <v>1088</v>
      </c>
    </row>
    <row r="27" spans="3:17" ht="13.5" x14ac:dyDescent="0.2">
      <c r="C27" s="3" t="s">
        <v>1079</v>
      </c>
      <c r="D27" s="692">
        <v>5.4152328822537177E-2</v>
      </c>
      <c r="E27" s="692">
        <v>3.6970211705043887E-2</v>
      </c>
      <c r="F27" s="692">
        <v>1.4160434813417888E-2</v>
      </c>
      <c r="G27" s="692">
        <v>4.1565060894371841E-2</v>
      </c>
      <c r="H27" s="692" t="s">
        <v>1080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7"/>
  <dimension ref="A1:AF110"/>
  <sheetViews>
    <sheetView showGridLines="0" zoomScale="90" zoomScaleNormal="90" workbookViewId="0">
      <pane xSplit="2" ySplit="5" topLeftCell="L6" activePane="bottomRight" state="frozen"/>
      <selection pane="topRight" activeCell="E1" sqref="E1"/>
      <selection pane="bottomLeft" activeCell="A6" sqref="A6"/>
      <selection pane="bottomRight"/>
    </sheetView>
  </sheetViews>
  <sheetFormatPr defaultColWidth="9.42578125" defaultRowHeight="13.5" x14ac:dyDescent="0.25"/>
  <cols>
    <col min="1" max="1" width="46.5703125" style="14" bestFit="1" customWidth="1"/>
    <col min="2" max="2" width="23.5703125" style="13" customWidth="1"/>
    <col min="3" max="3" width="10.42578125" style="14" customWidth="1"/>
    <col min="4" max="6" width="10" style="14" customWidth="1"/>
    <col min="7" max="9" width="10.42578125" style="14" customWidth="1"/>
    <col min="10" max="10" width="10.5703125" style="14" bestFit="1" customWidth="1"/>
    <col min="11" max="11" width="10.5703125" style="14" customWidth="1"/>
    <col min="12" max="12" width="10.5703125" style="14" bestFit="1" customWidth="1"/>
    <col min="13" max="13" width="10.5703125" style="14" customWidth="1"/>
    <col min="14" max="14" width="10.42578125" style="14" customWidth="1"/>
    <col min="15" max="17" width="10.5703125" style="14" bestFit="1" customWidth="1"/>
    <col min="18" max="20" width="10.5703125" style="14" customWidth="1"/>
    <col min="21" max="21" width="12.5703125" style="14" customWidth="1"/>
    <col min="22" max="22" width="9.28515625" style="14" customWidth="1"/>
    <col min="23" max="23" width="5.5703125" style="14" bestFit="1" customWidth="1"/>
    <col min="24" max="24" width="7" style="14" bestFit="1" customWidth="1"/>
    <col min="25" max="27" width="6.42578125" style="14" bestFit="1" customWidth="1"/>
    <col min="28" max="16384" width="9.42578125" style="14"/>
  </cols>
  <sheetData>
    <row r="1" spans="1:27" ht="15.75" customHeight="1" x14ac:dyDescent="0.25">
      <c r="A1" s="1"/>
    </row>
    <row r="2" spans="1:27" ht="15.75" customHeight="1" x14ac:dyDescent="0.25">
      <c r="A2" s="1"/>
    </row>
    <row r="3" spans="1:27" ht="16.5" customHeight="1" x14ac:dyDescent="0.25">
      <c r="A3" s="17" t="s">
        <v>34</v>
      </c>
      <c r="B3" s="18"/>
      <c r="C3" s="19"/>
      <c r="D3" s="19"/>
      <c r="E3" s="19"/>
      <c r="F3" s="19"/>
      <c r="G3" s="19"/>
      <c r="H3" s="19"/>
      <c r="I3" s="19"/>
      <c r="J3" s="19"/>
      <c r="K3" s="19"/>
      <c r="L3" s="19"/>
      <c r="M3" s="19"/>
      <c r="N3" s="19"/>
      <c r="O3" s="19"/>
      <c r="P3" s="19"/>
      <c r="Q3" s="19"/>
      <c r="R3" s="20"/>
      <c r="S3" s="20"/>
      <c r="T3" s="20"/>
      <c r="U3" s="20"/>
      <c r="V3" s="20"/>
      <c r="X3" s="16"/>
    </row>
    <row r="4" spans="1:27" ht="16.5" customHeight="1" x14ac:dyDescent="0.25">
      <c r="A4" s="21"/>
      <c r="B4" s="705" t="s">
        <v>35</v>
      </c>
      <c r="C4" s="22">
        <v>2008</v>
      </c>
      <c r="D4" s="22">
        <v>2009</v>
      </c>
      <c r="E4" s="22">
        <v>2010</v>
      </c>
      <c r="F4" s="23">
        <v>2011</v>
      </c>
      <c r="G4" s="24">
        <v>2012</v>
      </c>
      <c r="H4" s="24">
        <v>2013</v>
      </c>
      <c r="I4" s="24">
        <v>2014</v>
      </c>
      <c r="J4" s="24">
        <v>2015</v>
      </c>
      <c r="K4" s="24">
        <v>2016</v>
      </c>
      <c r="L4" s="24">
        <v>2017</v>
      </c>
      <c r="M4" s="24">
        <v>2018</v>
      </c>
      <c r="N4" s="24">
        <v>2019</v>
      </c>
      <c r="O4" s="24">
        <v>2020</v>
      </c>
      <c r="P4" s="24">
        <v>2021</v>
      </c>
      <c r="Q4" s="24">
        <v>2022</v>
      </c>
      <c r="R4" s="24">
        <v>2023</v>
      </c>
      <c r="S4" s="24">
        <v>2024</v>
      </c>
      <c r="T4" s="24">
        <v>2025</v>
      </c>
      <c r="U4" s="24">
        <v>2026</v>
      </c>
      <c r="V4" s="550">
        <v>2027</v>
      </c>
    </row>
    <row r="5" spans="1:27" x14ac:dyDescent="0.25">
      <c r="A5" s="25"/>
      <c r="B5" s="706"/>
      <c r="C5" s="26" t="s">
        <v>36</v>
      </c>
      <c r="D5" s="26" t="s">
        <v>36</v>
      </c>
      <c r="E5" s="26" t="s">
        <v>36</v>
      </c>
      <c r="F5" s="27" t="s">
        <v>36</v>
      </c>
      <c r="G5" s="27" t="s">
        <v>36</v>
      </c>
      <c r="H5" s="27" t="s">
        <v>36</v>
      </c>
      <c r="I5" s="27" t="s">
        <v>37</v>
      </c>
      <c r="J5" s="27" t="s">
        <v>37</v>
      </c>
      <c r="K5" s="27" t="s">
        <v>37</v>
      </c>
      <c r="L5" s="27" t="s">
        <v>36</v>
      </c>
      <c r="M5" s="27" t="s">
        <v>36</v>
      </c>
      <c r="N5" s="27" t="s">
        <v>36</v>
      </c>
      <c r="O5" s="27" t="s">
        <v>36</v>
      </c>
      <c r="P5" s="27" t="s">
        <v>36</v>
      </c>
      <c r="Q5" s="27" t="s">
        <v>36</v>
      </c>
      <c r="R5" s="27" t="s">
        <v>38</v>
      </c>
      <c r="S5" s="27" t="s">
        <v>464</v>
      </c>
      <c r="T5" s="27" t="s">
        <v>464</v>
      </c>
      <c r="U5" s="27" t="s">
        <v>464</v>
      </c>
      <c r="V5" s="551" t="s">
        <v>464</v>
      </c>
    </row>
    <row r="6" spans="1:27" ht="16.5" customHeight="1" x14ac:dyDescent="0.25">
      <c r="A6" s="28" t="s">
        <v>6</v>
      </c>
      <c r="B6" s="29" t="s">
        <v>39</v>
      </c>
      <c r="C6" s="30">
        <f t="shared" ref="C6:L6" si="0">C8+C28+C33+C40</f>
        <v>22095.989999999998</v>
      </c>
      <c r="D6" s="30">
        <f t="shared" si="0"/>
        <v>21511.205999999998</v>
      </c>
      <c r="E6" s="30">
        <f t="shared" si="0"/>
        <v>22162.225999999999</v>
      </c>
      <c r="F6" s="30">
        <f t="shared" si="0"/>
        <v>24467.425000000003</v>
      </c>
      <c r="G6" s="30">
        <f t="shared" si="0"/>
        <v>24934.161</v>
      </c>
      <c r="H6" s="30">
        <f t="shared" si="0"/>
        <v>27253.294999999998</v>
      </c>
      <c r="I6" s="30">
        <f t="shared" si="0"/>
        <v>30571.504000000004</v>
      </c>
      <c r="J6" s="30" t="e">
        <f t="shared" si="0"/>
        <v>#REF!</v>
      </c>
      <c r="K6" s="30">
        <f t="shared" si="0"/>
        <v>32482.753000000001</v>
      </c>
      <c r="L6" s="30">
        <f t="shared" si="0"/>
        <v>34073.978999999999</v>
      </c>
      <c r="M6" s="30">
        <v>34744.345999999998</v>
      </c>
      <c r="N6" s="30">
        <v>37123.834000000003</v>
      </c>
      <c r="O6" s="30">
        <v>36804.660000000003</v>
      </c>
      <c r="P6" s="30">
        <v>40265.292000000001</v>
      </c>
      <c r="Q6" s="30">
        <v>44654.736000000004</v>
      </c>
      <c r="R6" s="30">
        <v>52842.828999999998</v>
      </c>
      <c r="S6" s="103">
        <v>53758.705000000002</v>
      </c>
      <c r="T6" s="30">
        <v>59907.167000000009</v>
      </c>
      <c r="U6" s="556">
        <v>62122.254999999997</v>
      </c>
      <c r="V6" s="559">
        <v>63237.427000000011</v>
      </c>
    </row>
    <row r="7" spans="1:27" ht="16.5" customHeight="1" x14ac:dyDescent="0.25">
      <c r="A7" s="31" t="s">
        <v>1</v>
      </c>
      <c r="B7" s="32"/>
      <c r="C7" s="33">
        <f t="shared" ref="C7:L7" si="1">C6/C95</f>
        <v>0.32214343162862674</v>
      </c>
      <c r="D7" s="33">
        <f t="shared" si="1"/>
        <v>0.33561169853387096</v>
      </c>
      <c r="E7" s="33">
        <f t="shared" si="1"/>
        <v>0.32547013227387189</v>
      </c>
      <c r="F7" s="33">
        <f t="shared" si="1"/>
        <v>0.34357418536790896</v>
      </c>
      <c r="G7" s="33">
        <f t="shared" si="1"/>
        <v>0.33931497194035437</v>
      </c>
      <c r="H7" s="33">
        <f t="shared" si="1"/>
        <v>0.3665301837425658</v>
      </c>
      <c r="I7" s="33">
        <f t="shared" si="1"/>
        <v>0.4009069677219283</v>
      </c>
      <c r="J7" s="33" t="e">
        <f t="shared" si="1"/>
        <v>#REF!</v>
      </c>
      <c r="K7" s="33">
        <f t="shared" si="1"/>
        <v>0.40083172196719286</v>
      </c>
      <c r="L7" s="33">
        <f t="shared" si="1"/>
        <v>0.40351519337957087</v>
      </c>
      <c r="M7" s="33">
        <v>0.38658653331922921</v>
      </c>
      <c r="N7" s="33">
        <v>0.39310486494012137</v>
      </c>
      <c r="O7" s="33">
        <v>0.3938776897075561</v>
      </c>
      <c r="P7" s="33">
        <v>0.40135472609779493</v>
      </c>
      <c r="Q7" s="33">
        <v>0.4068323160749468</v>
      </c>
      <c r="R7" s="163">
        <v>43.027136545504099</v>
      </c>
      <c r="S7" s="163">
        <v>40.973257354564375</v>
      </c>
      <c r="T7" s="163">
        <v>42.821005251728941</v>
      </c>
      <c r="U7" s="163">
        <v>42.172486472386325</v>
      </c>
      <c r="V7" s="552">
        <v>41.562993974987272</v>
      </c>
    </row>
    <row r="8" spans="1:27" s="37" customFormat="1" ht="16.5" customHeight="1" x14ac:dyDescent="0.25">
      <c r="A8" s="34" t="s">
        <v>40</v>
      </c>
      <c r="B8" s="35" t="s">
        <v>42</v>
      </c>
      <c r="C8" s="36">
        <f t="shared" ref="C8:J8" si="2">C9+C18+C27</f>
        <v>11723.415000000001</v>
      </c>
      <c r="D8" s="36">
        <f t="shared" si="2"/>
        <v>10404.861000000001</v>
      </c>
      <c r="E8" s="36">
        <f t="shared" si="2"/>
        <v>10778.236000000001</v>
      </c>
      <c r="F8" s="36">
        <f t="shared" si="2"/>
        <v>11946.500000000002</v>
      </c>
      <c r="G8" s="36">
        <f t="shared" si="2"/>
        <v>11933.864</v>
      </c>
      <c r="H8" s="36">
        <f t="shared" si="2"/>
        <v>12972.047</v>
      </c>
      <c r="I8" s="36">
        <f t="shared" si="2"/>
        <v>13858.657000000003</v>
      </c>
      <c r="J8" s="36" t="e">
        <f t="shared" si="2"/>
        <v>#REF!</v>
      </c>
      <c r="K8" s="36">
        <v>15121.564</v>
      </c>
      <c r="L8" s="36">
        <v>16152.277999999998</v>
      </c>
      <c r="M8" s="36">
        <v>17123.006000000001</v>
      </c>
      <c r="N8" s="36">
        <v>18205.313000000002</v>
      </c>
      <c r="O8" s="36">
        <v>17935.11</v>
      </c>
      <c r="P8" s="36">
        <v>19884.148000000001</v>
      </c>
      <c r="Q8" s="36">
        <v>22082.976999999999</v>
      </c>
      <c r="R8" s="36">
        <v>24653.510000000002</v>
      </c>
      <c r="S8" s="104">
        <v>25886.947</v>
      </c>
      <c r="T8" s="36">
        <v>29284.002</v>
      </c>
      <c r="U8" s="36">
        <v>30335.626000000004</v>
      </c>
      <c r="V8" s="560">
        <v>30966.024000000005</v>
      </c>
    </row>
    <row r="9" spans="1:27" s="42" customFormat="1" ht="16.5" customHeight="1" x14ac:dyDescent="0.25">
      <c r="A9" s="38" t="s">
        <v>43</v>
      </c>
      <c r="B9" s="39" t="s">
        <v>44</v>
      </c>
      <c r="C9" s="40">
        <f>7078.889-7078.889+7186.13</f>
        <v>7186.13</v>
      </c>
      <c r="D9" s="40">
        <f>6630.007-6630.007+6734.898</f>
        <v>6734.8980000000001</v>
      </c>
      <c r="E9" s="40">
        <f>6779.116-6779.116+7037.871</f>
        <v>7037.8710000000001</v>
      </c>
      <c r="F9" s="40">
        <f>7377.566-7377.566+7967.341</f>
        <v>7967.3410000000003</v>
      </c>
      <c r="G9" s="40">
        <f>7163.223-7163.223+7788.108</f>
        <v>7788.1080000000002</v>
      </c>
      <c r="H9" s="40">
        <f>7632.281-7632.281+8348.508</f>
        <v>8348.5079999999998</v>
      </c>
      <c r="I9" s="40">
        <f>8045.254-8045.254+8745.379</f>
        <v>8745.3790000000008</v>
      </c>
      <c r="J9" s="41">
        <f>8505.784-8505.784+8506.184-8506.184+9229.613</f>
        <v>9229.6129999999994</v>
      </c>
      <c r="K9" s="40">
        <v>9282.6389999999992</v>
      </c>
      <c r="L9" s="40">
        <v>10030.49</v>
      </c>
      <c r="M9" s="40">
        <v>10593.769</v>
      </c>
      <c r="N9" s="40">
        <v>11382.779</v>
      </c>
      <c r="O9" s="40">
        <v>11252.812</v>
      </c>
      <c r="P9" s="40">
        <v>12056.538</v>
      </c>
      <c r="Q9" s="40">
        <v>13476.508</v>
      </c>
      <c r="R9" s="40">
        <v>15121.263000000001</v>
      </c>
      <c r="S9" s="105">
        <v>15180.005999999999</v>
      </c>
      <c r="T9" s="40">
        <v>17506.295000000002</v>
      </c>
      <c r="U9" s="40">
        <v>18101.591000000004</v>
      </c>
      <c r="V9" s="167">
        <v>18320.828000000001</v>
      </c>
    </row>
    <row r="10" spans="1:27" s="42" customFormat="1" ht="16.5" customHeight="1" x14ac:dyDescent="0.25">
      <c r="A10" s="43" t="s">
        <v>45</v>
      </c>
      <c r="B10" s="44" t="s">
        <v>46</v>
      </c>
      <c r="C10" s="40">
        <v>4621.424</v>
      </c>
      <c r="D10" s="40">
        <v>4221.2879999999996</v>
      </c>
      <c r="E10" s="40">
        <v>4182.1009999999997</v>
      </c>
      <c r="F10" s="40">
        <v>4710.9139999999998</v>
      </c>
      <c r="G10" s="40">
        <v>4327.7020000000002</v>
      </c>
      <c r="H10" s="40">
        <v>4696.12</v>
      </c>
      <c r="I10" s="40">
        <v>5021.1310000000003</v>
      </c>
      <c r="J10" s="41">
        <f>5420.173-5420.173+5422.535</f>
        <v>5422.5349999999999</v>
      </c>
      <c r="K10" s="40">
        <v>5423.6319999999996</v>
      </c>
      <c r="L10" s="40">
        <v>5918.7439999999997</v>
      </c>
      <c r="M10" s="40">
        <v>6319.3010000000004</v>
      </c>
      <c r="N10" s="40">
        <v>6830.1549999999997</v>
      </c>
      <c r="O10" s="40">
        <v>6820.2169999999996</v>
      </c>
      <c r="P10" s="40">
        <v>7494.0690000000004</v>
      </c>
      <c r="Q10" s="40">
        <v>8440.8439999999991</v>
      </c>
      <c r="R10" s="40">
        <v>9799.7639999999992</v>
      </c>
      <c r="S10" s="105">
        <v>9864.5069999999996</v>
      </c>
      <c r="T10" s="40">
        <v>11532.225</v>
      </c>
      <c r="U10" s="40">
        <v>11880.378000000001</v>
      </c>
      <c r="V10" s="167">
        <v>11891.654</v>
      </c>
    </row>
    <row r="11" spans="1:27" s="42" customFormat="1" ht="16.5" customHeight="1" x14ac:dyDescent="0.25">
      <c r="A11" s="45" t="s">
        <v>47</v>
      </c>
      <c r="B11" s="44" t="s">
        <v>48</v>
      </c>
      <c r="C11" s="40">
        <f>0+1809.268</f>
        <v>1809.268</v>
      </c>
      <c r="D11" s="40">
        <f>0+1761.719</f>
        <v>1761.7190000000001</v>
      </c>
      <c r="E11" s="40">
        <f>0+1930.806</f>
        <v>1930.806</v>
      </c>
      <c r="F11" s="40">
        <f>0+1999.131</f>
        <v>1999.1310000000001</v>
      </c>
      <c r="G11" s="40">
        <f>0+1973.341</f>
        <v>1973.3409999999999</v>
      </c>
      <c r="H11" s="40">
        <f>0+1984.783</f>
        <v>1984.7829999999999</v>
      </c>
      <c r="I11" s="40">
        <f>0+2014.994</f>
        <v>2014.9939999999999</v>
      </c>
      <c r="J11" s="40">
        <f>0+2108.224-2108.224+2108.223</f>
        <v>2108.223</v>
      </c>
      <c r="K11" s="40">
        <v>2574.0030000000002</v>
      </c>
      <c r="L11" s="40">
        <v>2740.5160000000001</v>
      </c>
      <c r="M11" s="40">
        <v>2809.9589999999998</v>
      </c>
      <c r="N11" s="40">
        <v>2839.1779999999999</v>
      </c>
      <c r="O11" s="40">
        <v>2752.268</v>
      </c>
      <c r="P11" s="40">
        <v>2958.3440000000001</v>
      </c>
      <c r="Q11" s="40">
        <v>2797.3440000000001</v>
      </c>
      <c r="R11" s="40">
        <v>3020.848</v>
      </c>
      <c r="S11" s="105">
        <v>2952.4180000000001</v>
      </c>
      <c r="T11" s="40">
        <v>3248.1759999999999</v>
      </c>
      <c r="U11" s="40">
        <v>3214.4279999999999</v>
      </c>
      <c r="V11" s="167">
        <v>3281.0569999999998</v>
      </c>
    </row>
    <row r="12" spans="1:27" s="42" customFormat="1" ht="16.5" customHeight="1" x14ac:dyDescent="0.25">
      <c r="A12" s="45" t="s">
        <v>191</v>
      </c>
      <c r="B12" s="5" t="s">
        <v>168</v>
      </c>
      <c r="C12" s="40"/>
      <c r="D12" s="40"/>
      <c r="E12" s="40"/>
      <c r="F12" s="40"/>
      <c r="G12" s="40"/>
      <c r="H12" s="40"/>
      <c r="I12" s="40"/>
      <c r="J12" s="41"/>
      <c r="K12" s="40">
        <v>318.06200000000001</v>
      </c>
      <c r="L12" s="40">
        <v>329.625</v>
      </c>
      <c r="M12" s="40">
        <v>337.928</v>
      </c>
      <c r="N12" s="40">
        <v>342.89400000000001</v>
      </c>
      <c r="O12" s="40">
        <v>402.21100000000001</v>
      </c>
      <c r="P12" s="40">
        <v>428.351</v>
      </c>
      <c r="Q12" s="40">
        <v>431.79899999999998</v>
      </c>
      <c r="R12" s="40">
        <v>469.70499999999998</v>
      </c>
      <c r="S12" s="105">
        <v>583.53599999999994</v>
      </c>
      <c r="T12" s="40">
        <v>593.69000000000005</v>
      </c>
      <c r="U12" s="40">
        <v>612.029</v>
      </c>
      <c r="V12" s="167">
        <v>623.298</v>
      </c>
    </row>
    <row r="13" spans="1:27" s="42" customFormat="1" ht="16.5" customHeight="1" x14ac:dyDescent="0.25">
      <c r="A13" s="45" t="s">
        <v>192</v>
      </c>
      <c r="B13" s="5" t="s">
        <v>193</v>
      </c>
      <c r="C13" s="40"/>
      <c r="D13" s="40"/>
      <c r="E13" s="40"/>
      <c r="F13" s="40"/>
      <c r="G13" s="40"/>
      <c r="H13" s="40"/>
      <c r="I13" s="40"/>
      <c r="J13" s="41"/>
      <c r="K13" s="40">
        <v>119.77200000000001</v>
      </c>
      <c r="L13" s="40">
        <v>127.28400000000001</v>
      </c>
      <c r="M13" s="40">
        <v>134.17699999999999</v>
      </c>
      <c r="N13" s="40">
        <v>143.41200000000001</v>
      </c>
      <c r="O13" s="40">
        <v>148.94999999999999</v>
      </c>
      <c r="P13" s="40">
        <v>0</v>
      </c>
      <c r="Q13" s="40">
        <v>0</v>
      </c>
      <c r="R13" s="40">
        <v>0</v>
      </c>
      <c r="S13" s="105">
        <v>0</v>
      </c>
      <c r="T13" s="40">
        <v>0</v>
      </c>
      <c r="U13" s="40">
        <v>0</v>
      </c>
      <c r="V13" s="167">
        <v>0</v>
      </c>
      <c r="W13" s="47"/>
      <c r="X13" s="47"/>
      <c r="Y13" s="47"/>
      <c r="Z13" s="47"/>
      <c r="AA13" s="47"/>
    </row>
    <row r="14" spans="1:27" s="42" customFormat="1" ht="16.5" customHeight="1" x14ac:dyDescent="0.25">
      <c r="A14" s="45" t="s">
        <v>194</v>
      </c>
      <c r="B14" s="5" t="s">
        <v>195</v>
      </c>
      <c r="C14" s="40"/>
      <c r="D14" s="40"/>
      <c r="E14" s="40"/>
      <c r="F14" s="40"/>
      <c r="G14" s="40"/>
      <c r="H14" s="40"/>
      <c r="I14" s="40"/>
      <c r="J14" s="41"/>
      <c r="K14" s="40">
        <v>204.79000000000002</v>
      </c>
      <c r="L14" s="40">
        <v>226.60599999999999</v>
      </c>
      <c r="M14" s="40">
        <v>245.36199999999999</v>
      </c>
      <c r="N14" s="40">
        <v>273.91800000000001</v>
      </c>
      <c r="O14" s="40">
        <v>231.196</v>
      </c>
      <c r="P14" s="40">
        <v>233.00399999999999</v>
      </c>
      <c r="Q14" s="40">
        <v>263.97399999999999</v>
      </c>
      <c r="R14" s="40">
        <v>312.29399999999998</v>
      </c>
      <c r="S14" s="105">
        <v>353.012</v>
      </c>
      <c r="T14" s="40">
        <v>379.476</v>
      </c>
      <c r="U14" s="40">
        <v>414.59199999999998</v>
      </c>
      <c r="V14" s="167">
        <v>449.70400000000001</v>
      </c>
      <c r="W14" s="47"/>
      <c r="X14" s="47"/>
      <c r="Y14" s="47"/>
      <c r="Z14" s="47"/>
      <c r="AA14" s="47"/>
    </row>
    <row r="15" spans="1:27" s="42" customFormat="1" ht="16.5" customHeight="1" x14ac:dyDescent="0.25">
      <c r="A15" s="45" t="s">
        <v>196</v>
      </c>
      <c r="B15" s="6" t="s">
        <v>197</v>
      </c>
      <c r="C15" s="40"/>
      <c r="D15" s="40"/>
      <c r="E15" s="40"/>
      <c r="F15" s="40"/>
      <c r="G15" s="40"/>
      <c r="H15" s="40"/>
      <c r="I15" s="40"/>
      <c r="J15" s="41"/>
      <c r="K15" s="40">
        <v>145.18299999999999</v>
      </c>
      <c r="L15" s="40">
        <v>149.899</v>
      </c>
      <c r="M15" s="40">
        <v>154.89099999999999</v>
      </c>
      <c r="N15" s="40">
        <v>153.655</v>
      </c>
      <c r="O15" s="40">
        <v>130.15899999999999</v>
      </c>
      <c r="P15" s="40">
        <v>129.53399999999999</v>
      </c>
      <c r="Q15" s="40">
        <v>133.684</v>
      </c>
      <c r="R15" s="40">
        <v>135.73099999999999</v>
      </c>
      <c r="S15" s="105">
        <v>139.01599999999999</v>
      </c>
      <c r="T15" s="40">
        <v>137.22999999999999</v>
      </c>
      <c r="U15" s="40">
        <v>140.65199999999999</v>
      </c>
      <c r="V15" s="167">
        <v>141.81</v>
      </c>
      <c r="W15" s="47"/>
      <c r="X15" s="47"/>
      <c r="Y15" s="47"/>
      <c r="Z15" s="48"/>
      <c r="AA15" s="47"/>
    </row>
    <row r="16" spans="1:27" s="42" customFormat="1" ht="16.5" customHeight="1" x14ac:dyDescent="0.25">
      <c r="A16" s="45" t="s">
        <v>198</v>
      </c>
      <c r="B16" s="5" t="s">
        <v>199</v>
      </c>
      <c r="C16" s="40"/>
      <c r="D16" s="40"/>
      <c r="E16" s="40"/>
      <c r="F16" s="40"/>
      <c r="G16" s="40"/>
      <c r="H16" s="40"/>
      <c r="I16" s="40"/>
      <c r="J16" s="41"/>
      <c r="K16" s="40">
        <v>64.724999999999994</v>
      </c>
      <c r="L16" s="40">
        <v>57.423999999999999</v>
      </c>
      <c r="M16" s="40">
        <v>86.977000000000004</v>
      </c>
      <c r="N16" s="40">
        <v>229.69300000000001</v>
      </c>
      <c r="O16" s="40">
        <v>244.184</v>
      </c>
      <c r="P16" s="40">
        <v>241.82599999999999</v>
      </c>
      <c r="Q16" s="40">
        <v>275.88900000000001</v>
      </c>
      <c r="R16" s="40">
        <v>342.52199999999999</v>
      </c>
      <c r="S16" s="105">
        <v>383.18299999999999</v>
      </c>
      <c r="T16" s="40">
        <v>307.483</v>
      </c>
      <c r="U16" s="40">
        <v>284.32900000000001</v>
      </c>
      <c r="V16" s="167">
        <v>335.24799999999999</v>
      </c>
      <c r="W16" s="47"/>
      <c r="X16" s="47"/>
      <c r="Y16" s="47"/>
      <c r="Z16" s="47"/>
      <c r="AA16" s="47"/>
    </row>
    <row r="17" spans="1:27" s="42" customFormat="1" ht="16.5" customHeight="1" x14ac:dyDescent="0.25">
      <c r="A17" s="45" t="s">
        <v>166</v>
      </c>
      <c r="B17" s="5" t="s">
        <v>200</v>
      </c>
      <c r="C17" s="40"/>
      <c r="D17" s="40"/>
      <c r="E17" s="40"/>
      <c r="F17" s="40"/>
      <c r="G17" s="40"/>
      <c r="H17" s="40"/>
      <c r="I17" s="40"/>
      <c r="J17" s="41"/>
      <c r="K17" s="40">
        <v>432.47199999999941</v>
      </c>
      <c r="L17" s="40">
        <v>480.39200000000005</v>
      </c>
      <c r="M17" s="40">
        <v>505.17400000000021</v>
      </c>
      <c r="N17" s="40">
        <v>569.87400000000082</v>
      </c>
      <c r="O17" s="40">
        <v>523.62700000000018</v>
      </c>
      <c r="P17" s="40">
        <v>571.40999999999985</v>
      </c>
      <c r="Q17" s="40">
        <v>1132.9740000000006</v>
      </c>
      <c r="R17" s="40">
        <v>1040.3990000000019</v>
      </c>
      <c r="S17" s="105">
        <v>904.33399999999961</v>
      </c>
      <c r="T17" s="40">
        <v>1308.0150000000001</v>
      </c>
      <c r="U17" s="40">
        <v>1555.183</v>
      </c>
      <c r="V17" s="167">
        <v>1598.057</v>
      </c>
      <c r="W17" s="47"/>
      <c r="X17" s="47"/>
      <c r="Y17" s="47"/>
      <c r="Z17" s="47"/>
      <c r="AA17" s="47"/>
    </row>
    <row r="18" spans="1:27" ht="16.5" customHeight="1" x14ac:dyDescent="0.25">
      <c r="A18" s="49" t="s">
        <v>8</v>
      </c>
      <c r="B18" s="39" t="s">
        <v>50</v>
      </c>
      <c r="C18" s="40">
        <f>4601.153-4601.153+4537.185</f>
        <v>4537.1850000000004</v>
      </c>
      <c r="D18" s="50">
        <f>3738.676-3738.676+3669.918</f>
        <v>3669.9180000000001</v>
      </c>
      <c r="E18" s="50">
        <f>3812.051-3812.051+3740.345</f>
        <v>3740.3449999999998</v>
      </c>
      <c r="F18" s="50">
        <f>4053.429-4053.429+3979.146</f>
        <v>3979.1460000000002</v>
      </c>
      <c r="G18" s="50">
        <f>4227.83-4227.83+4145.744</f>
        <v>4145.7439999999997</v>
      </c>
      <c r="H18" s="40">
        <f>4714.516-4714.516+4623.532</f>
        <v>4623.5320000000002</v>
      </c>
      <c r="I18" s="40">
        <f>5206.715-5206.715+5113.274</f>
        <v>5113.2740000000003</v>
      </c>
      <c r="J18" s="41" t="e">
        <f>MMF_TABULKA!#REF!</f>
        <v>#REF!</v>
      </c>
      <c r="K18" s="40">
        <v>5838.9210000000003</v>
      </c>
      <c r="L18" s="40">
        <v>6121.7879999999996</v>
      </c>
      <c r="M18" s="40">
        <v>6529.2370000000001</v>
      </c>
      <c r="N18" s="40">
        <v>6822.5339999999997</v>
      </c>
      <c r="O18" s="40">
        <v>6682.2979999999998</v>
      </c>
      <c r="P18" s="40">
        <v>7827.61</v>
      </c>
      <c r="Q18" s="40">
        <v>8606.4689999999991</v>
      </c>
      <c r="R18" s="40">
        <v>9532.2469999999994</v>
      </c>
      <c r="S18" s="105">
        <v>10706.941000000001</v>
      </c>
      <c r="T18" s="40">
        <v>11777.706999999999</v>
      </c>
      <c r="U18" s="40">
        <v>12234.035</v>
      </c>
      <c r="V18" s="167">
        <v>12645.196000000002</v>
      </c>
      <c r="W18" s="47"/>
      <c r="X18" s="47"/>
      <c r="Y18" s="47"/>
      <c r="Z18" s="47"/>
      <c r="AA18" s="47"/>
    </row>
    <row r="19" spans="1:27" ht="16.5" customHeight="1" x14ac:dyDescent="0.25">
      <c r="A19" s="43" t="s">
        <v>51</v>
      </c>
      <c r="B19" s="44" t="s">
        <v>52</v>
      </c>
      <c r="C19" s="40">
        <v>2095.1779999999999</v>
      </c>
      <c r="D19" s="50">
        <v>1793.693</v>
      </c>
      <c r="E19" s="50">
        <v>1789.5650000000001</v>
      </c>
      <c r="F19" s="50">
        <v>1999.8820000000001</v>
      </c>
      <c r="G19" s="50">
        <v>2122.7759999999998</v>
      </c>
      <c r="H19" s="40">
        <v>2175.0250000000001</v>
      </c>
      <c r="I19" s="41">
        <v>2275.1170000000002</v>
      </c>
      <c r="J19" s="41">
        <f>2464.414-2464.414+2463.642</f>
        <v>2463.6419999999998</v>
      </c>
      <c r="K19" s="40">
        <v>2679.4659999999999</v>
      </c>
      <c r="L19" s="40">
        <v>2855.23</v>
      </c>
      <c r="M19" s="40">
        <v>3217.9969999999998</v>
      </c>
      <c r="N19" s="40">
        <v>3533.7350000000001</v>
      </c>
      <c r="O19" s="40">
        <v>3499.962</v>
      </c>
      <c r="P19" s="40">
        <v>3759.7069999999999</v>
      </c>
      <c r="Q19" s="40">
        <v>4125.8860000000004</v>
      </c>
      <c r="R19" s="40">
        <v>4624.2659999999996</v>
      </c>
      <c r="S19" s="105">
        <v>4760.72</v>
      </c>
      <c r="T19" s="40">
        <v>5158.4030000000002</v>
      </c>
      <c r="U19" s="40">
        <v>5406.6109999999999</v>
      </c>
      <c r="V19" s="167">
        <v>5724.9880000000003</v>
      </c>
    </row>
    <row r="20" spans="1:27" ht="16.5" customHeight="1" x14ac:dyDescent="0.25">
      <c r="A20" s="51" t="s">
        <v>53</v>
      </c>
      <c r="B20" s="52" t="s">
        <v>54</v>
      </c>
      <c r="C20" s="41">
        <f>0+1639.776</f>
        <v>1639.7760000000001</v>
      </c>
      <c r="D20" s="53">
        <v>1468.115</v>
      </c>
      <c r="E20" s="53">
        <v>1431.1880000000001</v>
      </c>
      <c r="F20" s="53">
        <v>1638.58</v>
      </c>
      <c r="G20" s="53">
        <v>1763.433</v>
      </c>
      <c r="H20" s="41">
        <v>1788.0440000000001</v>
      </c>
      <c r="I20" s="41">
        <v>1903.7840000000001</v>
      </c>
      <c r="J20" s="41">
        <f>2082.0493+0.007</f>
        <v>2082.0563000000002</v>
      </c>
      <c r="K20" s="40">
        <v>2542.3919999999998</v>
      </c>
      <c r="L20" s="40">
        <v>2746.78</v>
      </c>
      <c r="M20" s="40">
        <v>3094.2820000000002</v>
      </c>
      <c r="N20" s="40">
        <v>3410.1120000000001</v>
      </c>
      <c r="O20" s="40">
        <v>3400.0830000000001</v>
      </c>
      <c r="P20" s="40">
        <v>3630.348</v>
      </c>
      <c r="Q20" s="40">
        <v>3967.7130000000002</v>
      </c>
      <c r="R20" s="40">
        <v>4436.0219999999999</v>
      </c>
      <c r="S20" s="105">
        <v>4619.2139999999999</v>
      </c>
      <c r="T20" s="40">
        <v>4997.1149999999998</v>
      </c>
      <c r="U20" s="40">
        <v>5243.335</v>
      </c>
      <c r="V20" s="167">
        <v>5562.56</v>
      </c>
    </row>
    <row r="21" spans="1:27" ht="16.5" customHeight="1" x14ac:dyDescent="0.25">
      <c r="A21" s="51" t="s">
        <v>55</v>
      </c>
      <c r="B21" s="54" t="s">
        <v>56</v>
      </c>
      <c r="C21" s="41">
        <v>202.36500000000001</v>
      </c>
      <c r="D21" s="53">
        <v>188.64599999999999</v>
      </c>
      <c r="E21" s="53">
        <v>47.405999999999999</v>
      </c>
      <c r="F21" s="53">
        <v>59.451999999999998</v>
      </c>
      <c r="G21" s="53">
        <v>85.807000000000002</v>
      </c>
      <c r="H21" s="41">
        <v>79.712000000000003</v>
      </c>
      <c r="I21" s="41">
        <v>82.671000000000006</v>
      </c>
      <c r="J21" s="41">
        <v>100.68899999999999</v>
      </c>
      <c r="K21" s="40">
        <v>137.07499999999999</v>
      </c>
      <c r="L21" s="40">
        <v>108.449</v>
      </c>
      <c r="M21" s="40">
        <v>123.715</v>
      </c>
      <c r="N21" s="40">
        <v>123.622</v>
      </c>
      <c r="O21" s="40">
        <v>99.878</v>
      </c>
      <c r="P21" s="40">
        <v>129.358</v>
      </c>
      <c r="Q21" s="40">
        <v>158.17500000000001</v>
      </c>
      <c r="R21" s="40">
        <v>188.24299999999999</v>
      </c>
      <c r="S21" s="105">
        <v>141.506</v>
      </c>
      <c r="T21" s="40">
        <v>161.28800000000001</v>
      </c>
      <c r="U21" s="40">
        <v>163.27600000000001</v>
      </c>
      <c r="V21" s="167">
        <v>162.428</v>
      </c>
    </row>
    <row r="22" spans="1:27" ht="16.5" customHeight="1" x14ac:dyDescent="0.25">
      <c r="A22" s="55" t="s">
        <v>57</v>
      </c>
      <c r="B22" s="44" t="s">
        <v>58</v>
      </c>
      <c r="C22" s="41">
        <v>2087.4659999999999</v>
      </c>
      <c r="D22" s="53">
        <v>1576.972</v>
      </c>
      <c r="E22" s="53">
        <v>1659.23</v>
      </c>
      <c r="F22" s="53">
        <v>1699.1869999999999</v>
      </c>
      <c r="G22" s="53">
        <v>1714.779</v>
      </c>
      <c r="H22" s="41">
        <v>2117.8330000000001</v>
      </c>
      <c r="I22" s="41">
        <v>2504.402</v>
      </c>
      <c r="J22" s="41">
        <f>2945.325-2945.325+2916.816</f>
        <v>2916.8159999999998</v>
      </c>
      <c r="K22" s="40">
        <v>2817.558</v>
      </c>
      <c r="L22" s="40">
        <v>2925.4609999999998</v>
      </c>
      <c r="M22" s="40">
        <v>2942.902</v>
      </c>
      <c r="N22" s="40">
        <v>2878.3319999999999</v>
      </c>
      <c r="O22" s="40">
        <v>2799.748</v>
      </c>
      <c r="P22" s="40">
        <v>3632.636</v>
      </c>
      <c r="Q22" s="40">
        <v>4012.1559999999999</v>
      </c>
      <c r="R22" s="40">
        <v>4351.2820000000002</v>
      </c>
      <c r="S22" s="105">
        <v>5241.1899999999996</v>
      </c>
      <c r="T22" s="40">
        <v>5912.9759999999997</v>
      </c>
      <c r="U22" s="40">
        <v>6116.69</v>
      </c>
      <c r="V22" s="167">
        <v>6163.3190000000004</v>
      </c>
    </row>
    <row r="23" spans="1:27" ht="16.5" customHeight="1" x14ac:dyDescent="0.25">
      <c r="A23" s="7" t="s">
        <v>201</v>
      </c>
      <c r="B23" s="5" t="s">
        <v>202</v>
      </c>
      <c r="C23" s="41"/>
      <c r="D23" s="53"/>
      <c r="E23" s="53"/>
      <c r="F23" s="53"/>
      <c r="G23" s="53"/>
      <c r="H23" s="41"/>
      <c r="I23" s="41"/>
      <c r="J23" s="41"/>
      <c r="K23" s="40">
        <v>111.489</v>
      </c>
      <c r="L23" s="40">
        <v>155.31299999999999</v>
      </c>
      <c r="M23" s="40">
        <v>155.197</v>
      </c>
      <c r="N23" s="40">
        <v>126.65</v>
      </c>
      <c r="O23" s="40">
        <v>126.18899999999999</v>
      </c>
      <c r="P23" s="40">
        <v>101.68300000000001</v>
      </c>
      <c r="Q23" s="40">
        <v>93.459000000000003</v>
      </c>
      <c r="R23" s="40">
        <v>88.031999999999996</v>
      </c>
      <c r="S23" s="105">
        <v>528.71600000000001</v>
      </c>
      <c r="T23" s="40">
        <v>497.73899999999998</v>
      </c>
      <c r="U23" s="40">
        <v>451.16399999999999</v>
      </c>
      <c r="V23" s="167">
        <v>392.63499999999999</v>
      </c>
    </row>
    <row r="24" spans="1:27" ht="16.5" customHeight="1" x14ac:dyDescent="0.25">
      <c r="A24" s="56" t="s">
        <v>59</v>
      </c>
      <c r="B24" s="44" t="s">
        <v>60</v>
      </c>
      <c r="C24" s="41">
        <v>205.96799999999999</v>
      </c>
      <c r="D24" s="53">
        <v>155.755</v>
      </c>
      <c r="E24" s="53">
        <v>152.33199999999999</v>
      </c>
      <c r="F24" s="53">
        <v>143.19999999999999</v>
      </c>
      <c r="G24" s="53">
        <v>167.14400000000001</v>
      </c>
      <c r="H24" s="41">
        <v>177.78399999999999</v>
      </c>
      <c r="I24" s="41">
        <v>175.06100000000001</v>
      </c>
      <c r="J24" s="41">
        <f>162.006-162.006+162.005</f>
        <v>162.005</v>
      </c>
      <c r="K24" s="40">
        <v>179.21199999999999</v>
      </c>
      <c r="L24" s="40">
        <v>178.43100000000001</v>
      </c>
      <c r="M24" s="40">
        <v>209.16900000000001</v>
      </c>
      <c r="N24" s="40">
        <v>245.61500000000001</v>
      </c>
      <c r="O24" s="40">
        <v>235.08</v>
      </c>
      <c r="P24" s="40">
        <v>289.75400000000002</v>
      </c>
      <c r="Q24" s="40">
        <v>314.76400000000001</v>
      </c>
      <c r="R24" s="40">
        <v>430.57400000000001</v>
      </c>
      <c r="S24" s="105">
        <v>518.67200000000003</v>
      </c>
      <c r="T24" s="40">
        <v>511.18400000000003</v>
      </c>
      <c r="U24" s="40">
        <v>512.73400000000004</v>
      </c>
      <c r="V24" s="167">
        <v>556.87800000000004</v>
      </c>
    </row>
    <row r="25" spans="1:27" ht="16.5" customHeight="1" x14ac:dyDescent="0.25">
      <c r="A25" s="55" t="s">
        <v>49</v>
      </c>
      <c r="B25" s="44" t="s">
        <v>61</v>
      </c>
      <c r="C25" s="41">
        <v>78.835999999999999</v>
      </c>
      <c r="D25" s="41">
        <v>84.311999999999998</v>
      </c>
      <c r="E25" s="41">
        <v>87.986999999999995</v>
      </c>
      <c r="F25" s="41">
        <v>90.650999999999996</v>
      </c>
      <c r="G25" s="41">
        <v>100.535</v>
      </c>
      <c r="H25" s="41">
        <v>104.57899999999999</v>
      </c>
      <c r="I25" s="41">
        <v>105.777</v>
      </c>
      <c r="J25" s="41">
        <f>106.937-106.937+106.936</f>
        <v>106.93600000000001</v>
      </c>
      <c r="K25" s="40">
        <v>29.838999999999999</v>
      </c>
      <c r="L25" s="40">
        <v>31.082000000000001</v>
      </c>
      <c r="M25" s="40">
        <v>31.239000000000001</v>
      </c>
      <c r="N25" s="40">
        <v>34.668999999999997</v>
      </c>
      <c r="O25" s="40">
        <v>35.595999999999997</v>
      </c>
      <c r="P25" s="40">
        <v>37.39</v>
      </c>
      <c r="Q25" s="40">
        <v>36.978000000000002</v>
      </c>
      <c r="R25" s="40">
        <v>39.950000000000003</v>
      </c>
      <c r="S25" s="105">
        <v>67.956999999999994</v>
      </c>
      <c r="T25" s="40">
        <v>68.156999999999996</v>
      </c>
      <c r="U25" s="40">
        <v>68.930000000000007</v>
      </c>
      <c r="V25" s="167">
        <v>70.600999999999999</v>
      </c>
    </row>
    <row r="26" spans="1:27" ht="16.5" customHeight="1" x14ac:dyDescent="0.25">
      <c r="A26" s="4" t="s">
        <v>166</v>
      </c>
      <c r="B26" s="5" t="s">
        <v>203</v>
      </c>
      <c r="C26" s="41"/>
      <c r="D26" s="41"/>
      <c r="E26" s="41"/>
      <c r="F26" s="41"/>
      <c r="G26" s="41"/>
      <c r="H26" s="41"/>
      <c r="I26" s="41"/>
      <c r="J26" s="41"/>
      <c r="K26" s="40">
        <v>132.8460000000004</v>
      </c>
      <c r="L26" s="40">
        <v>131.58399999999975</v>
      </c>
      <c r="M26" s="40">
        <v>127.93000000000018</v>
      </c>
      <c r="N26" s="40">
        <v>130.18299999999965</v>
      </c>
      <c r="O26" s="40">
        <v>111.91199999999972</v>
      </c>
      <c r="P26" s="40">
        <v>108.12299999999981</v>
      </c>
      <c r="Q26" s="40">
        <v>116.68499999999875</v>
      </c>
      <c r="R26" s="40">
        <v>86.174999999999599</v>
      </c>
      <c r="S26" s="105">
        <v>118.40200000000084</v>
      </c>
      <c r="T26" s="40">
        <v>126.98699999999999</v>
      </c>
      <c r="U26" s="40">
        <v>129.07</v>
      </c>
      <c r="V26" s="167">
        <v>129.41</v>
      </c>
    </row>
    <row r="27" spans="1:27" ht="16.5" customHeight="1" x14ac:dyDescent="0.25">
      <c r="A27" s="57" t="s">
        <v>62</v>
      </c>
      <c r="B27" s="39" t="s">
        <v>63</v>
      </c>
      <c r="C27" s="40">
        <v>0.1</v>
      </c>
      <c r="D27" s="41">
        <v>4.4999999999999998E-2</v>
      </c>
      <c r="E27" s="41">
        <v>0.02</v>
      </c>
      <c r="F27" s="41">
        <v>1.2999999999999999E-2</v>
      </c>
      <c r="G27" s="41">
        <v>1.2E-2</v>
      </c>
      <c r="H27" s="41">
        <v>7.0000000000000001E-3</v>
      </c>
      <c r="I27" s="41">
        <v>4.0000000000000001E-3</v>
      </c>
      <c r="J27" s="41">
        <v>-6.0000000000000001E-3</v>
      </c>
      <c r="K27" s="40">
        <v>4.0000000000000001E-3</v>
      </c>
      <c r="L27" s="40">
        <v>0</v>
      </c>
      <c r="M27" s="40">
        <v>0</v>
      </c>
      <c r="N27" s="40">
        <v>0</v>
      </c>
      <c r="O27" s="40">
        <v>0</v>
      </c>
      <c r="P27" s="40">
        <v>0</v>
      </c>
      <c r="Q27" s="40">
        <v>0</v>
      </c>
      <c r="R27" s="40">
        <v>0</v>
      </c>
      <c r="S27" s="105"/>
      <c r="T27" s="40">
        <v>0</v>
      </c>
      <c r="U27" s="40">
        <v>0</v>
      </c>
      <c r="V27" s="167">
        <v>0</v>
      </c>
    </row>
    <row r="28" spans="1:27" s="37" customFormat="1" ht="16.5" customHeight="1" x14ac:dyDescent="0.25">
      <c r="A28" s="58" t="s">
        <v>10</v>
      </c>
      <c r="B28" s="59" t="s">
        <v>64</v>
      </c>
      <c r="C28" s="36">
        <f>C29+C32</f>
        <v>6533.3729999999996</v>
      </c>
      <c r="D28" s="36">
        <f>D29+D32</f>
        <v>6314.1920000000009</v>
      </c>
      <c r="E28" s="36">
        <f t="shared" ref="E28:H28" si="3">E29+E32</f>
        <v>6826.1920000000009</v>
      </c>
      <c r="F28" s="36">
        <f t="shared" si="3"/>
        <v>6849.5550000000003</v>
      </c>
      <c r="G28" s="36">
        <f t="shared" si="3"/>
        <v>7147.9620000000004</v>
      </c>
      <c r="H28" s="36">
        <f t="shared" si="3"/>
        <v>7952.670000000001</v>
      </c>
      <c r="I28" s="36">
        <v>10393.99</v>
      </c>
      <c r="J28" s="36">
        <v>11078.508</v>
      </c>
      <c r="K28" s="36">
        <v>11656.683000000001</v>
      </c>
      <c r="L28" s="36">
        <v>12499.814</v>
      </c>
      <c r="M28" s="36">
        <v>13349.107</v>
      </c>
      <c r="N28" s="36">
        <v>14318.293</v>
      </c>
      <c r="O28" s="36">
        <v>14499.186</v>
      </c>
      <c r="P28" s="36">
        <v>15635.062</v>
      </c>
      <c r="Q28" s="36">
        <v>16338.521000000001</v>
      </c>
      <c r="R28" s="36">
        <v>18876.288</v>
      </c>
      <c r="S28" s="104">
        <v>20438.396000000001</v>
      </c>
      <c r="T28" s="36">
        <v>21966.978000000003</v>
      </c>
      <c r="U28" s="36">
        <v>23371.351999999999</v>
      </c>
      <c r="V28" s="560">
        <v>24502.563999999998</v>
      </c>
    </row>
    <row r="29" spans="1:27" ht="15.75" customHeight="1" x14ac:dyDescent="0.25">
      <c r="A29" s="38" t="s">
        <v>65</v>
      </c>
      <c r="B29" s="44" t="s">
        <v>66</v>
      </c>
      <c r="C29" s="40">
        <f>C30+C31</f>
        <v>6447.183</v>
      </c>
      <c r="D29" s="40">
        <f>D30+D31</f>
        <v>6218.4010000000007</v>
      </c>
      <c r="E29" s="40">
        <f t="shared" ref="E29:J29" si="4">E30+E31</f>
        <v>6687.4040000000005</v>
      </c>
      <c r="F29" s="40">
        <f t="shared" si="4"/>
        <v>6701.22</v>
      </c>
      <c r="G29" s="40">
        <f t="shared" si="4"/>
        <v>7027.8640000000005</v>
      </c>
      <c r="H29" s="40">
        <f t="shared" si="4"/>
        <v>7810.3780000000006</v>
      </c>
      <c r="I29" s="40">
        <f t="shared" si="4"/>
        <v>8123.9470000000001</v>
      </c>
      <c r="J29" s="40">
        <f t="shared" si="4"/>
        <v>8760.4000000000015</v>
      </c>
      <c r="K29" s="40">
        <v>11475.968000000001</v>
      </c>
      <c r="L29" s="40">
        <v>12310.387999999999</v>
      </c>
      <c r="M29" s="40">
        <v>13158.088</v>
      </c>
      <c r="N29" s="40">
        <v>14096.022000000001</v>
      </c>
      <c r="O29" s="40">
        <v>14241.438</v>
      </c>
      <c r="P29" s="40">
        <v>15290.791999999999</v>
      </c>
      <c r="Q29" s="40">
        <v>15995.164999999999</v>
      </c>
      <c r="R29" s="40">
        <v>18522.921999999999</v>
      </c>
      <c r="S29" s="105">
        <v>20128.137999999999</v>
      </c>
      <c r="T29" s="40">
        <v>21586.595000000001</v>
      </c>
      <c r="U29" s="40">
        <v>22990.35</v>
      </c>
      <c r="V29" s="167">
        <v>24117.739999999998</v>
      </c>
    </row>
    <row r="30" spans="1:27" ht="16.5" customHeight="1" x14ac:dyDescent="0.25">
      <c r="A30" s="56" t="s">
        <v>67</v>
      </c>
      <c r="B30" s="44" t="s">
        <v>68</v>
      </c>
      <c r="C30" s="40">
        <f>1817.308+2647.291</f>
        <v>4464.5990000000002</v>
      </c>
      <c r="D30" s="40">
        <f>1747.634+2558.815</f>
        <v>4306.4490000000005</v>
      </c>
      <c r="E30" s="40">
        <f>1783.901+2795.29</f>
        <v>4579.1909999999998</v>
      </c>
      <c r="F30" s="40">
        <f>1907.943+2742.951</f>
        <v>4650.8940000000002</v>
      </c>
      <c r="G30" s="40">
        <f>2067.599+2801.073</f>
        <v>4868.6720000000005</v>
      </c>
      <c r="H30" s="40">
        <f>2530.574+3024.958</f>
        <v>5555.5320000000002</v>
      </c>
      <c r="I30" s="40">
        <f>2650.909+3180.657</f>
        <v>5831.5660000000007</v>
      </c>
      <c r="J30" s="40">
        <f>2923.897+3358.847</f>
        <v>6282.7440000000006</v>
      </c>
      <c r="K30" s="40">
        <v>6506.6890000000003</v>
      </c>
      <c r="L30" s="40">
        <v>7173.4159999999993</v>
      </c>
      <c r="M30" s="40">
        <v>7781.5599999999995</v>
      </c>
      <c r="N30" s="40">
        <v>8538.8189999999995</v>
      </c>
      <c r="O30" s="40">
        <v>8649.5550000000003</v>
      </c>
      <c r="P30" s="40">
        <v>9142.6029999999992</v>
      </c>
      <c r="Q30" s="40">
        <v>9464.9959999999992</v>
      </c>
      <c r="R30" s="40">
        <v>10718.175999999999</v>
      </c>
      <c r="S30" s="105">
        <v>11162.249</v>
      </c>
      <c r="T30" s="40">
        <v>11828.956</v>
      </c>
      <c r="U30" s="40">
        <v>12435.598</v>
      </c>
      <c r="V30" s="167">
        <v>13050.308999999999</v>
      </c>
    </row>
    <row r="31" spans="1:27" ht="16.5" customHeight="1" x14ac:dyDescent="0.25">
      <c r="A31" s="56" t="s">
        <v>204</v>
      </c>
      <c r="B31" s="44" t="s">
        <v>69</v>
      </c>
      <c r="C31" s="40">
        <v>1982.5840000000001</v>
      </c>
      <c r="D31" s="40">
        <v>1911.952</v>
      </c>
      <c r="E31" s="40">
        <v>2108.2130000000002</v>
      </c>
      <c r="F31" s="40">
        <v>2050.326</v>
      </c>
      <c r="G31" s="40">
        <v>2159.192</v>
      </c>
      <c r="H31" s="40">
        <f>2254.846</f>
        <v>2254.846</v>
      </c>
      <c r="I31" s="40">
        <v>2292.3809999999999</v>
      </c>
      <c r="J31" s="40">
        <v>2477.6559999999999</v>
      </c>
      <c r="K31" s="40">
        <v>4969.2790000000005</v>
      </c>
      <c r="L31" s="40">
        <v>5136.9719999999998</v>
      </c>
      <c r="M31" s="40">
        <v>5376.5280000000002</v>
      </c>
      <c r="N31" s="40">
        <v>5557.2030000000004</v>
      </c>
      <c r="O31" s="40">
        <v>5591.8829999999998</v>
      </c>
      <c r="P31" s="40">
        <v>6148.1890000000003</v>
      </c>
      <c r="Q31" s="40">
        <v>6530.1689999999999</v>
      </c>
      <c r="R31" s="40">
        <v>7804.7459999999992</v>
      </c>
      <c r="S31" s="105">
        <v>8965.8889999999992</v>
      </c>
      <c r="T31" s="40">
        <v>9757.6389999999992</v>
      </c>
      <c r="U31" s="40">
        <v>10554.752</v>
      </c>
      <c r="V31" s="167">
        <v>11067.431</v>
      </c>
    </row>
    <row r="32" spans="1:27" ht="16.5" customHeight="1" x14ac:dyDescent="0.25">
      <c r="A32" s="38" t="s">
        <v>70</v>
      </c>
      <c r="B32" s="44" t="s">
        <v>71</v>
      </c>
      <c r="C32" s="40">
        <v>86.19</v>
      </c>
      <c r="D32" s="40">
        <v>95.790999999999997</v>
      </c>
      <c r="E32" s="40">
        <v>138.78800000000001</v>
      </c>
      <c r="F32" s="40">
        <v>148.33500000000001</v>
      </c>
      <c r="G32" s="40">
        <v>120.098</v>
      </c>
      <c r="H32" s="40">
        <v>142.292</v>
      </c>
      <c r="I32" s="40">
        <v>153.363</v>
      </c>
      <c r="J32" s="40">
        <v>170.85599999999999</v>
      </c>
      <c r="K32" s="40">
        <v>180.715</v>
      </c>
      <c r="L32" s="40">
        <v>189.42599999999999</v>
      </c>
      <c r="M32" s="40">
        <v>191.01900000000001</v>
      </c>
      <c r="N32" s="40">
        <v>222.27099999999999</v>
      </c>
      <c r="O32" s="40">
        <v>257.74799999999999</v>
      </c>
      <c r="P32" s="40">
        <v>344.27</v>
      </c>
      <c r="Q32" s="40">
        <v>343.35599999999999</v>
      </c>
      <c r="R32" s="40">
        <v>353.36599999999999</v>
      </c>
      <c r="S32" s="105">
        <v>310.25799999999998</v>
      </c>
      <c r="T32" s="40">
        <v>380.38299999999998</v>
      </c>
      <c r="U32" s="40">
        <v>381.00200000000001</v>
      </c>
      <c r="V32" s="167">
        <v>384.82400000000001</v>
      </c>
    </row>
    <row r="33" spans="1:26" s="62" customFormat="1" ht="16.5" customHeight="1" x14ac:dyDescent="0.25">
      <c r="A33" s="60" t="s">
        <v>72</v>
      </c>
      <c r="B33" s="61" t="s">
        <v>41</v>
      </c>
      <c r="C33" s="36">
        <f t="shared" ref="C33:I33" si="5">C34+C37</f>
        <v>2631.6390000000001</v>
      </c>
      <c r="D33" s="36">
        <f t="shared" si="5"/>
        <v>2981.5860000000002</v>
      </c>
      <c r="E33" s="36">
        <f t="shared" si="5"/>
        <v>2975.0010000000002</v>
      </c>
      <c r="F33" s="36">
        <f t="shared" si="5"/>
        <v>3355.7359999999999</v>
      </c>
      <c r="G33" s="36">
        <f t="shared" si="5"/>
        <v>3948.54</v>
      </c>
      <c r="H33" s="36">
        <f t="shared" si="5"/>
        <v>4074.1350000000002</v>
      </c>
      <c r="I33" s="36">
        <f t="shared" si="5"/>
        <v>4068.9649999999997</v>
      </c>
      <c r="J33" s="36">
        <f>J34+J37</f>
        <v>4317.7029999999995</v>
      </c>
      <c r="K33" s="36">
        <v>4342.0789999999997</v>
      </c>
      <c r="L33" s="36">
        <v>4472.0550000000003</v>
      </c>
      <c r="M33" s="36">
        <v>3085.616</v>
      </c>
      <c r="N33" s="36">
        <v>3060.5479999999998</v>
      </c>
      <c r="O33" s="36">
        <v>2832.6610000000001</v>
      </c>
      <c r="P33" s="36">
        <v>3209.9209999999998</v>
      </c>
      <c r="Q33" s="36">
        <v>3593.3150000000001</v>
      </c>
      <c r="R33" s="36">
        <v>4618.1319999999996</v>
      </c>
      <c r="S33" s="104">
        <v>4801.5560000000005</v>
      </c>
      <c r="T33" s="36">
        <v>5225.6539999999995</v>
      </c>
      <c r="U33" s="36">
        <v>5134.1489999999994</v>
      </c>
      <c r="V33" s="560">
        <v>5086.5689999999995</v>
      </c>
      <c r="Y33" s="16"/>
      <c r="Z33" s="208"/>
    </row>
    <row r="34" spans="1:26" ht="16.5" customHeight="1" x14ac:dyDescent="0.25">
      <c r="A34" s="57" t="s">
        <v>73</v>
      </c>
      <c r="B34" s="64" t="s">
        <v>41</v>
      </c>
      <c r="C34" s="41">
        <f>C35+C36</f>
        <v>1776.527</v>
      </c>
      <c r="D34" s="41">
        <f t="shared" ref="D34:I34" si="6">D35+D36</f>
        <v>2119.7260000000001</v>
      </c>
      <c r="E34" s="41">
        <f t="shared" si="6"/>
        <v>2329.6390000000001</v>
      </c>
      <c r="F34" s="41">
        <f t="shared" si="6"/>
        <v>2682.2559999999999</v>
      </c>
      <c r="G34" s="41">
        <f t="shared" si="6"/>
        <v>3110.9589999999998</v>
      </c>
      <c r="H34" s="41">
        <f t="shared" si="6"/>
        <v>3395.058</v>
      </c>
      <c r="I34" s="41">
        <f t="shared" si="6"/>
        <v>3500.3449999999998</v>
      </c>
      <c r="J34" s="41">
        <f>J35+J36</f>
        <v>3668.64</v>
      </c>
      <c r="K34" s="41">
        <v>3721.44</v>
      </c>
      <c r="L34" s="41">
        <v>3809.8239999999996</v>
      </c>
      <c r="M34" s="41">
        <v>2395.875</v>
      </c>
      <c r="N34" s="41">
        <v>2472.123</v>
      </c>
      <c r="O34" s="41">
        <v>2292.902</v>
      </c>
      <c r="P34" s="41">
        <v>2453.0839999999998</v>
      </c>
      <c r="Q34" s="41">
        <v>2843.7809999999999</v>
      </c>
      <c r="R34" s="41">
        <v>3420.3119999999999</v>
      </c>
      <c r="S34" s="46">
        <v>3508.6450000000004</v>
      </c>
      <c r="T34" s="41">
        <v>3946.24</v>
      </c>
      <c r="U34" s="41">
        <v>4057.9369999999999</v>
      </c>
      <c r="V34" s="166">
        <v>4114.2449999999999</v>
      </c>
    </row>
    <row r="35" spans="1:26" ht="16.5" customHeight="1" x14ac:dyDescent="0.25">
      <c r="A35" s="56" t="s">
        <v>74</v>
      </c>
      <c r="B35" s="39" t="s">
        <v>75</v>
      </c>
      <c r="C35" s="40">
        <f>1586.164-1586.164+1594.442</f>
        <v>1594.442</v>
      </c>
      <c r="D35" s="41">
        <f>1932.933-1932.933+1942.658</f>
        <v>1942.6579999999999</v>
      </c>
      <c r="E35" s="41">
        <f>2082.932-2082.932+2156.958</f>
        <v>2156.9580000000001</v>
      </c>
      <c r="F35" s="41">
        <f>2401.89-2401.89+2489.79</f>
        <v>2489.79</v>
      </c>
      <c r="G35" s="40">
        <f>2768.491-2768.491+2881.265</f>
        <v>2881.2649999999999</v>
      </c>
      <c r="H35" s="40">
        <f>3069.486-3069.486+3163.485</f>
        <v>3163.4850000000001</v>
      </c>
      <c r="I35" s="40">
        <f>3126.937-3126.937+3282.312</f>
        <v>3282.3119999999999</v>
      </c>
      <c r="J35" s="41">
        <f>3336.133-3336.133+3472.845</f>
        <v>3472.8449999999998</v>
      </c>
      <c r="K35" s="41">
        <v>3501.569</v>
      </c>
      <c r="L35" s="41">
        <v>3572.7489999999998</v>
      </c>
      <c r="M35" s="41">
        <v>2120.65</v>
      </c>
      <c r="N35" s="41">
        <v>2153.8319999999999</v>
      </c>
      <c r="O35" s="41">
        <v>2034.0350000000001</v>
      </c>
      <c r="P35" s="41">
        <v>2183.9949999999999</v>
      </c>
      <c r="Q35" s="41">
        <v>2468.9549999999999</v>
      </c>
      <c r="R35" s="41">
        <v>2882.895</v>
      </c>
      <c r="S35" s="46">
        <v>3120.6060000000002</v>
      </c>
      <c r="T35" s="41">
        <v>3508.3409999999999</v>
      </c>
      <c r="U35" s="41">
        <v>3615.5650000000001</v>
      </c>
      <c r="V35" s="166">
        <v>3669.768</v>
      </c>
    </row>
    <row r="36" spans="1:26" ht="16.5" customHeight="1" x14ac:dyDescent="0.25">
      <c r="A36" s="56" t="s">
        <v>76</v>
      </c>
      <c r="B36" s="64" t="s">
        <v>77</v>
      </c>
      <c r="C36" s="41">
        <f>119.633-119.633+182.085</f>
        <v>182.08500000000001</v>
      </c>
      <c r="D36" s="53">
        <f>117.132-117.132+177.068</f>
        <v>177.06800000000001</v>
      </c>
      <c r="E36" s="53">
        <f>118.993-118.993+172.681</f>
        <v>172.68100000000001</v>
      </c>
      <c r="F36" s="53">
        <f>124.715-124.715+192.466</f>
        <v>192.46600000000001</v>
      </c>
      <c r="G36" s="50">
        <f>161.037-161.037+229.694</f>
        <v>229.69399999999999</v>
      </c>
      <c r="H36" s="40">
        <f>163.959-163.959+231.573</f>
        <v>231.57300000000001</v>
      </c>
      <c r="I36" s="41">
        <f>163.215-163.215+218.033</f>
        <v>218.03299999999999</v>
      </c>
      <c r="J36" s="41">
        <f>146.169-146.169+195.795</f>
        <v>195.79499999999999</v>
      </c>
      <c r="K36" s="41">
        <v>219.87100000000001</v>
      </c>
      <c r="L36" s="41">
        <v>237.07499999999999</v>
      </c>
      <c r="M36" s="41">
        <v>275.22500000000002</v>
      </c>
      <c r="N36" s="41">
        <v>318.291</v>
      </c>
      <c r="O36" s="41">
        <v>258.86700000000002</v>
      </c>
      <c r="P36" s="41">
        <v>269.089</v>
      </c>
      <c r="Q36" s="41">
        <v>374.82600000000002</v>
      </c>
      <c r="R36" s="41">
        <v>537.41700000000003</v>
      </c>
      <c r="S36" s="46">
        <v>388.03899999999999</v>
      </c>
      <c r="T36" s="41">
        <v>437.899</v>
      </c>
      <c r="U36" s="41">
        <v>442.37200000000001</v>
      </c>
      <c r="V36" s="166">
        <v>444.47699999999998</v>
      </c>
    </row>
    <row r="37" spans="1:26" ht="16.5" customHeight="1" x14ac:dyDescent="0.25">
      <c r="A37" s="38" t="s">
        <v>78</v>
      </c>
      <c r="B37" s="39" t="s">
        <v>79</v>
      </c>
      <c r="C37" s="41">
        <f>851.361-851.361+855.112</f>
        <v>855.11199999999997</v>
      </c>
      <c r="D37" s="53">
        <f>860.6-860.6+861.86</f>
        <v>861.86</v>
      </c>
      <c r="E37" s="53">
        <f>641.202-641.202+645.362</f>
        <v>645.36199999999997</v>
      </c>
      <c r="F37" s="53">
        <f>663.02-663.02+673.48</f>
        <v>673.48</v>
      </c>
      <c r="G37" s="50">
        <f>826.339-826.339+837.581</f>
        <v>837.58100000000002</v>
      </c>
      <c r="H37" s="40">
        <f>669.125-669.125+679.077</f>
        <v>679.077</v>
      </c>
      <c r="I37" s="41">
        <f>552.226-552.226+568.62</f>
        <v>568.62</v>
      </c>
      <c r="J37" s="41">
        <f>633.059-633.059+633.315-633.315+649.063</f>
        <v>649.06299999999999</v>
      </c>
      <c r="K37" s="41">
        <v>620.63900000000001</v>
      </c>
      <c r="L37" s="41">
        <v>662.23099999999999</v>
      </c>
      <c r="M37" s="41">
        <v>689.74099999999999</v>
      </c>
      <c r="N37" s="41">
        <v>588.42499999999995</v>
      </c>
      <c r="O37" s="41">
        <v>539.75900000000001</v>
      </c>
      <c r="P37" s="41">
        <v>756.83699999999999</v>
      </c>
      <c r="Q37" s="41">
        <v>749.53399999999999</v>
      </c>
      <c r="R37" s="41">
        <v>1197.82</v>
      </c>
      <c r="S37" s="46">
        <v>1292.9110000000001</v>
      </c>
      <c r="T37" s="41">
        <v>1279.414</v>
      </c>
      <c r="U37" s="41">
        <v>1076.212</v>
      </c>
      <c r="V37" s="166">
        <v>972.32399999999996</v>
      </c>
    </row>
    <row r="38" spans="1:26" ht="16.5" customHeight="1" x14ac:dyDescent="0.25">
      <c r="A38" s="56" t="s">
        <v>80</v>
      </c>
      <c r="B38" s="39" t="s">
        <v>81</v>
      </c>
      <c r="C38" s="40">
        <v>506.34</v>
      </c>
      <c r="D38" s="53">
        <v>590.29999999999995</v>
      </c>
      <c r="E38" s="53">
        <v>445.36599999999999</v>
      </c>
      <c r="F38" s="53">
        <v>476.6</v>
      </c>
      <c r="G38" s="53">
        <v>634.42200000000003</v>
      </c>
      <c r="H38" s="41">
        <v>460.00900000000001</v>
      </c>
      <c r="I38" s="41">
        <f>396.975-396.975+304.096</f>
        <v>304.096</v>
      </c>
      <c r="J38" s="41">
        <f>444.674-444.674+349.759</f>
        <v>349.75900000000001</v>
      </c>
      <c r="K38" s="41">
        <v>323.11700000000002</v>
      </c>
      <c r="L38" s="41">
        <v>391.39800000000002</v>
      </c>
      <c r="M38" s="41">
        <v>410.12400000000002</v>
      </c>
      <c r="N38" s="41">
        <v>323.94</v>
      </c>
      <c r="O38" s="41">
        <v>268.85500000000002</v>
      </c>
      <c r="P38" s="41">
        <v>435.07499999999999</v>
      </c>
      <c r="Q38" s="41">
        <v>342.41300000000001</v>
      </c>
      <c r="R38" s="41">
        <v>403.858</v>
      </c>
      <c r="S38" s="46">
        <v>455.44799999999998</v>
      </c>
      <c r="T38" s="41">
        <v>535.505</v>
      </c>
      <c r="U38" s="41">
        <v>389.202</v>
      </c>
      <c r="V38" s="166">
        <v>346.39800000000002</v>
      </c>
    </row>
    <row r="39" spans="1:26" ht="16.5" customHeight="1" x14ac:dyDescent="0.25">
      <c r="A39" s="56" t="s">
        <v>82</v>
      </c>
      <c r="B39" s="39" t="s">
        <v>83</v>
      </c>
      <c r="C39" s="41">
        <f>293.725-293.725+291.467</f>
        <v>291.46699999999998</v>
      </c>
      <c r="D39" s="53">
        <f>225.732-225.732+221.026</f>
        <v>221.02600000000001</v>
      </c>
      <c r="E39" s="53">
        <f>120.059-120.059+118.198</f>
        <v>118.19799999999999</v>
      </c>
      <c r="F39" s="53">
        <f>137.699-137.699+136.414</f>
        <v>136.41399999999999</v>
      </c>
      <c r="G39" s="53">
        <f>143.866-143.866+142.712</f>
        <v>142.71199999999999</v>
      </c>
      <c r="H39" s="41">
        <f>155.855-155.855+154.043</f>
        <v>154.04300000000001</v>
      </c>
      <c r="I39" s="41">
        <f>191.41-191.41+188.374</f>
        <v>188.374</v>
      </c>
      <c r="J39" s="41">
        <f>227.065-227.065+222.903</f>
        <v>222.90299999999999</v>
      </c>
      <c r="K39" s="41">
        <v>222.62200000000001</v>
      </c>
      <c r="L39" s="41">
        <v>192.88300000000001</v>
      </c>
      <c r="M39" s="41">
        <v>172.18700000000001</v>
      </c>
      <c r="N39" s="41">
        <v>162.52099999999999</v>
      </c>
      <c r="O39" s="41">
        <v>162.536</v>
      </c>
      <c r="P39" s="41">
        <v>202.19499999999999</v>
      </c>
      <c r="Q39" s="41">
        <v>285.62700000000001</v>
      </c>
      <c r="R39" s="41">
        <v>668.56700000000001</v>
      </c>
      <c r="S39" s="46">
        <v>696.29700000000003</v>
      </c>
      <c r="T39" s="41">
        <v>622.03399999999999</v>
      </c>
      <c r="U39" s="41">
        <v>557.46900000000005</v>
      </c>
      <c r="V39" s="166">
        <v>501.2</v>
      </c>
    </row>
    <row r="40" spans="1:26" s="62" customFormat="1" ht="16.5" customHeight="1" x14ac:dyDescent="0.25">
      <c r="A40" s="58" t="s">
        <v>27</v>
      </c>
      <c r="B40" s="61" t="s">
        <v>41</v>
      </c>
      <c r="C40" s="36">
        <f t="shared" ref="C40:I40" si="7">C42+C43+C44</f>
        <v>1207.5630000000001</v>
      </c>
      <c r="D40" s="36">
        <f t="shared" si="7"/>
        <v>1810.567</v>
      </c>
      <c r="E40" s="36">
        <f t="shared" si="7"/>
        <v>1582.797</v>
      </c>
      <c r="F40" s="36">
        <f t="shared" si="7"/>
        <v>2315.634</v>
      </c>
      <c r="G40" s="36">
        <f t="shared" si="7"/>
        <v>1903.7950000000001</v>
      </c>
      <c r="H40" s="36">
        <f t="shared" si="7"/>
        <v>2254.4430000000002</v>
      </c>
      <c r="I40" s="36">
        <f t="shared" si="7"/>
        <v>2249.8919999999998</v>
      </c>
      <c r="J40" s="36">
        <f>J42+J43+J44</f>
        <v>3976.0789999999997</v>
      </c>
      <c r="K40" s="36">
        <v>1362.4270000000001</v>
      </c>
      <c r="L40" s="36">
        <v>949.83200000000011</v>
      </c>
      <c r="M40" s="36">
        <v>1186.617</v>
      </c>
      <c r="N40" s="36">
        <v>1539.68</v>
      </c>
      <c r="O40" s="36">
        <v>1537.703</v>
      </c>
      <c r="P40" s="36">
        <v>1536.1610000000001</v>
      </c>
      <c r="Q40" s="36">
        <v>2639.9229999999998</v>
      </c>
      <c r="R40" s="36">
        <v>4694.8989999999994</v>
      </c>
      <c r="S40" s="104">
        <v>2631.8059999999996</v>
      </c>
      <c r="T40" s="36">
        <v>3430.5329999999999</v>
      </c>
      <c r="U40" s="36">
        <v>3281.1279999999997</v>
      </c>
      <c r="V40" s="560">
        <v>2682.2700000000004</v>
      </c>
    </row>
    <row r="41" spans="1:26" ht="16.5" customHeight="1" x14ac:dyDescent="0.25">
      <c r="A41" s="65" t="s">
        <v>84</v>
      </c>
      <c r="B41" s="66" t="s">
        <v>85</v>
      </c>
      <c r="C41" s="41">
        <f>863.316-664.004+(82.62)</f>
        <v>281.93200000000002</v>
      </c>
      <c r="D41" s="41">
        <f>1111.48-809.95+(-7.137)</f>
        <v>294.39299999999997</v>
      </c>
      <c r="E41" s="41">
        <f>1663.755-1239.247+(225.936)</f>
        <v>650.44400000000007</v>
      </c>
      <c r="F41" s="41">
        <f>2031.344-1297.937+(60.035)</f>
        <v>793.44200000000012</v>
      </c>
      <c r="G41" s="40">
        <f>2127.345-1208.845+(-113.094)</f>
        <v>805.40599999999972</v>
      </c>
      <c r="H41" s="40">
        <f>2174.997-1218.111+(-148.212)</f>
        <v>808.67399999999975</v>
      </c>
      <c r="I41" s="40">
        <f>1257.505-818.843+(756.009)</f>
        <v>1194.6710000000003</v>
      </c>
      <c r="J41" s="41">
        <f>2986.181</f>
        <v>2986.181</v>
      </c>
      <c r="K41" s="41">
        <v>787.80299999999988</v>
      </c>
      <c r="L41" s="41">
        <v>661.40300000000002</v>
      </c>
      <c r="M41" s="41">
        <v>1009.861</v>
      </c>
      <c r="N41" s="41">
        <v>944.75599999999997</v>
      </c>
      <c r="O41" s="41">
        <v>1098.1199999999999</v>
      </c>
      <c r="P41" s="41">
        <v>1196.1469999999999</v>
      </c>
      <c r="Q41" s="41">
        <v>1471.38</v>
      </c>
      <c r="R41" s="41">
        <v>3971.2049999999999</v>
      </c>
      <c r="S41" s="46">
        <v>1770.0650000000001</v>
      </c>
      <c r="T41" s="41">
        <v>2379.2849999999999</v>
      </c>
      <c r="U41" s="41">
        <v>2380.1529999999998</v>
      </c>
      <c r="V41" s="166">
        <v>1827.309</v>
      </c>
    </row>
    <row r="42" spans="1:26" ht="16.5" customHeight="1" x14ac:dyDescent="0.25">
      <c r="A42" s="57" t="s">
        <v>86</v>
      </c>
      <c r="B42" s="64" t="s">
        <v>87</v>
      </c>
      <c r="C42" s="41">
        <v>0</v>
      </c>
      <c r="D42" s="41">
        <v>0</v>
      </c>
      <c r="E42" s="41">
        <v>0</v>
      </c>
      <c r="F42" s="41">
        <v>0</v>
      </c>
      <c r="G42" s="40">
        <v>0</v>
      </c>
      <c r="H42" s="40">
        <v>0</v>
      </c>
      <c r="I42" s="40">
        <v>0</v>
      </c>
      <c r="J42" s="41">
        <v>0</v>
      </c>
      <c r="K42" s="41">
        <v>0</v>
      </c>
      <c r="L42" s="41">
        <v>0</v>
      </c>
      <c r="M42" s="41">
        <v>0</v>
      </c>
      <c r="N42" s="41">
        <v>0</v>
      </c>
      <c r="O42" s="41">
        <v>0</v>
      </c>
      <c r="P42" s="41">
        <v>0</v>
      </c>
      <c r="Q42" s="41">
        <v>0</v>
      </c>
      <c r="R42" s="41">
        <v>0</v>
      </c>
      <c r="S42" s="46">
        <v>0</v>
      </c>
      <c r="T42" s="41">
        <v>0</v>
      </c>
      <c r="U42" s="41">
        <v>0</v>
      </c>
      <c r="V42" s="166">
        <v>0</v>
      </c>
    </row>
    <row r="43" spans="1:26" ht="16.5" customHeight="1" x14ac:dyDescent="0.25">
      <c r="A43" s="38" t="s">
        <v>32</v>
      </c>
      <c r="B43" s="39" t="s">
        <v>88</v>
      </c>
      <c r="C43" s="40">
        <f>1155.759-1155.759+1045.303</f>
        <v>1045.3030000000001</v>
      </c>
      <c r="D43" s="40">
        <f>1274.844-1274.844+1180.024</f>
        <v>1180.0239999999999</v>
      </c>
      <c r="E43" s="41">
        <f>1027.778-1027.778+946.428</f>
        <v>946.428</v>
      </c>
      <c r="F43" s="41">
        <f>1583.719-1583.719+1434.76</f>
        <v>1434.76</v>
      </c>
      <c r="G43" s="40">
        <f>1347.222-1347.222+1125.053</f>
        <v>1125.0530000000001</v>
      </c>
      <c r="H43" s="40">
        <f>1477.714-1477.714+1269.18</f>
        <v>1269.18</v>
      </c>
      <c r="I43" s="40">
        <f>1438.031-1438.031+1510.906-1510.906+1287.885</f>
        <v>1287.885</v>
      </c>
      <c r="J43" s="41">
        <f>2157.163-2157.163+2281.083-2281.083+2060.298</f>
        <v>2060.2979999999998</v>
      </c>
      <c r="K43" s="41">
        <v>830.947</v>
      </c>
      <c r="L43" s="41">
        <v>607.39200000000005</v>
      </c>
      <c r="M43" s="41">
        <v>399.71800000000002</v>
      </c>
      <c r="N43" s="41">
        <v>772.88400000000001</v>
      </c>
      <c r="O43" s="41">
        <v>929.226</v>
      </c>
      <c r="P43" s="41">
        <v>885.90899999999999</v>
      </c>
      <c r="Q43" s="41">
        <v>1832.8019999999999</v>
      </c>
      <c r="R43" s="41">
        <v>2652.9319999999998</v>
      </c>
      <c r="S43" s="46">
        <v>2424.8249999999998</v>
      </c>
      <c r="T43" s="41">
        <v>2997.645</v>
      </c>
      <c r="U43" s="41">
        <v>2924.1039999999998</v>
      </c>
      <c r="V43" s="166">
        <v>2379.0500000000002</v>
      </c>
    </row>
    <row r="44" spans="1:26" ht="16.5" customHeight="1" x14ac:dyDescent="0.25">
      <c r="A44" s="67" t="s">
        <v>17</v>
      </c>
      <c r="B44" s="39" t="s">
        <v>89</v>
      </c>
      <c r="C44" s="41">
        <f>162.36-C27</f>
        <v>162.26000000000002</v>
      </c>
      <c r="D44" s="41">
        <f>630.588-D27</f>
        <v>630.54300000000001</v>
      </c>
      <c r="E44" s="41">
        <f>636.369-636.369+636.389-E27</f>
        <v>636.36900000000003</v>
      </c>
      <c r="F44" s="41">
        <f>880.887-F27</f>
        <v>880.87399999999991</v>
      </c>
      <c r="G44" s="40">
        <f>778.754-G27</f>
        <v>778.74200000000008</v>
      </c>
      <c r="H44" s="40">
        <f>985.27-H27</f>
        <v>985.26300000000003</v>
      </c>
      <c r="I44" s="40">
        <f>962.011-I27</f>
        <v>962.00699999999995</v>
      </c>
      <c r="J44" s="41">
        <f>2074.316-2074.316+1915.775-J27</f>
        <v>1915.7810000000002</v>
      </c>
      <c r="K44" s="41">
        <v>531.48</v>
      </c>
      <c r="L44" s="41">
        <v>342.44</v>
      </c>
      <c r="M44" s="41">
        <v>786.899</v>
      </c>
      <c r="N44" s="41">
        <v>766.79600000000005</v>
      </c>
      <c r="O44" s="41">
        <v>608.47699999999998</v>
      </c>
      <c r="P44" s="41">
        <v>650.25199999999995</v>
      </c>
      <c r="Q44" s="41">
        <v>807.12099999999998</v>
      </c>
      <c r="R44" s="41">
        <v>2041.9670000000001</v>
      </c>
      <c r="S44" s="46">
        <v>206.98099999999999</v>
      </c>
      <c r="T44" s="41">
        <v>432.88799999999998</v>
      </c>
      <c r="U44" s="41">
        <v>357.024</v>
      </c>
      <c r="V44" s="166">
        <v>303.22000000000003</v>
      </c>
    </row>
    <row r="45" spans="1:26" ht="16.5" hidden="1" customHeight="1" x14ac:dyDescent="0.25">
      <c r="A45" s="164"/>
      <c r="B45" s="165"/>
      <c r="C45" s="166"/>
      <c r="D45" s="166"/>
      <c r="E45" s="166"/>
      <c r="F45" s="166"/>
      <c r="G45" s="167"/>
      <c r="H45" s="167"/>
      <c r="I45" s="167"/>
      <c r="J45" s="166"/>
      <c r="K45" s="166"/>
      <c r="L45" s="166"/>
      <c r="M45" s="166"/>
      <c r="N45" s="166"/>
      <c r="O45" s="166"/>
      <c r="P45" s="166"/>
      <c r="Q45" s="166">
        <v>46490.681999999993</v>
      </c>
      <c r="R45" s="166">
        <v>58852.641999999993</v>
      </c>
      <c r="S45" s="46">
        <v>61349.364999999998</v>
      </c>
      <c r="T45" s="166">
        <v>66510.510999999999</v>
      </c>
      <c r="U45" s="41">
        <v>68250.641000000003</v>
      </c>
      <c r="V45" s="166">
        <v>70645.938999999998</v>
      </c>
    </row>
    <row r="46" spans="1:26" ht="16.5" customHeight="1" x14ac:dyDescent="0.25">
      <c r="A46" s="28" t="s">
        <v>11</v>
      </c>
      <c r="B46" s="29" t="s">
        <v>39</v>
      </c>
      <c r="C46" s="69">
        <f>C48+C86</f>
        <v>25374.615000000002</v>
      </c>
      <c r="D46" s="69">
        <f t="shared" ref="D46:K46" si="8">D48+D86</f>
        <v>28463.259000000002</v>
      </c>
      <c r="E46" s="69">
        <f t="shared" si="8"/>
        <v>28736.951000000005</v>
      </c>
      <c r="F46" s="69">
        <f t="shared" si="8"/>
        <v>29512.988999999998</v>
      </c>
      <c r="G46" s="69">
        <f t="shared" si="8"/>
        <v>30103.038</v>
      </c>
      <c r="H46" s="69">
        <f t="shared" si="8"/>
        <v>31441.087000000003</v>
      </c>
      <c r="I46" s="69">
        <f t="shared" si="8"/>
        <v>32942.868000000002</v>
      </c>
      <c r="J46" s="69">
        <f t="shared" si="8"/>
        <v>36430.345999999998</v>
      </c>
      <c r="K46" s="69">
        <f t="shared" si="8"/>
        <v>34574.875</v>
      </c>
      <c r="L46" s="69">
        <v>34903.433000000005</v>
      </c>
      <c r="M46" s="69">
        <v>35652.909999999996</v>
      </c>
      <c r="N46" s="69">
        <v>38275.019999999997</v>
      </c>
      <c r="O46" s="69">
        <v>41804.082000000009</v>
      </c>
      <c r="P46" s="69">
        <v>45459.970999999998</v>
      </c>
      <c r="Q46" s="69">
        <v>46490.681999999993</v>
      </c>
      <c r="R46" s="69">
        <v>58852.641999999993</v>
      </c>
      <c r="S46" s="69">
        <v>61349.364999999998</v>
      </c>
      <c r="T46" s="69">
        <v>66510.510999999999</v>
      </c>
      <c r="U46" s="30">
        <v>68250.641000000003</v>
      </c>
      <c r="V46" s="553">
        <v>70645.938999999998</v>
      </c>
      <c r="X46" s="133"/>
      <c r="Y46" s="133"/>
    </row>
    <row r="47" spans="1:26" ht="16.5" customHeight="1" x14ac:dyDescent="0.25">
      <c r="A47" s="31" t="s">
        <v>1</v>
      </c>
      <c r="B47" s="70"/>
      <c r="C47" s="71">
        <f t="shared" ref="C47:K47" si="9">C46/C95</f>
        <v>0.36994339481305105</v>
      </c>
      <c r="D47" s="71">
        <f t="shared" si="9"/>
        <v>0.44407564591215809</v>
      </c>
      <c r="E47" s="71">
        <f t="shared" si="9"/>
        <v>0.4220252624044975</v>
      </c>
      <c r="F47" s="71">
        <f t="shared" si="9"/>
        <v>0.41442453194183926</v>
      </c>
      <c r="G47" s="71">
        <f t="shared" si="9"/>
        <v>0.40965531161403113</v>
      </c>
      <c r="H47" s="71">
        <f t="shared" si="9"/>
        <v>0.42285189351144503</v>
      </c>
      <c r="I47" s="71">
        <f t="shared" si="9"/>
        <v>0.43200443517413284</v>
      </c>
      <c r="J47" s="71">
        <f t="shared" si="9"/>
        <v>0.45675989319618276</v>
      </c>
      <c r="K47" s="71">
        <f t="shared" si="9"/>
        <v>0.42664815642474785</v>
      </c>
      <c r="L47" s="71">
        <v>0.4133378586811331</v>
      </c>
      <c r="M47" s="71">
        <v>0.39669576395660117</v>
      </c>
      <c r="N47" s="71">
        <v>0.4052947916877454</v>
      </c>
      <c r="O47" s="71">
        <v>0.44736996546041824</v>
      </c>
      <c r="P47" s="71">
        <v>0.4534401682673051</v>
      </c>
      <c r="Q47" s="206">
        <v>0.42355892181209709</v>
      </c>
      <c r="R47" s="207">
        <v>0.47920611203417357</v>
      </c>
      <c r="S47" s="207">
        <v>46.758628592041127</v>
      </c>
      <c r="T47" s="207">
        <v>47.541005249441618</v>
      </c>
      <c r="U47" s="557">
        <v>46.332819603927703</v>
      </c>
      <c r="V47" s="207">
        <v>46.432261341283187</v>
      </c>
    </row>
    <row r="48" spans="1:26" s="37" customFormat="1" ht="16.5" customHeight="1" x14ac:dyDescent="0.25">
      <c r="A48" s="72" t="s">
        <v>90</v>
      </c>
      <c r="B48" s="35" t="s">
        <v>41</v>
      </c>
      <c r="C48" s="36">
        <f t="shared" ref="C48:J48" si="10">C49+C52+C53+C56+C62+C65+C82</f>
        <v>22480.924000000003</v>
      </c>
      <c r="D48" s="36">
        <f t="shared" si="10"/>
        <v>24757.755000000001</v>
      </c>
      <c r="E48" s="36">
        <f t="shared" si="10"/>
        <v>25711.588000000003</v>
      </c>
      <c r="F48" s="36">
        <f t="shared" si="10"/>
        <v>26288.807999999997</v>
      </c>
      <c r="G48" s="36">
        <f t="shared" si="10"/>
        <v>27273.931</v>
      </c>
      <c r="H48" s="36">
        <f t="shared" si="10"/>
        <v>28500.035000000003</v>
      </c>
      <c r="I48" s="36">
        <f t="shared" si="10"/>
        <v>29420.920000000002</v>
      </c>
      <c r="J48" s="36">
        <f t="shared" si="10"/>
        <v>30669.378999999997</v>
      </c>
      <c r="K48" s="36">
        <v>31268.263999999999</v>
      </c>
      <c r="L48" s="36">
        <v>31835.754000000001</v>
      </c>
      <c r="M48" s="36">
        <v>31930.074999999997</v>
      </c>
      <c r="N48" s="36">
        <v>34441.116999999998</v>
      </c>
      <c r="O48" s="36">
        <v>37758.460000000006</v>
      </c>
      <c r="P48" s="36">
        <v>41852.659</v>
      </c>
      <c r="Q48" s="36">
        <v>42306.606999999996</v>
      </c>
      <c r="R48" s="36">
        <v>52653.473999999995</v>
      </c>
      <c r="S48" s="104">
        <v>56081.048999999999</v>
      </c>
      <c r="T48" s="36">
        <v>59496.889000000003</v>
      </c>
      <c r="U48" s="36">
        <v>62202.832999999999</v>
      </c>
      <c r="V48" s="560">
        <v>64835.582000000002</v>
      </c>
    </row>
    <row r="49" spans="1:22" s="62" customFormat="1" ht="16.5" customHeight="1" x14ac:dyDescent="0.25">
      <c r="A49" s="73" t="s">
        <v>12</v>
      </c>
      <c r="B49" s="39" t="s">
        <v>91</v>
      </c>
      <c r="C49" s="41">
        <f>5123.958-5123.958+5164.274</f>
        <v>5164.2740000000003</v>
      </c>
      <c r="D49" s="41">
        <f>5479.255-5479.255+5543.503</f>
        <v>5543.5029999999997</v>
      </c>
      <c r="E49" s="41">
        <f>5716.126-5716.126+5756.796</f>
        <v>5756.7960000000003</v>
      </c>
      <c r="F49" s="41">
        <f>5845.659-5845.659+5895.087</f>
        <v>5895.0870000000004</v>
      </c>
      <c r="G49" s="40">
        <f>5991.294-5991.294+6033.52</f>
        <v>6033.52</v>
      </c>
      <c r="H49" s="40">
        <f>6356.049-6356.049+6417.659</f>
        <v>6417.6589999999997</v>
      </c>
      <c r="I49" s="40">
        <f>6693.738-6693.738+6766.776</f>
        <v>6766.7759999999998</v>
      </c>
      <c r="J49" s="41">
        <f>7049.497-7049.497+7049.858-7049.858+7120.812</f>
        <v>7120.8119999999999</v>
      </c>
      <c r="K49" s="41">
        <v>7537.4830000000002</v>
      </c>
      <c r="L49" s="41">
        <v>7928.2219999999998</v>
      </c>
      <c r="M49" s="41">
        <v>8435.6219999999994</v>
      </c>
      <c r="N49" s="41">
        <v>9682.6209999999992</v>
      </c>
      <c r="O49" s="41">
        <v>10569.589</v>
      </c>
      <c r="P49" s="41">
        <v>11354.374</v>
      </c>
      <c r="Q49" s="41">
        <v>11672.097</v>
      </c>
      <c r="R49" s="41">
        <v>13514.562</v>
      </c>
      <c r="S49" s="46">
        <v>14161.028</v>
      </c>
      <c r="T49" s="41">
        <v>15131.905999999999</v>
      </c>
      <c r="U49" s="41">
        <v>15482.866000000002</v>
      </c>
      <c r="V49" s="166">
        <v>15931.695</v>
      </c>
    </row>
    <row r="50" spans="1:22" s="62" customFormat="1" ht="16.5" customHeight="1" x14ac:dyDescent="0.25">
      <c r="A50" s="56" t="s">
        <v>30</v>
      </c>
      <c r="B50" s="39" t="s">
        <v>92</v>
      </c>
      <c r="C50" s="40">
        <v>3882.7379999999998</v>
      </c>
      <c r="D50" s="40">
        <v>4068.3440000000001</v>
      </c>
      <c r="E50" s="40">
        <v>4241.7030000000004</v>
      </c>
      <c r="F50" s="40">
        <v>4259.3040000000001</v>
      </c>
      <c r="G50" s="40">
        <v>4439.4539999999997</v>
      </c>
      <c r="H50" s="40">
        <v>4666.4269999999997</v>
      </c>
      <c r="I50" s="40">
        <v>4894.2</v>
      </c>
      <c r="J50" s="40">
        <f>5141.582-5141.582+5141.943</f>
        <v>5141.9430000000002</v>
      </c>
      <c r="K50" s="40">
        <v>5465.5720000000001</v>
      </c>
      <c r="L50" s="40">
        <v>5758.5990000000002</v>
      </c>
      <c r="M50" s="40">
        <v>6280.0379999999996</v>
      </c>
      <c r="N50" s="40">
        <v>7056.1949999999997</v>
      </c>
      <c r="O50" s="40">
        <v>7740.4480000000003</v>
      </c>
      <c r="P50" s="40">
        <v>8147.1989999999996</v>
      </c>
      <c r="Q50" s="40">
        <v>8537.7090000000007</v>
      </c>
      <c r="R50" s="40">
        <v>9783.4120000000003</v>
      </c>
      <c r="S50" s="105">
        <v>10321.138999999999</v>
      </c>
      <c r="T50" s="40">
        <v>10873.553</v>
      </c>
      <c r="U50" s="40">
        <v>11209.69</v>
      </c>
      <c r="V50" s="167">
        <v>11537.026</v>
      </c>
    </row>
    <row r="51" spans="1:22" s="62" customFormat="1" ht="16.5" customHeight="1" x14ac:dyDescent="0.25">
      <c r="A51" s="56" t="s">
        <v>31</v>
      </c>
      <c r="B51" s="39" t="s">
        <v>93</v>
      </c>
      <c r="C51" s="40">
        <v>1241.22</v>
      </c>
      <c r="D51" s="40">
        <v>1410.9110000000001</v>
      </c>
      <c r="E51" s="40">
        <v>1474.423</v>
      </c>
      <c r="F51" s="40">
        <v>1586.355</v>
      </c>
      <c r="G51" s="40">
        <v>1551.84</v>
      </c>
      <c r="H51" s="40">
        <v>1689.6220000000001</v>
      </c>
      <c r="I51" s="40">
        <v>1799.538</v>
      </c>
      <c r="J51" s="40">
        <v>1907.915</v>
      </c>
      <c r="K51" s="40">
        <v>2071.9110000000001</v>
      </c>
      <c r="L51" s="40">
        <v>2169.623</v>
      </c>
      <c r="M51" s="40">
        <v>2155.5839999999998</v>
      </c>
      <c r="N51" s="40">
        <v>2626.4259999999999</v>
      </c>
      <c r="O51" s="40">
        <v>2829.1410000000001</v>
      </c>
      <c r="P51" s="40">
        <v>3207.1750000000002</v>
      </c>
      <c r="Q51" s="40">
        <v>3134.3879999999999</v>
      </c>
      <c r="R51" s="40">
        <v>3731.15</v>
      </c>
      <c r="S51" s="105">
        <v>3839.889000000001</v>
      </c>
      <c r="T51" s="40">
        <v>4258.3530000000001</v>
      </c>
      <c r="U51" s="40">
        <v>4273.1760000000004</v>
      </c>
      <c r="V51" s="167">
        <v>4394.6689999999999</v>
      </c>
    </row>
    <row r="52" spans="1:22" s="62" customFormat="1" ht="16.5" customHeight="1" x14ac:dyDescent="0.25">
      <c r="A52" s="73" t="s">
        <v>13</v>
      </c>
      <c r="B52" s="39" t="s">
        <v>94</v>
      </c>
      <c r="C52" s="41">
        <f>3313.989-3313.989+3328.588</f>
        <v>3328.5880000000002</v>
      </c>
      <c r="D52" s="41">
        <f>3898.526-3898.526+3917.29</f>
        <v>3917.29</v>
      </c>
      <c r="E52" s="41">
        <f>3871.698-3871.698+3996.778</f>
        <v>3996.7779999999998</v>
      </c>
      <c r="F52" s="41">
        <f>3985.367-3985.367+4136.558</f>
        <v>4136.558</v>
      </c>
      <c r="G52" s="40">
        <f>4006.704-4006.704+4213.033</f>
        <v>4213.0330000000004</v>
      </c>
      <c r="H52" s="40">
        <f>4101.731-4101.731+4210.437</f>
        <v>4210.4369999999999</v>
      </c>
      <c r="I52" s="40">
        <f>4266.165-4266.165+4380.653</f>
        <v>4380.6530000000002</v>
      </c>
      <c r="J52" s="41">
        <f>4654.823-4654.823+4654.941-4654.941+4736.737</f>
        <v>4736.7370000000001</v>
      </c>
      <c r="K52" s="41">
        <v>4538.4610000000002</v>
      </c>
      <c r="L52" s="41">
        <v>4866.3329999999996</v>
      </c>
      <c r="M52" s="41">
        <v>4893.8040000000001</v>
      </c>
      <c r="N52" s="41">
        <v>5101.9620000000004</v>
      </c>
      <c r="O52" s="41">
        <v>5161.0379999999996</v>
      </c>
      <c r="P52" s="41">
        <v>5726.2550000000001</v>
      </c>
      <c r="Q52" s="41">
        <v>6519.3090000000002</v>
      </c>
      <c r="R52" s="41">
        <v>6881.2169999999996</v>
      </c>
      <c r="S52" s="46">
        <v>7718.42</v>
      </c>
      <c r="T52" s="41">
        <v>8298.6640000000007</v>
      </c>
      <c r="U52" s="41">
        <v>8401.7000000000007</v>
      </c>
      <c r="V52" s="166">
        <v>8522.1720000000005</v>
      </c>
    </row>
    <row r="53" spans="1:22" s="62" customFormat="1" ht="16.5" customHeight="1" x14ac:dyDescent="0.25">
      <c r="A53" s="65" t="s">
        <v>33</v>
      </c>
      <c r="B53" s="64" t="s">
        <v>95</v>
      </c>
      <c r="C53" s="41">
        <f t="shared" ref="C53:I53" si="11">C54+C55</f>
        <v>80.391000000000005</v>
      </c>
      <c r="D53" s="41">
        <f t="shared" si="11"/>
        <v>75.658000000000001</v>
      </c>
      <c r="E53" s="41">
        <f t="shared" si="11"/>
        <v>94.039999999999992</v>
      </c>
      <c r="F53" s="41">
        <f t="shared" si="11"/>
        <v>102.44500000000001</v>
      </c>
      <c r="G53" s="40">
        <f t="shared" si="11"/>
        <v>97.396999999999991</v>
      </c>
      <c r="H53" s="40">
        <f t="shared" si="11"/>
        <v>114.928</v>
      </c>
      <c r="I53" s="40">
        <f t="shared" si="11"/>
        <v>109.471</v>
      </c>
      <c r="J53" s="40">
        <f>J54+J55</f>
        <v>102.72799999999999</v>
      </c>
      <c r="K53" s="40">
        <v>129.98400000000001</v>
      </c>
      <c r="L53" s="40">
        <v>87.754999999999995</v>
      </c>
      <c r="M53" s="40">
        <v>151.63</v>
      </c>
      <c r="N53" s="40">
        <v>158.70400000000001</v>
      </c>
      <c r="O53" s="40">
        <v>157.77700000000002</v>
      </c>
      <c r="P53" s="40">
        <v>173.69299999999998</v>
      </c>
      <c r="Q53" s="40">
        <v>135.232</v>
      </c>
      <c r="R53" s="40">
        <v>110.554</v>
      </c>
      <c r="S53" s="105">
        <v>151.83199999999999</v>
      </c>
      <c r="T53" s="40">
        <v>161.471</v>
      </c>
      <c r="U53" s="40">
        <v>164.25899999999999</v>
      </c>
      <c r="V53" s="167">
        <v>171.559</v>
      </c>
    </row>
    <row r="54" spans="1:22" ht="16.5" customHeight="1" x14ac:dyDescent="0.25">
      <c r="A54" s="74" t="s">
        <v>96</v>
      </c>
      <c r="B54" s="39" t="s">
        <v>97</v>
      </c>
      <c r="C54" s="41">
        <f>35.125-35.125+61.139</f>
        <v>61.139000000000003</v>
      </c>
      <c r="D54" s="41">
        <f>35.181-35.181+66.901</f>
        <v>66.900999999999996</v>
      </c>
      <c r="E54" s="41">
        <f>39.637-39.637+72.16</f>
        <v>72.16</v>
      </c>
      <c r="F54" s="41">
        <f>49.839-49.839+75.992</f>
        <v>75.992000000000004</v>
      </c>
      <c r="G54" s="40">
        <f>58.804-58.804+88.079</f>
        <v>88.078999999999994</v>
      </c>
      <c r="H54" s="40">
        <f>56.468-56.468+92.152</f>
        <v>92.152000000000001</v>
      </c>
      <c r="I54" s="40">
        <f>38.512-38.512+79.536</f>
        <v>79.536000000000001</v>
      </c>
      <c r="J54" s="41">
        <f>60.713-60.713+101.865</f>
        <v>101.86499999999999</v>
      </c>
      <c r="K54" s="41">
        <v>107.322</v>
      </c>
      <c r="L54" s="41">
        <v>62.34</v>
      </c>
      <c r="M54" s="41">
        <v>125.414</v>
      </c>
      <c r="N54" s="41">
        <v>134.542</v>
      </c>
      <c r="O54" s="41">
        <v>134.42500000000001</v>
      </c>
      <c r="P54" s="41">
        <v>151.52699999999999</v>
      </c>
      <c r="Q54" s="41">
        <v>125.767</v>
      </c>
      <c r="R54" s="41">
        <v>102.146</v>
      </c>
      <c r="S54" s="46">
        <v>151.83199999999999</v>
      </c>
      <c r="T54" s="41">
        <v>161.471</v>
      </c>
      <c r="U54" s="41">
        <v>164.25899999999999</v>
      </c>
      <c r="V54" s="166">
        <v>171.559</v>
      </c>
    </row>
    <row r="55" spans="1:22" ht="16.5" customHeight="1" x14ac:dyDescent="0.25">
      <c r="A55" s="74" t="s">
        <v>98</v>
      </c>
      <c r="B55" s="39" t="s">
        <v>50</v>
      </c>
      <c r="C55" s="41">
        <f>19.223-19.223+19.252</f>
        <v>19.251999999999999</v>
      </c>
      <c r="D55" s="53">
        <f>8.373-8.373+8.757</f>
        <v>8.7569999999999997</v>
      </c>
      <c r="E55" s="53">
        <f>20.104-20.104+21.88</f>
        <v>21.88</v>
      </c>
      <c r="F55" s="53">
        <f>18.39-18.39+26.453</f>
        <v>26.452999999999999</v>
      </c>
      <c r="G55" s="50">
        <f>19.492-19.492+9.318</f>
        <v>9.3179999999999996</v>
      </c>
      <c r="H55" s="40">
        <f>25.19-25.19+22.776</f>
        <v>22.776</v>
      </c>
      <c r="I55" s="40">
        <f>30.224-30.224+29.935</f>
        <v>29.934999999999999</v>
      </c>
      <c r="J55" s="41">
        <f>10.587-10.587+10.636-10.636+0.863</f>
        <v>0.86299999999999999</v>
      </c>
      <c r="K55" s="41">
        <v>22.661999999999999</v>
      </c>
      <c r="L55" s="41">
        <v>25.414999999999999</v>
      </c>
      <c r="M55" s="41">
        <v>26.216000000000001</v>
      </c>
      <c r="N55" s="41">
        <v>24.161999999999999</v>
      </c>
      <c r="O55" s="41">
        <v>23.352</v>
      </c>
      <c r="P55" s="41">
        <v>22.166</v>
      </c>
      <c r="Q55" s="41">
        <v>9.4649999999999999</v>
      </c>
      <c r="R55" s="41">
        <v>8.4079999999999995</v>
      </c>
      <c r="S55" s="46">
        <v>0</v>
      </c>
      <c r="T55" s="41">
        <v>0</v>
      </c>
      <c r="U55" s="41">
        <v>0</v>
      </c>
      <c r="V55" s="166">
        <v>0</v>
      </c>
    </row>
    <row r="56" spans="1:22" s="62" customFormat="1" ht="16.5" customHeight="1" x14ac:dyDescent="0.25">
      <c r="A56" s="65" t="s">
        <v>14</v>
      </c>
      <c r="B56" s="64" t="s">
        <v>99</v>
      </c>
      <c r="C56" s="41">
        <v>919.86900000000003</v>
      </c>
      <c r="D56" s="53">
        <f>734.258-734.258+877.728</f>
        <v>877.72799999999995</v>
      </c>
      <c r="E56" s="53">
        <f>623.359-623.359+782.77</f>
        <v>782.77</v>
      </c>
      <c r="F56" s="53">
        <f>498.551-498.551+878.189</f>
        <v>878.18899999999996</v>
      </c>
      <c r="G56" s="50">
        <f>490.516-490.516+892.342</f>
        <v>892.34199999999998</v>
      </c>
      <c r="H56" s="40">
        <f>574.001-574.001+1079.6</f>
        <v>1079.5999999999999</v>
      </c>
      <c r="I56" s="40">
        <f>519.818-519.818+1066.82</f>
        <v>1066.82</v>
      </c>
      <c r="J56" s="41">
        <f>463.736-463.736+949.99</f>
        <v>949.99</v>
      </c>
      <c r="K56" s="41">
        <v>854.73</v>
      </c>
      <c r="L56" s="41">
        <v>876.726</v>
      </c>
      <c r="M56" s="41">
        <v>879.05700000000002</v>
      </c>
      <c r="N56" s="41">
        <v>928.1</v>
      </c>
      <c r="O56" s="41">
        <v>1240.3530000000001</v>
      </c>
      <c r="P56" s="41">
        <v>1369.152</v>
      </c>
      <c r="Q56" s="41">
        <v>1196.4079999999999</v>
      </c>
      <c r="R56" s="41">
        <v>4078.3989999999999</v>
      </c>
      <c r="S56" s="46">
        <v>2311.1010000000001</v>
      </c>
      <c r="T56" s="41">
        <v>1479.85</v>
      </c>
      <c r="U56" s="41">
        <v>1103.617</v>
      </c>
      <c r="V56" s="166">
        <v>1017.5439999999999</v>
      </c>
    </row>
    <row r="57" spans="1:22" s="62" customFormat="1" ht="16.5" customHeight="1" x14ac:dyDescent="0.25">
      <c r="A57" s="56" t="s">
        <v>100</v>
      </c>
      <c r="B57" s="39" t="s">
        <v>101</v>
      </c>
      <c r="C57" s="41">
        <f>0+325.997</f>
        <v>325.99700000000001</v>
      </c>
      <c r="D57" s="53">
        <f>0.009+210.503</f>
        <v>210.51199999999997</v>
      </c>
      <c r="E57" s="53">
        <f>0.061+196.916</f>
        <v>196.977</v>
      </c>
      <c r="F57" s="53">
        <f>0.068+151.421</f>
        <v>151.489</v>
      </c>
      <c r="G57" s="50">
        <f>0+120.155</f>
        <v>120.155</v>
      </c>
      <c r="H57" s="40">
        <f>0+138.037</f>
        <v>138.03700000000001</v>
      </c>
      <c r="I57" s="40">
        <f>0+469.54-469.54+91.73</f>
        <v>91.73</v>
      </c>
      <c r="J57" s="41">
        <v>68.584999999999994</v>
      </c>
      <c r="K57" s="41">
        <v>57.859000000000002</v>
      </c>
      <c r="L57" s="41">
        <v>92.421000000000006</v>
      </c>
      <c r="M57" s="41">
        <v>89.744088000000005</v>
      </c>
      <c r="N57" s="41">
        <v>126.425</v>
      </c>
      <c r="O57" s="41">
        <v>121.456</v>
      </c>
      <c r="P57" s="41">
        <v>108.738</v>
      </c>
      <c r="Q57" s="41">
        <v>169.26400000000001</v>
      </c>
      <c r="R57" s="41">
        <v>143.57499999999999</v>
      </c>
      <c r="S57" s="46">
        <v>236.453</v>
      </c>
      <c r="T57" s="41">
        <v>198.77099999999999</v>
      </c>
      <c r="U57" s="41">
        <v>252.363</v>
      </c>
      <c r="V57" s="166">
        <v>250.477</v>
      </c>
    </row>
    <row r="58" spans="1:22" s="62" customFormat="1" ht="16.5" customHeight="1" x14ac:dyDescent="0.25">
      <c r="A58" s="56" t="s">
        <v>102</v>
      </c>
      <c r="B58" s="39" t="s">
        <v>103</v>
      </c>
      <c r="C58" s="41">
        <f>93.014+488.784-29.897-165.97</f>
        <v>385.93099999999993</v>
      </c>
      <c r="D58" s="53">
        <f>96.421+436.378-29.068-270.339</f>
        <v>233.392</v>
      </c>
      <c r="E58" s="53">
        <f>94.731+485.316-42.054-228.114</f>
        <v>309.87900000000002</v>
      </c>
      <c r="F58" s="53">
        <f>93.573+547.911-28.816-199.498-105.301-67.516</f>
        <v>240.35299999999989</v>
      </c>
      <c r="G58" s="50">
        <f>94.782+891.384-28.334-345.988-174.99-199.342</f>
        <v>237.51200000000003</v>
      </c>
      <c r="H58" s="40">
        <f>103.597+695.788-40.446-333.753-197.559</f>
        <v>227.62699999999998</v>
      </c>
      <c r="I58" s="40">
        <f>106.32+413.45-83.331-197.559</f>
        <v>238.87999999999997</v>
      </c>
      <c r="J58" s="41">
        <f>360.958+110.061-209.559</f>
        <v>261.46000000000004</v>
      </c>
      <c r="K58" s="41">
        <v>242.32099999999997</v>
      </c>
      <c r="L58" s="41">
        <v>187.64400000000001</v>
      </c>
      <c r="M58" s="41">
        <v>202.05788999999999</v>
      </c>
      <c r="N58" s="41">
        <v>235.51500000000001</v>
      </c>
      <c r="O58" s="41">
        <v>266.12200000000001</v>
      </c>
      <c r="P58" s="41">
        <v>287.52800000000002</v>
      </c>
      <c r="Q58" s="41">
        <v>322.75900000000001</v>
      </c>
      <c r="R58" s="41">
        <v>329.286</v>
      </c>
      <c r="S58" s="46">
        <v>366.767</v>
      </c>
      <c r="T58" s="41">
        <v>380.80900000000003</v>
      </c>
      <c r="U58" s="41">
        <v>391.714</v>
      </c>
      <c r="V58" s="166">
        <v>403.04899999999998</v>
      </c>
    </row>
    <row r="59" spans="1:22" s="62" customFormat="1" ht="16.5" customHeight="1" x14ac:dyDescent="0.25">
      <c r="A59" s="51" t="s">
        <v>104</v>
      </c>
      <c r="B59" s="39" t="s">
        <v>105</v>
      </c>
      <c r="C59" s="41">
        <f>0+381.232-165.97</f>
        <v>215.26200000000003</v>
      </c>
      <c r="D59" s="53">
        <f>0+315.342-270.339</f>
        <v>45.002999999999986</v>
      </c>
      <c r="E59" s="53">
        <f>0+337.519-228.114</f>
        <v>109.405</v>
      </c>
      <c r="F59" s="53">
        <f>0+404.903-199.498-105.301-67.516</f>
        <v>32.588000000000022</v>
      </c>
      <c r="G59" s="50">
        <f>0+736.51-345.988-174.99-199.342</f>
        <v>16.189999999999969</v>
      </c>
      <c r="H59" s="40">
        <f>0+538.753-333.753-197.559</f>
        <v>7.4410000000000593</v>
      </c>
      <c r="I59" s="40">
        <f>0+265.108-197.559</f>
        <v>67.549000000000007</v>
      </c>
      <c r="J59" s="40">
        <f>218.096-209.559</f>
        <v>8.5370000000000061</v>
      </c>
      <c r="K59" s="40">
        <v>9.6329999999999991</v>
      </c>
      <c r="L59" s="40">
        <v>9.0510000000000002</v>
      </c>
      <c r="M59" s="40">
        <v>9.0152359999999998</v>
      </c>
      <c r="N59" s="40">
        <v>10.593</v>
      </c>
      <c r="O59" s="40">
        <v>11.407999999999999</v>
      </c>
      <c r="P59" s="40">
        <v>0</v>
      </c>
      <c r="Q59" s="40">
        <v>0</v>
      </c>
      <c r="R59" s="40">
        <v>0.88</v>
      </c>
      <c r="S59" s="105">
        <v>16.367000000000001</v>
      </c>
      <c r="T59" s="40">
        <v>17.908999999999999</v>
      </c>
      <c r="U59" s="40">
        <v>18.614000000000001</v>
      </c>
      <c r="V59" s="167">
        <v>19.048999999999999</v>
      </c>
    </row>
    <row r="60" spans="1:22" s="62" customFormat="1" ht="16.5" customHeight="1" x14ac:dyDescent="0.25">
      <c r="A60" s="51" t="s">
        <v>106</v>
      </c>
      <c r="B60" s="39" t="s">
        <v>107</v>
      </c>
      <c r="C60" s="41">
        <f>93.014+102.14-29.897</f>
        <v>165.25700000000001</v>
      </c>
      <c r="D60" s="53">
        <f>96.421+115.062-29.068</f>
        <v>182.41499999999999</v>
      </c>
      <c r="E60" s="53">
        <f>94.731+141.166-42.054</f>
        <v>193.84299999999999</v>
      </c>
      <c r="F60" s="53">
        <f>93.573+135.374-28.816</f>
        <v>200.131</v>
      </c>
      <c r="G60" s="50">
        <f>94.782+147.742-28.334</f>
        <v>214.19</v>
      </c>
      <c r="H60" s="40">
        <f>103.597+151.037-40.446</f>
        <v>214.18800000000002</v>
      </c>
      <c r="I60" s="40">
        <f>106.32+140.792-83.331</f>
        <v>163.78100000000001</v>
      </c>
      <c r="J60" s="41">
        <f>136.694+110.061</f>
        <v>246.755</v>
      </c>
      <c r="K60" s="41">
        <v>228.69</v>
      </c>
      <c r="L60" s="41">
        <v>169.77699999999999</v>
      </c>
      <c r="M60" s="41">
        <v>185.22223500000001</v>
      </c>
      <c r="N60" s="41">
        <v>217.41900000000001</v>
      </c>
      <c r="O60" s="41">
        <v>246.37199999999999</v>
      </c>
      <c r="P60" s="41">
        <v>270.548</v>
      </c>
      <c r="Q60" s="41">
        <v>310.07600000000002</v>
      </c>
      <c r="R60" s="41">
        <v>321.911</v>
      </c>
      <c r="S60" s="46">
        <v>342</v>
      </c>
      <c r="T60" s="41">
        <v>356.9</v>
      </c>
      <c r="U60" s="41">
        <v>367.1</v>
      </c>
      <c r="V60" s="166">
        <v>378</v>
      </c>
    </row>
    <row r="61" spans="1:22" s="62" customFormat="1" ht="16.5" customHeight="1" x14ac:dyDescent="0.25">
      <c r="A61" s="56" t="s">
        <v>108</v>
      </c>
      <c r="B61" s="39" t="s">
        <v>109</v>
      </c>
      <c r="C61" s="41">
        <f t="shared" ref="C61:I61" si="12">C56-C57-C58</f>
        <v>207.94100000000014</v>
      </c>
      <c r="D61" s="41">
        <f t="shared" si="12"/>
        <v>433.82400000000001</v>
      </c>
      <c r="E61" s="41">
        <f t="shared" si="12"/>
        <v>275.91399999999999</v>
      </c>
      <c r="F61" s="41">
        <f t="shared" si="12"/>
        <v>486.34700000000004</v>
      </c>
      <c r="G61" s="40">
        <f t="shared" si="12"/>
        <v>534.67499999999995</v>
      </c>
      <c r="H61" s="40">
        <f t="shared" si="12"/>
        <v>713.93599999999992</v>
      </c>
      <c r="I61" s="40">
        <f t="shared" si="12"/>
        <v>736.20999999999992</v>
      </c>
      <c r="J61" s="41">
        <f>J56-J57-J58</f>
        <v>619.94499999999994</v>
      </c>
      <c r="K61" s="41">
        <v>554.54999999999995</v>
      </c>
      <c r="L61" s="41">
        <v>596.66099999999994</v>
      </c>
      <c r="M61" s="41">
        <v>587.25502200000005</v>
      </c>
      <c r="N61" s="41">
        <v>566.16000000000008</v>
      </c>
      <c r="O61" s="41">
        <v>852.77500000000009</v>
      </c>
      <c r="P61" s="41">
        <v>972.88599999999997</v>
      </c>
      <c r="Q61" s="41">
        <v>704.38499999999976</v>
      </c>
      <c r="R61" s="41">
        <v>3605.538</v>
      </c>
      <c r="S61" s="46">
        <v>1707.8810000000001</v>
      </c>
      <c r="T61" s="41">
        <v>900.27</v>
      </c>
      <c r="U61" s="41">
        <v>459.54</v>
      </c>
      <c r="V61" s="166">
        <v>364.01799999999997</v>
      </c>
    </row>
    <row r="62" spans="1:22" s="62" customFormat="1" ht="18" customHeight="1" x14ac:dyDescent="0.25">
      <c r="A62" s="73" t="s">
        <v>110</v>
      </c>
      <c r="B62" s="39" t="s">
        <v>79</v>
      </c>
      <c r="C62" s="41">
        <f>891.537-891.537+921.194</f>
        <v>921.19399999999996</v>
      </c>
      <c r="D62" s="41">
        <f>916.245-916.245+933.641</f>
        <v>933.64099999999996</v>
      </c>
      <c r="E62" s="53">
        <f>877.284-877.284+882.742</f>
        <v>882.74199999999996</v>
      </c>
      <c r="F62" s="41">
        <f>1079.231-1079.231+1102.972</f>
        <v>1102.972</v>
      </c>
      <c r="G62" s="40">
        <f>1283.267-1283.267+1311.694</f>
        <v>1311.694</v>
      </c>
      <c r="H62" s="40">
        <f>1387.038-1387.038+1417.569</f>
        <v>1417.569</v>
      </c>
      <c r="I62" s="40">
        <f>1443.601-1443.601+1477.021</f>
        <v>1477.021</v>
      </c>
      <c r="J62" s="41">
        <f>1379.407-1379.407+1415.109</f>
        <v>1415.1089999999999</v>
      </c>
      <c r="K62" s="41">
        <v>1373.002</v>
      </c>
      <c r="L62" s="41">
        <v>1220.1679999999999</v>
      </c>
      <c r="M62" s="41">
        <v>1209.7470000000001</v>
      </c>
      <c r="N62" s="41">
        <v>1164.9349999999999</v>
      </c>
      <c r="O62" s="41">
        <v>1104.6110000000001</v>
      </c>
      <c r="P62" s="41">
        <v>1099.038</v>
      </c>
      <c r="Q62" s="41">
        <v>1138.912</v>
      </c>
      <c r="R62" s="41">
        <v>1420.73</v>
      </c>
      <c r="S62" s="46">
        <v>1875.521</v>
      </c>
      <c r="T62" s="41">
        <v>2158.9699999999998</v>
      </c>
      <c r="U62" s="41">
        <v>2387.8969999999999</v>
      </c>
      <c r="V62" s="166">
        <v>2753.2170000000001</v>
      </c>
    </row>
    <row r="63" spans="1:22" s="62" customFormat="1" ht="16.5" customHeight="1" x14ac:dyDescent="0.25">
      <c r="A63" s="74" t="s">
        <v>15</v>
      </c>
      <c r="B63" s="39" t="s">
        <v>83</v>
      </c>
      <c r="C63" s="41">
        <f>891.537-891.537+921.194</f>
        <v>921.19399999999996</v>
      </c>
      <c r="D63" s="41">
        <f>916.245-916.245+933.641</f>
        <v>933.64099999999996</v>
      </c>
      <c r="E63" s="53">
        <f>877.284-877.284+882.742</f>
        <v>882.74199999999996</v>
      </c>
      <c r="F63" s="41">
        <f>1079.231-1079.231+1102.972</f>
        <v>1102.972</v>
      </c>
      <c r="G63" s="40">
        <f>1283.267-1283.267+1311.694</f>
        <v>1311.694</v>
      </c>
      <c r="H63" s="40">
        <f>1387.038-1387.038+1417.569</f>
        <v>1417.569</v>
      </c>
      <c r="I63" s="40">
        <f>1443.601-1443.601+1477.021</f>
        <v>1477.021</v>
      </c>
      <c r="J63" s="41">
        <f>1379.407-1379.407+1415.109</f>
        <v>1415.1089999999999</v>
      </c>
      <c r="K63" s="41">
        <v>1373.002</v>
      </c>
      <c r="L63" s="41">
        <v>1220.1679999999999</v>
      </c>
      <c r="M63" s="41">
        <v>1209.7470000000001</v>
      </c>
      <c r="N63" s="41">
        <v>1164.9349999999999</v>
      </c>
      <c r="O63" s="41">
        <v>1104.6110000000001</v>
      </c>
      <c r="P63" s="41">
        <v>1099.038</v>
      </c>
      <c r="Q63" s="41">
        <v>1138.912</v>
      </c>
      <c r="R63" s="41">
        <v>1420.73</v>
      </c>
      <c r="S63" s="46">
        <v>1875.521</v>
      </c>
      <c r="T63" s="41">
        <v>2158.9699999999998</v>
      </c>
      <c r="U63" s="41">
        <v>2387.8969999999999</v>
      </c>
      <c r="V63" s="166">
        <v>2753.2170000000001</v>
      </c>
    </row>
    <row r="64" spans="1:22" s="62" customFormat="1" ht="16.5" customHeight="1" x14ac:dyDescent="0.25">
      <c r="A64" s="74" t="s">
        <v>111</v>
      </c>
      <c r="B64" s="64" t="s">
        <v>112</v>
      </c>
      <c r="C64" s="41">
        <v>0</v>
      </c>
      <c r="D64" s="41">
        <v>0</v>
      </c>
      <c r="E64" s="41">
        <v>0</v>
      </c>
      <c r="F64" s="41">
        <v>0</v>
      </c>
      <c r="G64" s="40">
        <v>0</v>
      </c>
      <c r="H64" s="40">
        <v>0</v>
      </c>
      <c r="I64" s="40">
        <f>0.003-0.003</f>
        <v>0</v>
      </c>
      <c r="J64" s="40">
        <v>0</v>
      </c>
      <c r="K64" s="40">
        <v>0</v>
      </c>
      <c r="L64" s="40">
        <v>0</v>
      </c>
      <c r="M64" s="40">
        <v>0</v>
      </c>
      <c r="N64" s="40">
        <v>0</v>
      </c>
      <c r="O64" s="40">
        <v>0</v>
      </c>
      <c r="P64" s="40">
        <v>0</v>
      </c>
      <c r="Q64" s="40">
        <v>0</v>
      </c>
      <c r="R64" s="40">
        <v>0</v>
      </c>
      <c r="S64" s="105">
        <v>0</v>
      </c>
      <c r="T64" s="40">
        <v>0</v>
      </c>
      <c r="U64" s="40">
        <v>0</v>
      </c>
      <c r="V64" s="167">
        <v>0</v>
      </c>
    </row>
    <row r="65" spans="1:32" s="62" customFormat="1" ht="16.5" customHeight="1" x14ac:dyDescent="0.25">
      <c r="A65" s="73" t="s">
        <v>16</v>
      </c>
      <c r="B65" s="39" t="s">
        <v>113</v>
      </c>
      <c r="C65" s="41">
        <f>11147.478-11147.478+11147.482</f>
        <v>11147.482</v>
      </c>
      <c r="D65" s="41">
        <f>12334.676-12334.676+12334.68</f>
        <v>12334.68</v>
      </c>
      <c r="E65" s="41">
        <f>13234.156-13234.156+13234.159</f>
        <v>13234.159</v>
      </c>
      <c r="F65" s="41">
        <f>13213.632-13213.632+13213.635</f>
        <v>13213.635</v>
      </c>
      <c r="G65" s="40">
        <f>13743.613-13743.613+13743.616</f>
        <v>13743.616</v>
      </c>
      <c r="H65" s="40">
        <f>14097.725-14097.725+14097.726</f>
        <v>14097.726000000001</v>
      </c>
      <c r="I65" s="40">
        <f>14500.93-14500.93+14500.932</f>
        <v>14500.932000000001</v>
      </c>
      <c r="J65" s="41">
        <f>14960.204-14960.204+14960.206</f>
        <v>14960.206</v>
      </c>
      <c r="K65" s="41">
        <v>15520.054</v>
      </c>
      <c r="L65" s="41">
        <v>15719.607</v>
      </c>
      <c r="M65" s="41">
        <v>14738.058999999999</v>
      </c>
      <c r="N65" s="41">
        <v>15714.947</v>
      </c>
      <c r="O65" s="41">
        <v>16739.489000000001</v>
      </c>
      <c r="P65" s="41">
        <v>18376.468000000001</v>
      </c>
      <c r="Q65" s="41">
        <v>19611.552</v>
      </c>
      <c r="R65" s="41">
        <v>24185.499</v>
      </c>
      <c r="S65" s="46">
        <v>27177.446</v>
      </c>
      <c r="T65" s="41">
        <v>28133.666000000001</v>
      </c>
      <c r="U65" s="41">
        <v>29772.434999999998</v>
      </c>
      <c r="V65" s="166">
        <v>30857.606</v>
      </c>
    </row>
    <row r="66" spans="1:32" ht="16.5" customHeight="1" x14ac:dyDescent="0.25">
      <c r="A66" s="56" t="s">
        <v>114</v>
      </c>
      <c r="B66" s="39" t="s">
        <v>115</v>
      </c>
      <c r="C66" s="41">
        <f>7987.782-7987.782+7987.786</f>
        <v>7987.7860000000001</v>
      </c>
      <c r="D66" s="41">
        <f>9049.218-9049.218+9049.222</f>
        <v>9049.2219999999998</v>
      </c>
      <c r="E66" s="41">
        <f>9752.247-9752.247+9752.25</f>
        <v>9752.25</v>
      </c>
      <c r="F66" s="41">
        <f>9820.762-9820.762+9820.765</f>
        <v>9820.7649999999994</v>
      </c>
      <c r="G66" s="40">
        <f>10242.103-10242.103+10242.106</f>
        <v>10242.106</v>
      </c>
      <c r="H66" s="40">
        <f>10433.272-10433.272+10443.273-10443.273+10433.273</f>
        <v>10433.272999999999</v>
      </c>
      <c r="I66" s="40">
        <f>10670.954-10670.954+10670.956</f>
        <v>10670.956</v>
      </c>
      <c r="J66" s="41">
        <f>10967.34-10967.34+10967.342</f>
        <v>10967.342000000001</v>
      </c>
      <c r="K66" s="41">
        <v>11281.623</v>
      </c>
      <c r="L66" s="41">
        <v>11470.415999999999</v>
      </c>
      <c r="M66" s="41">
        <v>11861.315000000001</v>
      </c>
      <c r="N66" s="41">
        <v>12604.505999999999</v>
      </c>
      <c r="O66" s="41">
        <v>13694.215</v>
      </c>
      <c r="P66" s="41">
        <v>14971.645</v>
      </c>
      <c r="Q66" s="41">
        <v>15883.824000000001</v>
      </c>
      <c r="R66" s="41">
        <v>20007.542000000001</v>
      </c>
      <c r="S66" s="46">
        <v>22004.786</v>
      </c>
      <c r="T66" s="41">
        <v>22551.127</v>
      </c>
      <c r="U66" s="41">
        <v>23943.264999999999</v>
      </c>
      <c r="V66" s="166">
        <v>24795.881000000001</v>
      </c>
      <c r="X66" s="133"/>
      <c r="Y66" s="133"/>
      <c r="AA66" s="90"/>
      <c r="AB66" s="90"/>
      <c r="AD66" s="133"/>
      <c r="AE66" s="133"/>
      <c r="AF66" s="133"/>
    </row>
    <row r="67" spans="1:32" ht="16.5" customHeight="1" x14ac:dyDescent="0.25">
      <c r="A67" s="75" t="s">
        <v>116</v>
      </c>
      <c r="B67" s="64" t="s">
        <v>117</v>
      </c>
      <c r="C67" s="41">
        <v>70.034000000000006</v>
      </c>
      <c r="D67" s="41">
        <v>56.390999999999998</v>
      </c>
      <c r="E67" s="41">
        <v>104.119</v>
      </c>
      <c r="F67" s="41">
        <v>72.921000000000006</v>
      </c>
      <c r="G67" s="40">
        <v>57.134</v>
      </c>
      <c r="H67" s="40">
        <v>38.021999999999998</v>
      </c>
      <c r="I67" s="40">
        <v>50.674999999999997</v>
      </c>
      <c r="J67" s="41">
        <v>39.174999999999997</v>
      </c>
      <c r="K67" s="41">
        <v>69.275999999999996</v>
      </c>
      <c r="L67" s="41">
        <v>53.323</v>
      </c>
      <c r="M67" s="41">
        <v>53.108972999999999</v>
      </c>
      <c r="N67" s="41">
        <v>45.393000000000001</v>
      </c>
      <c r="O67" s="41">
        <v>47.042000000000002</v>
      </c>
      <c r="P67" s="41">
        <v>40.366999999999997</v>
      </c>
      <c r="Q67" s="41">
        <v>60.981000000000002</v>
      </c>
      <c r="R67" s="41">
        <v>79.135999999999996</v>
      </c>
      <c r="S67" s="46">
        <v>48.835999999999999</v>
      </c>
      <c r="T67" s="41">
        <v>67.984999999999999</v>
      </c>
      <c r="U67" s="41">
        <v>60.101999999999997</v>
      </c>
      <c r="V67" s="166">
        <v>60.101999999999997</v>
      </c>
      <c r="AD67" s="133"/>
      <c r="AE67" s="133"/>
      <c r="AF67" s="133"/>
    </row>
    <row r="68" spans="1:32" ht="16.5" customHeight="1" x14ac:dyDescent="0.25">
      <c r="A68" s="75" t="s">
        <v>118</v>
      </c>
      <c r="B68" s="64" t="s">
        <v>119</v>
      </c>
      <c r="C68" s="41">
        <v>246.61600000000001</v>
      </c>
      <c r="D68" s="41">
        <v>316.95999999999998</v>
      </c>
      <c r="E68" s="41">
        <v>338.78500000000003</v>
      </c>
      <c r="F68" s="41">
        <v>381.76400000000001</v>
      </c>
      <c r="G68" s="40">
        <v>428.45800000000003</v>
      </c>
      <c r="H68" s="40">
        <f>399.742+4.453</f>
        <v>404.19499999999999</v>
      </c>
      <c r="I68" s="40">
        <f>381.109+5.313</f>
        <v>386.42199999999997</v>
      </c>
      <c r="J68" s="41">
        <f>415.455+5.459</f>
        <v>420.91399999999999</v>
      </c>
      <c r="K68" s="41">
        <v>479.09399999999999</v>
      </c>
      <c r="L68" s="41">
        <v>570.71899999999994</v>
      </c>
      <c r="M68" s="41">
        <v>667.16800000000001</v>
      </c>
      <c r="N68" s="41">
        <v>768.67500000000007</v>
      </c>
      <c r="O68" s="41">
        <v>1052.1990000000001</v>
      </c>
      <c r="P68" s="41">
        <v>1131.2840000000001</v>
      </c>
      <c r="Q68" s="41">
        <v>1034.3779999999999</v>
      </c>
      <c r="R68" s="41">
        <v>1039.039</v>
      </c>
      <c r="S68" s="46">
        <v>1099.9659999999999</v>
      </c>
      <c r="T68" s="41">
        <v>1195.019</v>
      </c>
      <c r="U68" s="41">
        <v>1274.0740000000001</v>
      </c>
      <c r="V68" s="166">
        <v>1345.5319999999999</v>
      </c>
      <c r="AD68" s="133"/>
      <c r="AE68" s="133"/>
      <c r="AF68" s="133"/>
    </row>
    <row r="69" spans="1:32" ht="16.5" customHeight="1" x14ac:dyDescent="0.25">
      <c r="A69" s="75" t="s">
        <v>120</v>
      </c>
      <c r="B69" s="39" t="s">
        <v>121</v>
      </c>
      <c r="C69" s="41">
        <v>4531.942</v>
      </c>
      <c r="D69" s="41">
        <v>5034.7359999999999</v>
      </c>
      <c r="E69" s="41">
        <v>5244.51</v>
      </c>
      <c r="F69" s="41">
        <v>5390.7460000000001</v>
      </c>
      <c r="G69" s="40">
        <v>5639.5029999999997</v>
      </c>
      <c r="H69" s="40">
        <f>5893.823+157.393+1.815</f>
        <v>6053.0309999999999</v>
      </c>
      <c r="I69" s="40">
        <f>6240.862+173.728+1.904</f>
        <v>6416.4940000000006</v>
      </c>
      <c r="J69" s="41">
        <f>6414.203+182.59</f>
        <v>6596.7930000000006</v>
      </c>
      <c r="K69" s="41">
        <v>6829.8070000000007</v>
      </c>
      <c r="L69" s="41">
        <v>7128.82</v>
      </c>
      <c r="M69" s="41">
        <v>7422.9960000000001</v>
      </c>
      <c r="N69" s="41">
        <v>7746.723</v>
      </c>
      <c r="O69" s="41">
        <v>8162.2580000000007</v>
      </c>
      <c r="P69" s="41">
        <v>8465.0280000000002</v>
      </c>
      <c r="Q69" s="41">
        <v>8750.5820000000003</v>
      </c>
      <c r="R69" s="41">
        <v>10856.159</v>
      </c>
      <c r="S69" s="46">
        <v>13139.526</v>
      </c>
      <c r="T69" s="41">
        <v>13547.468999999999</v>
      </c>
      <c r="U69" s="41">
        <v>14176.591</v>
      </c>
      <c r="V69" s="166">
        <v>14631.097</v>
      </c>
      <c r="AD69" s="133"/>
      <c r="AE69" s="133"/>
      <c r="AF69" s="133"/>
    </row>
    <row r="70" spans="1:32" ht="16.5" customHeight="1" x14ac:dyDescent="0.25">
      <c r="A70" s="75" t="s">
        <v>122</v>
      </c>
      <c r="B70" s="64" t="s">
        <v>123</v>
      </c>
      <c r="C70" s="41">
        <v>66.120999999999995</v>
      </c>
      <c r="D70" s="41">
        <v>172.43</v>
      </c>
      <c r="E70" s="41">
        <v>150.339</v>
      </c>
      <c r="F70" s="41">
        <v>163.334</v>
      </c>
      <c r="G70" s="41">
        <v>175.773</v>
      </c>
      <c r="H70" s="41">
        <v>174.30799999999999</v>
      </c>
      <c r="I70" s="41">
        <v>154.721</v>
      </c>
      <c r="J70" s="41">
        <v>158.624</v>
      </c>
      <c r="K70" s="41">
        <v>171.63</v>
      </c>
      <c r="L70" s="41">
        <v>167.655</v>
      </c>
      <c r="M70" s="41">
        <v>183.74527900000001</v>
      </c>
      <c r="N70" s="41">
        <v>214.19499999999999</v>
      </c>
      <c r="O70" s="41">
        <v>329.21199999999999</v>
      </c>
      <c r="P70" s="41">
        <v>289.83999999999997</v>
      </c>
      <c r="Q70" s="41">
        <v>239.21100000000001</v>
      </c>
      <c r="R70" s="41">
        <v>267.49099999999999</v>
      </c>
      <c r="S70" s="46">
        <v>292.13600000000002</v>
      </c>
      <c r="T70" s="41">
        <v>303.24400000000003</v>
      </c>
      <c r="U70" s="41">
        <v>310.61799999999999</v>
      </c>
      <c r="V70" s="166">
        <v>316.452</v>
      </c>
    </row>
    <row r="71" spans="1:32" ht="16.5" customHeight="1" x14ac:dyDescent="0.25">
      <c r="A71" s="75" t="s">
        <v>124</v>
      </c>
      <c r="B71" s="64" t="s">
        <v>125</v>
      </c>
      <c r="C71" s="41">
        <f t="shared" ref="C71:J71" si="13">SUM(C72:C77)</f>
        <v>1086.5720000000001</v>
      </c>
      <c r="D71" s="41">
        <f t="shared" si="13"/>
        <v>1211.0309999999999</v>
      </c>
      <c r="E71" s="41">
        <f t="shared" si="13"/>
        <v>1364.961</v>
      </c>
      <c r="F71" s="41">
        <f t="shared" si="13"/>
        <v>1376.3489999999999</v>
      </c>
      <c r="G71" s="41">
        <f t="shared" si="13"/>
        <v>1381.508</v>
      </c>
      <c r="H71" s="41">
        <f t="shared" si="13"/>
        <v>1374.616</v>
      </c>
      <c r="I71" s="41">
        <f t="shared" si="13"/>
        <v>1362.7940000000001</v>
      </c>
      <c r="J71" s="41">
        <f t="shared" si="13"/>
        <v>1336.7550000000001</v>
      </c>
      <c r="K71" s="41">
        <v>1318.2619999999999</v>
      </c>
      <c r="L71" s="41">
        <v>1309.6369999999999</v>
      </c>
      <c r="M71" s="41">
        <v>1346.0884320000002</v>
      </c>
      <c r="N71" s="41">
        <v>1538.71</v>
      </c>
      <c r="O71" s="41">
        <v>2571.672</v>
      </c>
      <c r="P71" s="41">
        <v>3350.5859999999998</v>
      </c>
      <c r="Q71" s="41">
        <v>2751.0970000000002</v>
      </c>
      <c r="R71" s="41">
        <v>3167.319</v>
      </c>
      <c r="S71" s="46">
        <v>2690.2860000000001</v>
      </c>
      <c r="T71" s="41">
        <v>2964.2460000000001</v>
      </c>
      <c r="U71" s="41">
        <v>3065.2289999999998</v>
      </c>
      <c r="V71" s="166">
        <v>3142.5659999999998</v>
      </c>
      <c r="AD71" s="133"/>
      <c r="AE71" s="133"/>
      <c r="AF71" s="133"/>
    </row>
    <row r="72" spans="1:32" ht="16.5" customHeight="1" x14ac:dyDescent="0.25">
      <c r="A72" s="51" t="s">
        <v>126</v>
      </c>
      <c r="B72" s="64" t="s">
        <v>127</v>
      </c>
      <c r="C72" s="41">
        <v>268.47500000000002</v>
      </c>
      <c r="D72" s="41">
        <v>308.18900000000002</v>
      </c>
      <c r="E72" s="41">
        <v>318.96699999999998</v>
      </c>
      <c r="F72" s="41">
        <v>315.02</v>
      </c>
      <c r="G72" s="41">
        <v>316.46300000000002</v>
      </c>
      <c r="H72" s="41">
        <v>318.49400000000003</v>
      </c>
      <c r="I72" s="41">
        <v>319.09399999999999</v>
      </c>
      <c r="J72" s="41">
        <v>315.59899999999999</v>
      </c>
      <c r="K72" s="41">
        <v>312.51400000000001</v>
      </c>
      <c r="L72" s="41">
        <v>311.06200000000001</v>
      </c>
      <c r="M72" s="41">
        <v>312.72126300000002</v>
      </c>
      <c r="N72" s="41">
        <v>322.29700000000003</v>
      </c>
      <c r="O72" s="41">
        <v>332.11599999999999</v>
      </c>
      <c r="P72" s="41">
        <v>343.22199999999998</v>
      </c>
      <c r="Q72" s="41">
        <v>372.58800000000002</v>
      </c>
      <c r="R72" s="41">
        <v>778.58500000000004</v>
      </c>
      <c r="S72" s="46">
        <v>812.23299999999995</v>
      </c>
      <c r="T72" s="41">
        <v>830</v>
      </c>
      <c r="U72" s="41">
        <v>835</v>
      </c>
      <c r="V72" s="166">
        <v>838</v>
      </c>
      <c r="X72" s="133"/>
      <c r="Y72" s="133"/>
    </row>
    <row r="73" spans="1:32" ht="16.5" customHeight="1" x14ac:dyDescent="0.25">
      <c r="A73" s="51" t="s">
        <v>128</v>
      </c>
      <c r="B73" s="64" t="s">
        <v>129</v>
      </c>
      <c r="C73" s="41">
        <v>22.914999999999999</v>
      </c>
      <c r="D73" s="41">
        <v>8.7729999999999997</v>
      </c>
      <c r="E73" s="41">
        <v>8.8369999999999997</v>
      </c>
      <c r="F73" s="41">
        <v>8.8719999999999999</v>
      </c>
      <c r="G73" s="41">
        <v>8.8829999999999991</v>
      </c>
      <c r="H73" s="41">
        <v>8.9819999999999993</v>
      </c>
      <c r="I73" s="41">
        <v>35.101999999999997</v>
      </c>
      <c r="J73" s="41">
        <v>41.463000000000001</v>
      </c>
      <c r="K73" s="41">
        <v>43.89</v>
      </c>
      <c r="L73" s="41">
        <v>44.012</v>
      </c>
      <c r="M73" s="41">
        <v>44.011204999999997</v>
      </c>
      <c r="N73" s="41">
        <v>43.396999999999998</v>
      </c>
      <c r="O73" s="41">
        <v>42.915999999999997</v>
      </c>
      <c r="P73" s="41">
        <v>42.548000000000002</v>
      </c>
      <c r="Q73" s="41">
        <v>44.052999999999997</v>
      </c>
      <c r="R73" s="41">
        <v>36.984999999999999</v>
      </c>
      <c r="S73" s="46">
        <v>37.438000000000002</v>
      </c>
      <c r="T73" s="41">
        <v>40.012999999999998</v>
      </c>
      <c r="U73" s="41">
        <v>40.956000000000003</v>
      </c>
      <c r="V73" s="166">
        <v>40.956000000000003</v>
      </c>
    </row>
    <row r="74" spans="1:32" ht="16.5" customHeight="1" x14ac:dyDescent="0.25">
      <c r="A74" s="51" t="s">
        <v>130</v>
      </c>
      <c r="B74" s="64" t="s">
        <v>131</v>
      </c>
      <c r="C74" s="41">
        <v>0</v>
      </c>
      <c r="D74" s="53">
        <v>268.46499999999997</v>
      </c>
      <c r="E74" s="53">
        <v>334.488</v>
      </c>
      <c r="F74" s="53">
        <v>352.24</v>
      </c>
      <c r="G74" s="53">
        <v>343.54300000000001</v>
      </c>
      <c r="H74" s="41">
        <v>349.31599999999997</v>
      </c>
      <c r="I74" s="41">
        <v>356.00200000000001</v>
      </c>
      <c r="J74" s="41">
        <v>355.279</v>
      </c>
      <c r="K74" s="41">
        <v>352.44400000000002</v>
      </c>
      <c r="L74" s="41">
        <v>361.29899999999998</v>
      </c>
      <c r="M74" s="41">
        <v>368.68789400000003</v>
      </c>
      <c r="N74" s="41">
        <v>377.34199999999998</v>
      </c>
      <c r="O74" s="41">
        <v>581.63900000000001</v>
      </c>
      <c r="P74" s="41">
        <v>649.85400000000004</v>
      </c>
      <c r="Q74" s="41">
        <v>605.72400000000005</v>
      </c>
      <c r="R74" s="41">
        <v>657.27200000000005</v>
      </c>
      <c r="S74" s="46">
        <v>735.85299999999995</v>
      </c>
      <c r="T74" s="41">
        <v>749.60299999999995</v>
      </c>
      <c r="U74" s="41">
        <v>781.79</v>
      </c>
      <c r="V74" s="166">
        <v>803.25199999999995</v>
      </c>
    </row>
    <row r="75" spans="1:32" ht="16.5" customHeight="1" x14ac:dyDescent="0.25">
      <c r="A75" s="51" t="s">
        <v>132</v>
      </c>
      <c r="B75" s="64" t="s">
        <v>133</v>
      </c>
      <c r="C75" s="41">
        <v>247.214</v>
      </c>
      <c r="D75" s="53">
        <v>275.601</v>
      </c>
      <c r="E75" s="53">
        <v>322.87700000000001</v>
      </c>
      <c r="F75" s="53">
        <v>313.17500000000001</v>
      </c>
      <c r="G75" s="53">
        <v>308.98899999999998</v>
      </c>
      <c r="H75" s="41">
        <v>273.64400000000001</v>
      </c>
      <c r="I75" s="41">
        <v>244.45699999999999</v>
      </c>
      <c r="J75" s="41">
        <v>213.18100000000001</v>
      </c>
      <c r="K75" s="41">
        <v>182.68600000000001</v>
      </c>
      <c r="L75" s="41">
        <v>153.786</v>
      </c>
      <c r="M75" s="41">
        <v>124.999</v>
      </c>
      <c r="N75" s="41">
        <v>111.081</v>
      </c>
      <c r="O75" s="41">
        <v>112.911</v>
      </c>
      <c r="P75" s="41">
        <v>104.554</v>
      </c>
      <c r="Q75" s="41">
        <v>106.746</v>
      </c>
      <c r="R75" s="41">
        <v>118.038</v>
      </c>
      <c r="S75" s="46">
        <v>141.24100000000001</v>
      </c>
      <c r="T75" s="41">
        <v>141.62200000000001</v>
      </c>
      <c r="U75" s="41">
        <v>150.31399999999999</v>
      </c>
      <c r="V75" s="166">
        <v>154.959</v>
      </c>
    </row>
    <row r="76" spans="1:32" ht="16.5" customHeight="1" x14ac:dyDescent="0.25">
      <c r="A76" s="51" t="s">
        <v>134</v>
      </c>
      <c r="B76" s="64" t="s">
        <v>135</v>
      </c>
      <c r="C76" s="41">
        <v>177.84200000000001</v>
      </c>
      <c r="D76" s="53">
        <v>184.589</v>
      </c>
      <c r="E76" s="53">
        <v>207.06299999999999</v>
      </c>
      <c r="F76" s="53">
        <v>210.56700000000001</v>
      </c>
      <c r="G76" s="53">
        <v>225.48699999999999</v>
      </c>
      <c r="H76" s="41">
        <v>232.52099999999999</v>
      </c>
      <c r="I76" s="41">
        <v>235.774</v>
      </c>
      <c r="J76" s="41">
        <v>231.63499999999999</v>
      </c>
      <c r="K76" s="41">
        <v>226.34299999999999</v>
      </c>
      <c r="L76" s="41">
        <v>243.81100000000001</v>
      </c>
      <c r="M76" s="41">
        <v>292.86207000000002</v>
      </c>
      <c r="N76" s="41">
        <v>395.51100000000002</v>
      </c>
      <c r="O76" s="41">
        <v>981.529</v>
      </c>
      <c r="P76" s="41">
        <v>1696.183</v>
      </c>
      <c r="Q76" s="41">
        <v>811.00199999999995</v>
      </c>
      <c r="R76" s="41">
        <v>610.04</v>
      </c>
      <c r="S76" s="46">
        <v>739.505</v>
      </c>
      <c r="T76" s="41">
        <v>894.32399999999996</v>
      </c>
      <c r="U76" s="41">
        <v>937.57</v>
      </c>
      <c r="V76" s="166">
        <v>970.46100000000001</v>
      </c>
    </row>
    <row r="77" spans="1:32" ht="16.5" customHeight="1" x14ac:dyDescent="0.25">
      <c r="A77" s="51" t="s">
        <v>21</v>
      </c>
      <c r="B77" s="64" t="s">
        <v>136</v>
      </c>
      <c r="C77" s="41">
        <v>370.12599999999998</v>
      </c>
      <c r="D77" s="53">
        <v>165.41399999999999</v>
      </c>
      <c r="E77" s="53">
        <v>172.72900000000001</v>
      </c>
      <c r="F77" s="53">
        <v>176.47499999999999</v>
      </c>
      <c r="G77" s="53">
        <v>178.143</v>
      </c>
      <c r="H77" s="41">
        <v>191.65899999999999</v>
      </c>
      <c r="I77" s="41">
        <v>172.36500000000001</v>
      </c>
      <c r="J77" s="41">
        <v>179.59800000000001</v>
      </c>
      <c r="K77" s="41">
        <v>200.38499999999999</v>
      </c>
      <c r="L77" s="41">
        <v>195.667</v>
      </c>
      <c r="M77" s="41">
        <v>202.80699999999999</v>
      </c>
      <c r="N77" s="41">
        <v>289.08199999999999</v>
      </c>
      <c r="O77" s="41">
        <v>520.56100000000004</v>
      </c>
      <c r="P77" s="41">
        <v>514.22500000000002</v>
      </c>
      <c r="Q77" s="41">
        <v>810.98400000000004</v>
      </c>
      <c r="R77" s="41">
        <v>966.399</v>
      </c>
      <c r="S77" s="46">
        <v>224.01599999999999</v>
      </c>
      <c r="T77" s="41">
        <v>308.68400000000003</v>
      </c>
      <c r="U77" s="41">
        <v>319.59800000000001</v>
      </c>
      <c r="V77" s="166">
        <v>334.93799999999999</v>
      </c>
    </row>
    <row r="78" spans="1:32" ht="16.5" customHeight="1" x14ac:dyDescent="0.25">
      <c r="A78" s="75" t="s">
        <v>137</v>
      </c>
      <c r="B78" s="64" t="s">
        <v>138</v>
      </c>
      <c r="C78" s="41">
        <f>1208.545</f>
        <v>1208.5450000000001</v>
      </c>
      <c r="D78" s="41">
        <f>1399.85</f>
        <v>1399.85</v>
      </c>
      <c r="E78" s="41">
        <f>1564.23</f>
        <v>1564.23</v>
      </c>
      <c r="F78" s="41">
        <f>1446.947</f>
        <v>1446.9469999999999</v>
      </c>
      <c r="G78" s="41">
        <f>1599.291</f>
        <v>1599.2909999999999</v>
      </c>
      <c r="H78" s="41">
        <f>1541.466</f>
        <v>1541.4659999999999</v>
      </c>
      <c r="I78" s="41">
        <v>1447.056</v>
      </c>
      <c r="J78" s="41">
        <f>1582.23+0.002</f>
        <v>1582.232</v>
      </c>
      <c r="K78" s="41">
        <v>1717.7539999999999</v>
      </c>
      <c r="L78" s="41">
        <v>1636.7629999999999</v>
      </c>
      <c r="M78" s="41">
        <v>1574.481</v>
      </c>
      <c r="N78" s="41">
        <v>1563.624</v>
      </c>
      <c r="O78" s="41">
        <v>1537.6809999999998</v>
      </c>
      <c r="P78" s="41">
        <v>1764.6010000000001</v>
      </c>
      <c r="Q78" s="41">
        <v>1785.1490000000001</v>
      </c>
      <c r="R78" s="41">
        <v>2612.1240000000003</v>
      </c>
      <c r="S78" s="46">
        <v>2680.5</v>
      </c>
      <c r="T78" s="41">
        <v>3007.4540000000002</v>
      </c>
      <c r="U78" s="41">
        <v>3490.058</v>
      </c>
      <c r="V78" s="166">
        <v>3698.6579999999999</v>
      </c>
    </row>
    <row r="79" spans="1:32" ht="16.5" customHeight="1" x14ac:dyDescent="0.25">
      <c r="A79" s="76" t="s">
        <v>139</v>
      </c>
      <c r="B79" s="64" t="s">
        <v>140</v>
      </c>
      <c r="C79" s="41">
        <v>211.08799999999999</v>
      </c>
      <c r="D79" s="41">
        <v>235.84200000000001</v>
      </c>
      <c r="E79" s="41">
        <v>221.084</v>
      </c>
      <c r="F79" s="41">
        <v>237.16800000000001</v>
      </c>
      <c r="G79" s="41">
        <v>238.774</v>
      </c>
      <c r="H79" s="41">
        <v>262.14800000000002</v>
      </c>
      <c r="I79" s="41">
        <v>232.90899999999999</v>
      </c>
      <c r="J79" s="41">
        <v>227.756</v>
      </c>
      <c r="K79" s="41">
        <v>325.654</v>
      </c>
      <c r="L79" s="41">
        <v>336.62799999999999</v>
      </c>
      <c r="M79" s="41">
        <v>385.50399999999996</v>
      </c>
      <c r="N79" s="41">
        <v>360.84299999999996</v>
      </c>
      <c r="O79" s="41">
        <v>370.65200000000004</v>
      </c>
      <c r="P79" s="41">
        <v>472.47700000000003</v>
      </c>
      <c r="Q79" s="41">
        <v>496.18</v>
      </c>
      <c r="R79" s="41">
        <v>530.72400000000005</v>
      </c>
      <c r="S79" s="46">
        <v>488.22199999999998</v>
      </c>
      <c r="T79" s="41">
        <v>544.98900000000003</v>
      </c>
      <c r="U79" s="41">
        <v>586.98599999999999</v>
      </c>
      <c r="V79" s="166">
        <v>626.48199999999997</v>
      </c>
    </row>
    <row r="80" spans="1:32" ht="16.5" customHeight="1" x14ac:dyDescent="0.25">
      <c r="A80" s="76" t="s">
        <v>141</v>
      </c>
      <c r="B80" s="64" t="s">
        <v>142</v>
      </c>
      <c r="C80" s="41">
        <v>997.45699999999999</v>
      </c>
      <c r="D80" s="41">
        <v>1162.3820000000001</v>
      </c>
      <c r="E80" s="41">
        <v>1341.2249999999999</v>
      </c>
      <c r="F80" s="41">
        <v>1207.549</v>
      </c>
      <c r="G80" s="41">
        <v>1358.204</v>
      </c>
      <c r="H80" s="41">
        <v>1276.828</v>
      </c>
      <c r="I80" s="41">
        <v>1211.5350000000001</v>
      </c>
      <c r="J80" s="41">
        <v>1351.6279999999999</v>
      </c>
      <c r="K80" s="41">
        <v>1392.1</v>
      </c>
      <c r="L80" s="41">
        <v>1300.135</v>
      </c>
      <c r="M80" s="41">
        <v>1188.977441</v>
      </c>
      <c r="N80" s="41">
        <v>1202.7809999999999</v>
      </c>
      <c r="O80" s="41">
        <v>1167.029</v>
      </c>
      <c r="P80" s="41">
        <v>1292.124</v>
      </c>
      <c r="Q80" s="41">
        <v>1288.9690000000001</v>
      </c>
      <c r="R80" s="41">
        <v>2081.4</v>
      </c>
      <c r="S80" s="46">
        <v>2112.48</v>
      </c>
      <c r="T80" s="41">
        <v>2316.6</v>
      </c>
      <c r="U80" s="41">
        <v>2750.4</v>
      </c>
      <c r="V80" s="166">
        <v>2912.4</v>
      </c>
    </row>
    <row r="81" spans="1:26" ht="16.5" customHeight="1" x14ac:dyDescent="0.25">
      <c r="A81" s="55" t="s">
        <v>143</v>
      </c>
      <c r="B81" s="64" t="s">
        <v>144</v>
      </c>
      <c r="C81" s="40">
        <v>3159.6959999999999</v>
      </c>
      <c r="D81" s="40">
        <v>3285.4580000000001</v>
      </c>
      <c r="E81" s="40">
        <v>3481.9090000000001</v>
      </c>
      <c r="F81" s="40">
        <v>3392.87</v>
      </c>
      <c r="G81" s="41">
        <v>3501.51</v>
      </c>
      <c r="H81" s="41">
        <v>3664.453</v>
      </c>
      <c r="I81" s="40">
        <v>3829.9760000000001</v>
      </c>
      <c r="J81" s="40">
        <v>3992.864</v>
      </c>
      <c r="K81" s="41">
        <v>4238.4309999999996</v>
      </c>
      <c r="L81" s="41">
        <v>4249.1909999999998</v>
      </c>
      <c r="M81" s="40">
        <v>2876.7440000000001</v>
      </c>
      <c r="N81" s="41">
        <v>3110.4409999999998</v>
      </c>
      <c r="O81" s="41">
        <v>3045.2739999999999</v>
      </c>
      <c r="P81" s="41">
        <v>3404.8229999999999</v>
      </c>
      <c r="Q81" s="41">
        <v>3727.7280000000001</v>
      </c>
      <c r="R81" s="41">
        <v>4177.9570000000003</v>
      </c>
      <c r="S81" s="46">
        <v>5172.66</v>
      </c>
      <c r="T81" s="41">
        <v>5582.5389999999998</v>
      </c>
      <c r="U81" s="41">
        <v>5829.17</v>
      </c>
      <c r="V81" s="166">
        <v>6061.7250000000004</v>
      </c>
      <c r="Z81" s="63"/>
    </row>
    <row r="82" spans="1:26" s="62" customFormat="1" ht="16.5" customHeight="1" x14ac:dyDescent="0.25">
      <c r="A82" s="73" t="s">
        <v>32</v>
      </c>
      <c r="B82" s="77" t="s">
        <v>88</v>
      </c>
      <c r="C82" s="40">
        <f>985.377-985.377+919.126</f>
        <v>919.12599999999998</v>
      </c>
      <c r="D82" s="40">
        <f>1140.594-1140.594+1075.255</f>
        <v>1075.2550000000001</v>
      </c>
      <c r="E82" s="40">
        <f>1053.2-1053.2+964.303</f>
        <v>964.303</v>
      </c>
      <c r="F82" s="40">
        <f>965.412-965.412+959.922</f>
        <v>959.92200000000003</v>
      </c>
      <c r="G82" s="40">
        <f>1053.209-1053.209+982.329</f>
        <v>982.32899999999995</v>
      </c>
      <c r="H82" s="40">
        <f>1205.778-1205.778+1162.116</f>
        <v>1162.116</v>
      </c>
      <c r="I82" s="40">
        <f>1190.559-1190.559+1263.434-1263.434+1119.247</f>
        <v>1119.2470000000001</v>
      </c>
      <c r="J82" s="40">
        <f>1497.921-1497.921+1489.318-1489.318+1383.797</f>
        <v>1383.797</v>
      </c>
      <c r="K82" s="40">
        <v>1314.55</v>
      </c>
      <c r="L82" s="41">
        <v>1136.943</v>
      </c>
      <c r="M82" s="40">
        <v>1622.1559999999999</v>
      </c>
      <c r="N82" s="40">
        <v>1689.848</v>
      </c>
      <c r="O82" s="41">
        <v>2785.6030000000001</v>
      </c>
      <c r="P82" s="41">
        <v>3753.6790000000001</v>
      </c>
      <c r="Q82" s="41">
        <v>2033.097</v>
      </c>
      <c r="R82" s="41">
        <v>2462.5129999999999</v>
      </c>
      <c r="S82" s="46">
        <v>2685.701</v>
      </c>
      <c r="T82" s="41">
        <v>4132.3620000000001</v>
      </c>
      <c r="U82" s="41">
        <v>4890.0590000000002</v>
      </c>
      <c r="V82" s="166">
        <v>5581.7889999999998</v>
      </c>
    </row>
    <row r="83" spans="1:26" s="62" customFormat="1" ht="16.5" customHeight="1" x14ac:dyDescent="0.25">
      <c r="A83" s="56" t="s">
        <v>145</v>
      </c>
      <c r="B83" s="64" t="s">
        <v>146</v>
      </c>
      <c r="C83" s="40">
        <v>519.57100000000003</v>
      </c>
      <c r="D83" s="40">
        <v>612.11599999999999</v>
      </c>
      <c r="E83" s="40">
        <v>520.27</v>
      </c>
      <c r="F83" s="40">
        <v>582.13900000000001</v>
      </c>
      <c r="G83" s="41">
        <f>620.761+19.55</f>
        <v>640.31099999999992</v>
      </c>
      <c r="H83" s="41">
        <f>732.963-19.554</f>
        <v>713.40899999999999</v>
      </c>
      <c r="I83" s="40">
        <f>683.409-87.444</f>
        <v>595.96500000000003</v>
      </c>
      <c r="J83" s="40">
        <f>599.458+38.025+87.593</f>
        <v>725.07599999999991</v>
      </c>
      <c r="K83" s="41">
        <v>684.19600000000003</v>
      </c>
      <c r="L83" s="41">
        <v>601.95900000000006</v>
      </c>
      <c r="M83" s="40">
        <v>763.63699999999994</v>
      </c>
      <c r="N83" s="41">
        <v>750.226</v>
      </c>
      <c r="O83" s="41">
        <v>877.39200000000005</v>
      </c>
      <c r="P83" s="41">
        <v>964.92200000000003</v>
      </c>
      <c r="Q83" s="41">
        <v>916.49400000000003</v>
      </c>
      <c r="R83" s="41">
        <v>945.83399999999995</v>
      </c>
      <c r="S83" s="46">
        <v>845.43399999999997</v>
      </c>
      <c r="T83" s="41">
        <v>980.96299999999997</v>
      </c>
      <c r="U83" s="41">
        <v>1214.645</v>
      </c>
      <c r="V83" s="166">
        <v>1341.07</v>
      </c>
    </row>
    <row r="84" spans="1:26" s="62" customFormat="1" ht="16.5" customHeight="1" x14ac:dyDescent="0.25">
      <c r="A84" s="4" t="s">
        <v>205</v>
      </c>
      <c r="B84" s="8" t="s">
        <v>206</v>
      </c>
      <c r="C84" s="40"/>
      <c r="D84" s="40"/>
      <c r="E84" s="40"/>
      <c r="F84" s="40"/>
      <c r="G84" s="41"/>
      <c r="H84" s="41"/>
      <c r="I84" s="40"/>
      <c r="J84" s="40"/>
      <c r="K84" s="41">
        <v>360.66</v>
      </c>
      <c r="L84" s="41">
        <v>374.71300000000002</v>
      </c>
      <c r="M84" s="40">
        <v>435.49</v>
      </c>
      <c r="N84" s="41">
        <v>490.98200000000003</v>
      </c>
      <c r="O84" s="41">
        <v>574.47699999999998</v>
      </c>
      <c r="P84" s="41">
        <v>601.55600000000004</v>
      </c>
      <c r="Q84" s="41">
        <v>637.78899999999999</v>
      </c>
      <c r="R84" s="41">
        <v>773.75099999999998</v>
      </c>
      <c r="S84" s="46">
        <v>807.26300000000003</v>
      </c>
      <c r="T84" s="41">
        <v>979.53899999999999</v>
      </c>
      <c r="U84" s="41">
        <v>1023.052</v>
      </c>
      <c r="V84" s="166">
        <v>1235.2149999999999</v>
      </c>
    </row>
    <row r="85" spans="1:26" s="62" customFormat="1" ht="16.5" customHeight="1" x14ac:dyDescent="0.25">
      <c r="A85" s="56" t="s">
        <v>147</v>
      </c>
      <c r="B85" s="64" t="s">
        <v>148</v>
      </c>
      <c r="C85" s="40">
        <v>49.18</v>
      </c>
      <c r="D85" s="40">
        <v>55.18</v>
      </c>
      <c r="E85" s="40">
        <v>44.145000000000003</v>
      </c>
      <c r="F85" s="40">
        <v>41.97</v>
      </c>
      <c r="G85" s="41">
        <v>44.695</v>
      </c>
      <c r="H85" s="41">
        <v>46.707000000000001</v>
      </c>
      <c r="I85" s="40">
        <v>52.192999999999998</v>
      </c>
      <c r="J85" s="40">
        <f>56.941+0.029</f>
        <v>56.970000000000006</v>
      </c>
      <c r="K85" s="41">
        <v>61.631</v>
      </c>
      <c r="L85" s="41">
        <v>63.429000000000002</v>
      </c>
      <c r="M85" s="40">
        <v>68.343044000000006</v>
      </c>
      <c r="N85" s="41">
        <v>73.070999999999998</v>
      </c>
      <c r="O85" s="41">
        <v>53.392000000000003</v>
      </c>
      <c r="P85" s="41">
        <v>87.19</v>
      </c>
      <c r="Q85" s="41">
        <v>87.992999999999995</v>
      </c>
      <c r="R85" s="41">
        <v>100.87</v>
      </c>
      <c r="S85" s="46">
        <v>106.491</v>
      </c>
      <c r="T85" s="41">
        <v>111.60299999999999</v>
      </c>
      <c r="U85" s="41">
        <v>124.81100000000001</v>
      </c>
      <c r="V85" s="166">
        <v>131.63399999999999</v>
      </c>
    </row>
    <row r="86" spans="1:26" s="62" customFormat="1" ht="16.5" customHeight="1" x14ac:dyDescent="0.25">
      <c r="A86" s="72" t="s">
        <v>149</v>
      </c>
      <c r="B86" s="35" t="s">
        <v>41</v>
      </c>
      <c r="C86" s="78">
        <f t="shared" ref="C86:J86" si="14">C87+C91</f>
        <v>2893.6910000000003</v>
      </c>
      <c r="D86" s="78">
        <f t="shared" si="14"/>
        <v>3705.5039999999999</v>
      </c>
      <c r="E86" s="78">
        <f t="shared" si="14"/>
        <v>3025.3629999999998</v>
      </c>
      <c r="F86" s="78">
        <f t="shared" si="14"/>
        <v>3224.181</v>
      </c>
      <c r="G86" s="36">
        <f t="shared" si="14"/>
        <v>2829.1069999999995</v>
      </c>
      <c r="H86" s="36">
        <f t="shared" si="14"/>
        <v>2941.0520000000001</v>
      </c>
      <c r="I86" s="78">
        <f t="shared" si="14"/>
        <v>3521.9479999999999</v>
      </c>
      <c r="J86" s="78">
        <f t="shared" si="14"/>
        <v>5760.9669999999996</v>
      </c>
      <c r="K86" s="78">
        <v>3306.6109999999999</v>
      </c>
      <c r="L86" s="78">
        <v>3067.6790000000001</v>
      </c>
      <c r="M86" s="78">
        <v>3722.835</v>
      </c>
      <c r="N86" s="78">
        <v>3833.9029999999998</v>
      </c>
      <c r="O86" s="78">
        <v>4045.6219999999998</v>
      </c>
      <c r="P86" s="78">
        <v>3607.3119999999999</v>
      </c>
      <c r="Q86" s="78">
        <v>4184.0749999999998</v>
      </c>
      <c r="R86" s="78">
        <v>6199.1679999999997</v>
      </c>
      <c r="S86" s="106">
        <v>5268.3159999999998</v>
      </c>
      <c r="T86" s="78">
        <v>7013.6220000000003</v>
      </c>
      <c r="U86" s="78">
        <v>6047.8079999999991</v>
      </c>
      <c r="V86" s="561">
        <v>5810.357</v>
      </c>
    </row>
    <row r="87" spans="1:26" ht="16.5" customHeight="1" x14ac:dyDescent="0.25">
      <c r="A87" s="57" t="s">
        <v>150</v>
      </c>
      <c r="B87" s="64" t="s">
        <v>151</v>
      </c>
      <c r="C87" s="40">
        <f t="shared" ref="C87:J87" si="15">SUM(C88:C90)</f>
        <v>2262.2150000000001</v>
      </c>
      <c r="D87" s="40">
        <f t="shared" si="15"/>
        <v>2597.953</v>
      </c>
      <c r="E87" s="40">
        <f t="shared" si="15"/>
        <v>2557.5009999999997</v>
      </c>
      <c r="F87" s="40">
        <f t="shared" si="15"/>
        <v>2681.643</v>
      </c>
      <c r="G87" s="40">
        <f t="shared" si="15"/>
        <v>2426.2729999999997</v>
      </c>
      <c r="H87" s="40">
        <f t="shared" si="15"/>
        <v>2561.3240000000001</v>
      </c>
      <c r="I87" s="40">
        <f t="shared" si="15"/>
        <v>3136.4690000000001</v>
      </c>
      <c r="J87" s="40">
        <f t="shared" si="15"/>
        <v>5201.8269999999993</v>
      </c>
      <c r="K87" s="40">
        <v>2967.0160000000001</v>
      </c>
      <c r="L87" s="41">
        <v>2800.5340000000001</v>
      </c>
      <c r="M87" s="40">
        <v>3414.92</v>
      </c>
      <c r="N87" s="40">
        <v>3468.8919999999998</v>
      </c>
      <c r="O87" s="41">
        <v>3347.1129999999998</v>
      </c>
      <c r="P87" s="41">
        <v>3151.45</v>
      </c>
      <c r="Q87" s="41">
        <v>3440.2619999999997</v>
      </c>
      <c r="R87" s="41">
        <v>5455.366</v>
      </c>
      <c r="S87" s="46">
        <v>4697.9129999999996</v>
      </c>
      <c r="T87" s="41">
        <v>6028.5390000000007</v>
      </c>
      <c r="U87" s="41">
        <v>5251.0499999999993</v>
      </c>
      <c r="V87" s="166">
        <v>5118.8419999999996</v>
      </c>
    </row>
    <row r="88" spans="1:26" ht="16.5" customHeight="1" x14ac:dyDescent="0.25">
      <c r="A88" s="56" t="s">
        <v>152</v>
      </c>
      <c r="B88" s="39" t="s">
        <v>153</v>
      </c>
      <c r="C88" s="40">
        <f>2307.644-2307.644+2337.273</f>
        <v>2337.2730000000001</v>
      </c>
      <c r="D88" s="40">
        <f>2486.96-2486.96+2515.417</f>
        <v>2515.4169999999999</v>
      </c>
      <c r="E88" s="40">
        <f>2441.088-2441.088+2421.566</f>
        <v>2421.5659999999998</v>
      </c>
      <c r="F88" s="40">
        <f>2691.759-2691.759+2651.466</f>
        <v>2651.4659999999999</v>
      </c>
      <c r="G88" s="40">
        <f>2435.811-2435.811+2372.336</f>
        <v>2372.3359999999998</v>
      </c>
      <c r="H88" s="40">
        <f>2466.08-2466.08+2484.44</f>
        <v>2484.44</v>
      </c>
      <c r="I88" s="40">
        <f>3023.41-3023.41+3143.841</f>
        <v>3143.8409999999999</v>
      </c>
      <c r="J88" s="40">
        <f>4950.645-4950.645+5094.998</f>
        <v>5094.9979999999996</v>
      </c>
      <c r="K88" s="40">
        <v>2758.6930000000002</v>
      </c>
      <c r="L88" s="41">
        <v>2845.4549999999999</v>
      </c>
      <c r="M88" s="40">
        <v>3371.0039999999999</v>
      </c>
      <c r="N88" s="40">
        <v>3390.2460000000001</v>
      </c>
      <c r="O88" s="41">
        <v>3209.08</v>
      </c>
      <c r="P88" s="41">
        <v>3065.8519999999999</v>
      </c>
      <c r="Q88" s="41">
        <v>3374.3910000000001</v>
      </c>
      <c r="R88" s="41">
        <v>5765.5739999999996</v>
      </c>
      <c r="S88" s="46">
        <v>4633.5789999999997</v>
      </c>
      <c r="T88" s="41">
        <v>5922.8140000000003</v>
      </c>
      <c r="U88" s="41">
        <v>5182.1099999999997</v>
      </c>
      <c r="V88" s="166">
        <v>5049.8220000000001</v>
      </c>
    </row>
    <row r="89" spans="1:26" ht="16.5" customHeight="1" x14ac:dyDescent="0.25">
      <c r="A89" s="56" t="s">
        <v>154</v>
      </c>
      <c r="B89" s="39" t="s">
        <v>155</v>
      </c>
      <c r="C89" s="40">
        <v>109.414</v>
      </c>
      <c r="D89" s="41">
        <v>52.887</v>
      </c>
      <c r="E89" s="41">
        <f>94.768</f>
        <v>94.768000000000001</v>
      </c>
      <c r="F89" s="41">
        <v>2.2530000000000001</v>
      </c>
      <c r="G89" s="40">
        <v>19.579999999999998</v>
      </c>
      <c r="H89" s="40">
        <f>60.564-60.564+49.715</f>
        <v>49.715000000000003</v>
      </c>
      <c r="I89" s="41">
        <f>47.12-47.12+57.681</f>
        <v>57.680999999999997</v>
      </c>
      <c r="J89" s="41">
        <f>6.43-6.43+6.423</f>
        <v>6.423</v>
      </c>
      <c r="K89" s="40">
        <v>21.318999999999999</v>
      </c>
      <c r="L89" s="41">
        <v>-93.403999999999996</v>
      </c>
      <c r="M89" s="41">
        <v>21.193000000000001</v>
      </c>
      <c r="N89" s="40">
        <v>5.2779999999999996</v>
      </c>
      <c r="O89" s="41">
        <v>136.97</v>
      </c>
      <c r="P89" s="41">
        <v>99.465999999999994</v>
      </c>
      <c r="Q89" s="41">
        <v>38.826999999999998</v>
      </c>
      <c r="R89" s="41">
        <v>-361.11</v>
      </c>
      <c r="S89" s="46">
        <v>111.23099999999999</v>
      </c>
      <c r="T89" s="41">
        <v>97.02</v>
      </c>
      <c r="U89" s="41">
        <v>106.57</v>
      </c>
      <c r="V89" s="166">
        <v>100.075</v>
      </c>
    </row>
    <row r="90" spans="1:26" ht="16.5" customHeight="1" x14ac:dyDescent="0.25">
      <c r="A90" s="56" t="s">
        <v>156</v>
      </c>
      <c r="B90" s="39" t="s">
        <v>157</v>
      </c>
      <c r="C90" s="41">
        <f>-185.8+185.8-184.472</f>
        <v>-184.47200000000001</v>
      </c>
      <c r="D90" s="41">
        <v>29.649000000000001</v>
      </c>
      <c r="E90" s="41">
        <v>41.167000000000002</v>
      </c>
      <c r="F90" s="41">
        <f>-64.809+64.809+27.924</f>
        <v>27.923999999999999</v>
      </c>
      <c r="G90" s="41">
        <v>34.356999999999999</v>
      </c>
      <c r="H90" s="41">
        <f>26.199-26.199+27.169</f>
        <v>27.169</v>
      </c>
      <c r="I90" s="41">
        <f>-228.94+228.94-65.053</f>
        <v>-65.052999999999997</v>
      </c>
      <c r="J90" s="41">
        <f>98.775-98.775+100.406</f>
        <v>100.40600000000001</v>
      </c>
      <c r="K90" s="41">
        <v>187.00399999999999</v>
      </c>
      <c r="L90" s="41">
        <v>48.482999999999997</v>
      </c>
      <c r="M90" s="41">
        <v>22.722999999999999</v>
      </c>
      <c r="N90" s="41">
        <v>73.367999999999995</v>
      </c>
      <c r="O90" s="41">
        <v>1.0629999999999999</v>
      </c>
      <c r="P90" s="41">
        <v>-13.868</v>
      </c>
      <c r="Q90" s="41">
        <v>27.044</v>
      </c>
      <c r="R90" s="41">
        <v>50.902000000000001</v>
      </c>
      <c r="S90" s="46">
        <v>-46.896999999999998</v>
      </c>
      <c r="T90" s="41">
        <v>8.7050000000000001</v>
      </c>
      <c r="U90" s="41">
        <v>-37.630000000000003</v>
      </c>
      <c r="V90" s="166">
        <v>-31.055</v>
      </c>
    </row>
    <row r="91" spans="1:26" ht="16.5" customHeight="1" x14ac:dyDescent="0.25">
      <c r="A91" s="57" t="s">
        <v>17</v>
      </c>
      <c r="B91" s="64" t="s">
        <v>158</v>
      </c>
      <c r="C91" s="41">
        <v>631.476</v>
      </c>
      <c r="D91" s="41">
        <v>1107.5509999999999</v>
      </c>
      <c r="E91" s="41">
        <v>467.86200000000002</v>
      </c>
      <c r="F91" s="41">
        <v>542.53800000000001</v>
      </c>
      <c r="G91" s="41">
        <v>402.834</v>
      </c>
      <c r="H91" s="41">
        <v>379.72800000000001</v>
      </c>
      <c r="I91" s="41">
        <v>385.47899999999998</v>
      </c>
      <c r="J91" s="41">
        <v>559.14</v>
      </c>
      <c r="K91" s="41">
        <v>339.59500000000003</v>
      </c>
      <c r="L91" s="41">
        <v>267.14499999999998</v>
      </c>
      <c r="M91" s="41">
        <v>307.91500000000002</v>
      </c>
      <c r="N91" s="41">
        <v>365.01100000000002</v>
      </c>
      <c r="O91" s="41">
        <v>698.50900000000001</v>
      </c>
      <c r="P91" s="41">
        <v>455.86200000000002</v>
      </c>
      <c r="Q91" s="41">
        <v>743.81299999999999</v>
      </c>
      <c r="R91" s="41">
        <v>743.80200000000002</v>
      </c>
      <c r="S91" s="46">
        <v>570.40300000000002</v>
      </c>
      <c r="T91" s="41">
        <v>985.08299999999997</v>
      </c>
      <c r="U91" s="41">
        <v>796.75800000000004</v>
      </c>
      <c r="V91" s="166">
        <v>691.51499999999999</v>
      </c>
    </row>
    <row r="92" spans="1:26" ht="16.5" customHeight="1" x14ac:dyDescent="0.25">
      <c r="A92" s="68" t="s">
        <v>208</v>
      </c>
      <c r="B92" s="61"/>
      <c r="C92" s="36"/>
      <c r="D92" s="36"/>
      <c r="E92" s="36"/>
      <c r="F92" s="36"/>
      <c r="G92" s="36"/>
      <c r="H92" s="36"/>
      <c r="I92" s="36"/>
      <c r="J92" s="36"/>
      <c r="K92" s="36"/>
      <c r="L92" s="36"/>
      <c r="M92" s="36"/>
      <c r="N92" s="36"/>
      <c r="O92" s="36"/>
      <c r="P92" s="36"/>
      <c r="Q92" s="36"/>
      <c r="R92" s="36"/>
      <c r="S92" s="149"/>
      <c r="T92" s="150"/>
      <c r="U92" s="150">
        <v>648.14276949045711</v>
      </c>
      <c r="V92" s="562">
        <v>2845.174927207675</v>
      </c>
    </row>
    <row r="93" spans="1:26" ht="16.5" customHeight="1" x14ac:dyDescent="0.25">
      <c r="A93" s="28" t="s">
        <v>159</v>
      </c>
      <c r="B93" s="79"/>
      <c r="C93" s="80">
        <f t="shared" ref="C93:Q93" si="16">C6-C46</f>
        <v>-3278.6250000000036</v>
      </c>
      <c r="D93" s="80">
        <f t="shared" si="16"/>
        <v>-6952.0530000000035</v>
      </c>
      <c r="E93" s="80">
        <f t="shared" si="16"/>
        <v>-6574.7250000000058</v>
      </c>
      <c r="F93" s="80">
        <f t="shared" si="16"/>
        <v>-5045.5639999999948</v>
      </c>
      <c r="G93" s="80">
        <f t="shared" si="16"/>
        <v>-5168.8770000000004</v>
      </c>
      <c r="H93" s="80">
        <f t="shared" si="16"/>
        <v>-4187.7920000000049</v>
      </c>
      <c r="I93" s="80">
        <f t="shared" si="16"/>
        <v>-2371.3639999999978</v>
      </c>
      <c r="J93" s="80" t="e">
        <f t="shared" si="16"/>
        <v>#REF!</v>
      </c>
      <c r="K93" s="80">
        <f t="shared" si="16"/>
        <v>-2092.1219999999994</v>
      </c>
      <c r="L93" s="80">
        <f t="shared" si="16"/>
        <v>-829.45400000000518</v>
      </c>
      <c r="M93" s="80">
        <f t="shared" si="16"/>
        <v>-908.56399999999849</v>
      </c>
      <c r="N93" s="81">
        <f t="shared" si="16"/>
        <v>-1151.1859999999942</v>
      </c>
      <c r="O93" s="82">
        <f t="shared" si="16"/>
        <v>-4999.4220000000059</v>
      </c>
      <c r="P93" s="82">
        <f t="shared" si="16"/>
        <v>-5194.6789999999964</v>
      </c>
      <c r="Q93" s="82">
        <f t="shared" si="16"/>
        <v>-1835.945999999989</v>
      </c>
      <c r="R93" s="82">
        <f>R6-R46+R92</f>
        <v>-6009.8129999999946</v>
      </c>
      <c r="S93" s="82">
        <f>S6-S46+S92</f>
        <v>-7590.6599999999962</v>
      </c>
      <c r="T93" s="82">
        <f>T6-T46+T92</f>
        <v>-6603.34399999999</v>
      </c>
      <c r="U93" s="82">
        <f>U6-U46+U92</f>
        <v>-5480.243230509549</v>
      </c>
      <c r="V93" s="554">
        <f>V6-V46+V92</f>
        <v>-4563.3370727923129</v>
      </c>
    </row>
    <row r="94" spans="1:26" ht="16.5" customHeight="1" x14ac:dyDescent="0.25">
      <c r="A94" s="83" t="s">
        <v>1</v>
      </c>
      <c r="B94" s="84"/>
      <c r="C94" s="85">
        <f t="shared" ref="C94:K94" si="17">C93/C95</f>
        <v>-4.7799963184424303E-2</v>
      </c>
      <c r="D94" s="85">
        <f t="shared" si="17"/>
        <v>-0.10846394737828714</v>
      </c>
      <c r="E94" s="85">
        <f t="shared" si="17"/>
        <v>-9.655513013062561E-2</v>
      </c>
      <c r="F94" s="85">
        <f t="shared" si="17"/>
        <v>-7.0850346573930287E-2</v>
      </c>
      <c r="G94" s="85">
        <f t="shared" si="17"/>
        <v>-7.0340339673676741E-2</v>
      </c>
      <c r="H94" s="85">
        <f t="shared" si="17"/>
        <v>-5.6321709768879284E-2</v>
      </c>
      <c r="I94" s="85">
        <f t="shared" si="17"/>
        <v>-3.1097467452204566E-2</v>
      </c>
      <c r="J94" s="85" t="e">
        <f t="shared" si="17"/>
        <v>#REF!</v>
      </c>
      <c r="K94" s="85">
        <f t="shared" si="17"/>
        <v>-2.5816434457554972E-2</v>
      </c>
      <c r="L94" s="85">
        <f t="shared" ref="L94:M94" si="18">L93/L95</f>
        <v>-9.8226653015622469E-3</v>
      </c>
      <c r="M94" s="85">
        <f t="shared" si="18"/>
        <v>-1.0109230637371952E-2</v>
      </c>
      <c r="N94" s="85">
        <f>N93/N95</f>
        <v>-1.2189926747624079E-2</v>
      </c>
      <c r="O94" s="85">
        <f t="shared" ref="O94:S94" si="19">O93/O95</f>
        <v>-5.3503028889089907E-2</v>
      </c>
      <c r="P94" s="85">
        <f t="shared" si="19"/>
        <v>-5.1779308274008437E-2</v>
      </c>
      <c r="Q94" s="85">
        <f t="shared" si="19"/>
        <v>-1.6726605737150249E-2</v>
      </c>
      <c r="R94" s="85">
        <f t="shared" si="19"/>
        <v>-4.8934746579132847E-2</v>
      </c>
      <c r="S94" s="85">
        <f t="shared" si="19"/>
        <v>-5.7853712373145516E-2</v>
      </c>
      <c r="T94" s="85">
        <f t="shared" ref="T94:U94" si="20">T93/T95</f>
        <v>-4.7199999938122281E-2</v>
      </c>
      <c r="U94" s="558">
        <f t="shared" si="20"/>
        <v>-3.720333134812058E-2</v>
      </c>
      <c r="V94" s="555">
        <f t="shared" ref="V94" si="21">V93/V95</f>
        <v>-2.9992673717593014E-2</v>
      </c>
    </row>
    <row r="95" spans="1:26" ht="16.5" customHeight="1" x14ac:dyDescent="0.25">
      <c r="A95" s="86" t="s">
        <v>19</v>
      </c>
      <c r="B95" s="87"/>
      <c r="C95" s="88">
        <v>68590.534</v>
      </c>
      <c r="D95" s="88">
        <v>64095.519</v>
      </c>
      <c r="E95" s="88">
        <v>68092.964000000007</v>
      </c>
      <c r="F95" s="88">
        <v>71214.386999999988</v>
      </c>
      <c r="G95" s="88">
        <v>73483.822000000015</v>
      </c>
      <c r="H95" s="88">
        <v>74354.845000000001</v>
      </c>
      <c r="I95" s="88">
        <v>76255.855999999985</v>
      </c>
      <c r="J95" s="88">
        <v>79758.198000000004</v>
      </c>
      <c r="K95" s="88">
        <v>81038.379000000001</v>
      </c>
      <c r="L95" s="88">
        <v>84442.865000000005</v>
      </c>
      <c r="M95" s="88">
        <v>89874.692999999999</v>
      </c>
      <c r="N95" s="88">
        <v>94437.482999999993</v>
      </c>
      <c r="O95" s="88">
        <v>93441.85</v>
      </c>
      <c r="P95" s="107">
        <v>100323.45299999999</v>
      </c>
      <c r="Q95" s="107">
        <v>109762.01800000001</v>
      </c>
      <c r="R95" s="107">
        <v>122812.79500000001</v>
      </c>
      <c r="S95" s="107">
        <v>131204.37200367841</v>
      </c>
      <c r="T95" s="107">
        <v>139901.35611560947</v>
      </c>
      <c r="U95" s="107">
        <v>147305.1748841948</v>
      </c>
      <c r="V95" s="563">
        <v>152148.39182928743</v>
      </c>
    </row>
    <row r="96" spans="1:26" ht="17.850000000000001" customHeight="1" x14ac:dyDescent="0.25">
      <c r="A96" s="42"/>
      <c r="B96" s="10"/>
      <c r="C96" s="10"/>
      <c r="D96" s="10"/>
      <c r="E96" s="10"/>
      <c r="F96" s="10"/>
      <c r="G96" s="10"/>
      <c r="H96" s="10"/>
      <c r="I96" s="10"/>
      <c r="J96" s="10"/>
      <c r="K96" s="10"/>
      <c r="L96" s="10"/>
    </row>
    <row r="97" spans="1:20" x14ac:dyDescent="0.25">
      <c r="A97" s="42"/>
      <c r="B97" s="10"/>
      <c r="C97" s="89"/>
      <c r="D97" s="89"/>
      <c r="E97" s="89"/>
      <c r="F97" s="89"/>
      <c r="G97" s="89"/>
      <c r="H97" s="89"/>
      <c r="I97" s="89"/>
      <c r="J97" s="89"/>
      <c r="K97" s="89"/>
      <c r="L97" s="89"/>
      <c r="M97" s="89"/>
      <c r="N97" s="89"/>
      <c r="O97" s="89"/>
      <c r="P97" s="89"/>
      <c r="Q97" s="89"/>
      <c r="R97" s="89"/>
      <c r="S97" s="89"/>
      <c r="T97" s="89"/>
    </row>
    <row r="98" spans="1:20" x14ac:dyDescent="0.25">
      <c r="A98" s="131" t="s">
        <v>569</v>
      </c>
      <c r="B98" s="10"/>
      <c r="C98" s="10"/>
      <c r="D98" s="10"/>
      <c r="E98" s="10"/>
      <c r="F98" s="10"/>
      <c r="G98" s="10"/>
      <c r="H98" s="10"/>
      <c r="I98" s="10"/>
      <c r="J98" s="10"/>
      <c r="K98" s="10"/>
      <c r="L98" s="10"/>
      <c r="M98" s="10"/>
      <c r="N98" s="10"/>
      <c r="O98" s="10"/>
      <c r="P98" s="10"/>
      <c r="Q98" s="10"/>
      <c r="R98" s="10"/>
      <c r="S98" s="10"/>
      <c r="T98" s="10"/>
    </row>
    <row r="99" spans="1:20" x14ac:dyDescent="0.25">
      <c r="B99" s="10"/>
      <c r="C99" s="10"/>
      <c r="D99" s="10"/>
      <c r="E99" s="10"/>
      <c r="F99" s="10"/>
      <c r="G99" s="10"/>
      <c r="H99" s="10"/>
      <c r="I99" s="10"/>
      <c r="J99" s="10"/>
      <c r="K99" s="10"/>
      <c r="L99" s="10"/>
    </row>
    <row r="100" spans="1:20" x14ac:dyDescent="0.25">
      <c r="B100" s="10"/>
      <c r="C100" s="10"/>
      <c r="D100" s="10"/>
      <c r="E100" s="10"/>
      <c r="F100" s="10"/>
      <c r="G100" s="10"/>
      <c r="H100" s="10"/>
      <c r="I100" s="10"/>
      <c r="J100" s="10"/>
      <c r="K100" s="10"/>
      <c r="L100" s="90"/>
    </row>
    <row r="101" spans="1:20" x14ac:dyDescent="0.25">
      <c r="B101" s="10"/>
      <c r="C101" s="10"/>
      <c r="D101" s="10"/>
      <c r="E101" s="10"/>
      <c r="F101" s="10"/>
      <c r="G101" s="10"/>
      <c r="H101" s="10"/>
      <c r="I101" s="10"/>
      <c r="J101" s="10"/>
      <c r="K101" s="10"/>
      <c r="L101" s="91"/>
    </row>
    <row r="102" spans="1:20" x14ac:dyDescent="0.25">
      <c r="B102" s="10"/>
      <c r="C102" s="10"/>
      <c r="D102" s="10"/>
      <c r="E102" s="10"/>
      <c r="F102" s="10"/>
      <c r="G102" s="10"/>
      <c r="H102" s="10"/>
      <c r="I102" s="10"/>
      <c r="J102" s="10"/>
      <c r="K102" s="10"/>
    </row>
    <row r="103" spans="1:20" x14ac:dyDescent="0.25">
      <c r="B103" s="10"/>
      <c r="C103" s="10"/>
      <c r="D103" s="10"/>
      <c r="E103" s="10"/>
      <c r="F103" s="10"/>
      <c r="G103" s="10"/>
      <c r="H103" s="10"/>
      <c r="I103" s="10"/>
      <c r="J103" s="10"/>
      <c r="K103" s="10"/>
      <c r="L103" s="10"/>
      <c r="M103" s="10"/>
      <c r="N103" s="10"/>
    </row>
    <row r="104" spans="1:20" x14ac:dyDescent="0.25">
      <c r="K104" s="92"/>
      <c r="L104" s="92"/>
      <c r="M104" s="92"/>
    </row>
    <row r="105" spans="1:20" x14ac:dyDescent="0.25">
      <c r="G105" s="92"/>
      <c r="H105" s="92"/>
      <c r="I105" s="92"/>
      <c r="J105" s="92"/>
      <c r="K105" s="92"/>
      <c r="L105" s="92"/>
      <c r="M105" s="92"/>
    </row>
    <row r="106" spans="1:20" x14ac:dyDescent="0.25">
      <c r="J106" s="10"/>
      <c r="K106" s="10"/>
    </row>
    <row r="107" spans="1:20" x14ac:dyDescent="0.25">
      <c r="E107" s="37"/>
      <c r="G107" s="15"/>
      <c r="H107" s="15"/>
      <c r="I107" s="15"/>
      <c r="J107" s="93"/>
      <c r="K107" s="93"/>
      <c r="L107" s="93"/>
      <c r="M107" s="15"/>
    </row>
    <row r="108" spans="1:20" x14ac:dyDescent="0.25">
      <c r="E108" s="37"/>
      <c r="F108" s="93"/>
      <c r="G108" s="15"/>
      <c r="H108" s="15"/>
      <c r="I108" s="15"/>
    </row>
    <row r="109" spans="1:20" x14ac:dyDescent="0.25">
      <c r="E109" s="37"/>
      <c r="F109" s="93"/>
      <c r="G109" s="15"/>
      <c r="H109" s="15"/>
      <c r="I109" s="15"/>
      <c r="J109" s="15"/>
      <c r="K109" s="15"/>
      <c r="L109" s="15"/>
    </row>
    <row r="110" spans="1:20" x14ac:dyDescent="0.25">
      <c r="E110" s="37"/>
      <c r="F110" s="93"/>
      <c r="G110" s="15"/>
      <c r="H110" s="15"/>
      <c r="I110" s="15"/>
      <c r="J110" s="15"/>
      <c r="K110" s="15"/>
      <c r="L110" s="15"/>
    </row>
  </sheetData>
  <mergeCells count="1">
    <mergeCell ref="B4:B5"/>
  </mergeCells>
  <pageMargins left="0.7" right="0.7" top="0.75" bottom="0.75" header="0.3" footer="0.3"/>
  <pageSetup paperSize="9" orientation="portrait" r:id="rId1"/>
  <ignoredErrors>
    <ignoredError sqref="C7:K7 C47:I47 L7 C93:K93 L6 C94:K94 C6:I6 K6 C46:I46"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7C67-ACC5-4D11-9559-D36751F5F5EB}">
  <dimension ref="C5:R29"/>
  <sheetViews>
    <sheetView showGridLines="0" workbookViewId="0"/>
  </sheetViews>
  <sheetFormatPr defaultColWidth="9.140625" defaultRowHeight="12.75" x14ac:dyDescent="0.2"/>
  <cols>
    <col min="1" max="2" width="9.140625" style="209"/>
    <col min="3" max="3" width="42.5703125" style="209" customWidth="1"/>
    <col min="4" max="4" width="36.140625" style="209" customWidth="1"/>
    <col min="5" max="5" width="8.5703125" style="209" bestFit="1" customWidth="1"/>
    <col min="6" max="7" width="7.42578125" style="209" customWidth="1"/>
    <col min="8" max="10" width="6" style="209" customWidth="1"/>
    <col min="11" max="11" width="9.140625" style="209"/>
    <col min="12" max="12" width="30.5703125" style="209" customWidth="1"/>
    <col min="13" max="13" width="8.5703125" style="209" bestFit="1" customWidth="1"/>
    <col min="14" max="15" width="7.42578125" style="209" customWidth="1"/>
    <col min="16" max="18" width="6" style="209" customWidth="1"/>
    <col min="19" max="16384" width="9.140625" style="209"/>
  </cols>
  <sheetData>
    <row r="5" spans="3:18" x14ac:dyDescent="0.2">
      <c r="C5" s="727" t="s">
        <v>1013</v>
      </c>
      <c r="D5" s="727"/>
      <c r="E5" s="727"/>
      <c r="F5" s="727"/>
      <c r="G5" s="727"/>
      <c r="H5" s="727"/>
      <c r="I5" s="727"/>
      <c r="J5" s="727"/>
      <c r="M5" s="430"/>
      <c r="N5" s="430"/>
      <c r="O5" s="430"/>
      <c r="P5" s="430"/>
      <c r="Q5" s="430"/>
      <c r="R5" s="430"/>
    </row>
    <row r="6" spans="3:18" s="154" customFormat="1" ht="15" x14ac:dyDescent="0.25">
      <c r="C6" s="430" t="s">
        <v>1014</v>
      </c>
      <c r="D6" s="430"/>
    </row>
    <row r="7" spans="3:18" customFormat="1" ht="15" x14ac:dyDescent="0.25"/>
    <row r="8" spans="3:18" customFormat="1" ht="15.75" thickBot="1" x14ac:dyDescent="0.3">
      <c r="C8" s="160" t="s">
        <v>1004</v>
      </c>
      <c r="D8" s="160" t="s">
        <v>1008</v>
      </c>
      <c r="E8" s="161">
        <v>1.1000000000000001</v>
      </c>
    </row>
    <row r="9" spans="3:18" customFormat="1" ht="15" x14ac:dyDescent="0.25">
      <c r="C9" s="3" t="s">
        <v>877</v>
      </c>
      <c r="D9" s="3" t="s">
        <v>1009</v>
      </c>
      <c r="E9" s="109">
        <v>-0.8</v>
      </c>
    </row>
    <row r="10" spans="3:18" customFormat="1" ht="15" x14ac:dyDescent="0.25">
      <c r="C10" s="3" t="s">
        <v>878</v>
      </c>
      <c r="D10" s="3" t="s">
        <v>879</v>
      </c>
      <c r="E10" s="109">
        <v>-0.1</v>
      </c>
    </row>
    <row r="11" spans="3:18" customFormat="1" ht="15" x14ac:dyDescent="0.25">
      <c r="C11" s="3" t="s">
        <v>876</v>
      </c>
      <c r="D11" s="3" t="s">
        <v>1010</v>
      </c>
      <c r="E11" s="109">
        <v>0.7</v>
      </c>
    </row>
    <row r="12" spans="3:18" customFormat="1" ht="15" x14ac:dyDescent="0.25">
      <c r="C12" s="3" t="s">
        <v>1005</v>
      </c>
      <c r="D12" s="3" t="s">
        <v>1011</v>
      </c>
      <c r="E12" s="109">
        <v>2</v>
      </c>
    </row>
    <row r="13" spans="3:18" customFormat="1" ht="27.75" thickBot="1" x14ac:dyDescent="0.3">
      <c r="C13" s="158" t="s">
        <v>1006</v>
      </c>
      <c r="D13" s="158" t="s">
        <v>1012</v>
      </c>
      <c r="E13" s="157">
        <v>-0.6</v>
      </c>
    </row>
    <row r="14" spans="3:18" customFormat="1" ht="15.75" thickBot="1" x14ac:dyDescent="0.3">
      <c r="C14" s="202" t="s">
        <v>166</v>
      </c>
      <c r="D14" s="202"/>
      <c r="E14" s="157">
        <v>-0.1</v>
      </c>
    </row>
    <row r="15" spans="3:18" customFormat="1" ht="15" x14ac:dyDescent="0.25">
      <c r="E15" s="376" t="s">
        <v>1007</v>
      </c>
    </row>
    <row r="16" spans="3:18" customFormat="1" ht="15" x14ac:dyDescent="0.25">
      <c r="E16" s="376" t="s">
        <v>581</v>
      </c>
    </row>
    <row r="17" spans="5:5" customFormat="1" ht="15" x14ac:dyDescent="0.25">
      <c r="E17" s="209"/>
    </row>
    <row r="18" spans="5:5" customFormat="1" ht="15" x14ac:dyDescent="0.25"/>
    <row r="19" spans="5:5" customFormat="1" ht="15" x14ac:dyDescent="0.25"/>
    <row r="20" spans="5:5" customFormat="1" ht="15" x14ac:dyDescent="0.25"/>
    <row r="21" spans="5:5" customFormat="1" ht="15" x14ac:dyDescent="0.25"/>
    <row r="22" spans="5:5" customFormat="1" ht="15" x14ac:dyDescent="0.25"/>
    <row r="23" spans="5:5" customFormat="1" ht="15" x14ac:dyDescent="0.25"/>
    <row r="24" spans="5:5" customFormat="1" ht="15" x14ac:dyDescent="0.25"/>
    <row r="25" spans="5:5" customFormat="1" ht="15" x14ac:dyDescent="0.25"/>
    <row r="26" spans="5:5" customFormat="1" ht="15" x14ac:dyDescent="0.25"/>
    <row r="27" spans="5:5" customFormat="1" ht="15" x14ac:dyDescent="0.25"/>
    <row r="28" spans="5:5" customFormat="1" ht="15" x14ac:dyDescent="0.25"/>
    <row r="29" spans="5:5" customFormat="1" ht="15" x14ac:dyDescent="0.25"/>
  </sheetData>
  <mergeCells count="1">
    <mergeCell ref="C5:J5"/>
  </mergeCells>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02927-FBF6-49A5-AC6C-853088F798F7}">
  <dimension ref="C5:Q38"/>
  <sheetViews>
    <sheetView showGridLines="0" workbookViewId="0"/>
  </sheetViews>
  <sheetFormatPr defaultColWidth="9.140625" defaultRowHeight="12.75" x14ac:dyDescent="0.2"/>
  <cols>
    <col min="1" max="2" width="9.140625" style="209"/>
    <col min="3" max="3" width="60" style="209" bestFit="1" customWidth="1"/>
    <col min="4" max="5" width="6" style="209" bestFit="1" customWidth="1"/>
    <col min="6" max="6" width="7.140625" style="209" bestFit="1" customWidth="1"/>
    <col min="7" max="8" width="9.28515625" style="209" bestFit="1" customWidth="1"/>
    <col min="9" max="9" width="10.85546875" style="209" bestFit="1" customWidth="1"/>
    <col min="10" max="10" width="7.42578125" style="209" customWidth="1"/>
    <col min="11" max="11" width="60" style="209" bestFit="1" customWidth="1"/>
    <col min="12" max="13" width="6" style="209" bestFit="1" customWidth="1"/>
    <col min="14" max="14" width="7.140625" style="209" bestFit="1" customWidth="1"/>
    <col min="15" max="16" width="9.28515625" style="209" bestFit="1" customWidth="1"/>
    <col min="17" max="17" width="13" style="209" bestFit="1" customWidth="1"/>
    <col min="18" max="16384" width="9.140625" style="209"/>
  </cols>
  <sheetData>
    <row r="5" spans="3:17" ht="13.5" thickBot="1" x14ac:dyDescent="0.25">
      <c r="C5" s="727" t="s">
        <v>889</v>
      </c>
      <c r="D5" s="727"/>
      <c r="E5" s="727"/>
      <c r="F5" s="727"/>
      <c r="G5" s="727"/>
      <c r="H5" s="727"/>
      <c r="I5" s="727"/>
      <c r="J5" s="394"/>
    </row>
    <row r="6" spans="3:17" ht="13.5" thickBot="1" x14ac:dyDescent="0.25">
      <c r="C6" s="432"/>
      <c r="D6" s="433" t="s">
        <v>260</v>
      </c>
      <c r="E6" s="434" t="s">
        <v>880</v>
      </c>
      <c r="F6" s="435" t="s">
        <v>881</v>
      </c>
      <c r="G6" s="435" t="s">
        <v>225</v>
      </c>
      <c r="H6" s="436" t="s">
        <v>261</v>
      </c>
      <c r="I6" s="436" t="s">
        <v>882</v>
      </c>
      <c r="J6" s="394"/>
    </row>
    <row r="7" spans="3:17" x14ac:dyDescent="0.2">
      <c r="C7" s="437" t="s">
        <v>1062</v>
      </c>
      <c r="D7" s="564" t="s">
        <v>883</v>
      </c>
      <c r="E7" s="565" t="s">
        <v>884</v>
      </c>
      <c r="F7" s="566">
        <v>-5.8</v>
      </c>
      <c r="G7" s="566">
        <v>-4.7</v>
      </c>
      <c r="H7" s="567">
        <v>-3.7</v>
      </c>
      <c r="I7" s="568">
        <v>-3</v>
      </c>
      <c r="J7" s="394"/>
    </row>
    <row r="8" spans="3:17" ht="13.5" thickBot="1" x14ac:dyDescent="0.25">
      <c r="C8" s="439" t="s">
        <v>885</v>
      </c>
      <c r="D8" s="569"/>
      <c r="E8" s="570"/>
      <c r="F8" s="571">
        <v>0.9</v>
      </c>
      <c r="G8" s="571">
        <v>-1.1000000000000001</v>
      </c>
      <c r="H8" s="405">
        <v>-1</v>
      </c>
      <c r="I8" s="572">
        <v>-0.7</v>
      </c>
      <c r="J8" s="394"/>
    </row>
    <row r="9" spans="3:17" ht="13.5" thickBot="1" x14ac:dyDescent="0.25">
      <c r="C9" s="439" t="s">
        <v>1063</v>
      </c>
      <c r="D9" s="569"/>
      <c r="E9" s="570"/>
      <c r="F9" s="573"/>
      <c r="G9" s="571">
        <v>-4.7</v>
      </c>
      <c r="H9" s="572">
        <v>-4.2</v>
      </c>
      <c r="I9" s="572">
        <v>-4.9000000000000004</v>
      </c>
      <c r="J9" s="394"/>
    </row>
    <row r="10" spans="3:17" ht="13.5" thickBot="1" x14ac:dyDescent="0.25">
      <c r="C10" s="439" t="s">
        <v>886</v>
      </c>
      <c r="D10" s="569"/>
      <c r="E10" s="570"/>
      <c r="F10" s="571"/>
      <c r="G10" s="571">
        <v>0</v>
      </c>
      <c r="H10" s="572">
        <v>0.4</v>
      </c>
      <c r="I10" s="572">
        <v>1.9</v>
      </c>
      <c r="J10" s="394"/>
    </row>
    <row r="11" spans="3:17" x14ac:dyDescent="0.2">
      <c r="C11" s="442" t="s">
        <v>887</v>
      </c>
      <c r="I11" s="376" t="s">
        <v>0</v>
      </c>
      <c r="J11" s="394"/>
    </row>
    <row r="12" spans="3:17" x14ac:dyDescent="0.2">
      <c r="C12" s="442"/>
      <c r="I12" s="376"/>
      <c r="J12" s="394"/>
    </row>
    <row r="13" spans="3:17" x14ac:dyDescent="0.2">
      <c r="C13" s="394"/>
      <c r="D13" s="394"/>
      <c r="E13" s="394"/>
      <c r="F13" s="394"/>
      <c r="G13" s="394"/>
      <c r="H13" s="394"/>
      <c r="I13" s="394"/>
      <c r="J13" s="394"/>
      <c r="K13" s="430"/>
      <c r="L13" s="430"/>
      <c r="M13" s="430"/>
      <c r="N13" s="430"/>
      <c r="O13" s="430"/>
      <c r="P13" s="430"/>
      <c r="Q13" s="430"/>
    </row>
    <row r="14" spans="3:17" ht="13.5" thickBot="1" x14ac:dyDescent="0.25">
      <c r="C14" s="430" t="s">
        <v>888</v>
      </c>
      <c r="D14" s="430"/>
      <c r="E14" s="430"/>
      <c r="F14" s="430"/>
      <c r="G14" s="430"/>
      <c r="H14" s="430"/>
      <c r="I14" s="430"/>
      <c r="J14" s="394"/>
      <c r="K14" s="430"/>
      <c r="L14" s="430"/>
      <c r="M14" s="430"/>
      <c r="N14" s="430"/>
      <c r="O14" s="430"/>
      <c r="P14" s="430"/>
      <c r="Q14" s="430"/>
    </row>
    <row r="15" spans="3:17" ht="13.5" thickBot="1" x14ac:dyDescent="0.25">
      <c r="C15" s="432"/>
      <c r="D15" s="433">
        <v>2022</v>
      </c>
      <c r="E15" s="434">
        <v>2023</v>
      </c>
      <c r="F15" s="435" t="s">
        <v>890</v>
      </c>
      <c r="G15" s="435" t="s">
        <v>512</v>
      </c>
      <c r="H15" s="436" t="s">
        <v>514</v>
      </c>
      <c r="I15" s="436" t="s">
        <v>891</v>
      </c>
      <c r="J15" s="394"/>
      <c r="K15" s="430"/>
      <c r="L15" s="430"/>
      <c r="M15" s="430"/>
      <c r="N15" s="430"/>
      <c r="O15" s="430"/>
      <c r="P15" s="430"/>
      <c r="Q15" s="430"/>
    </row>
    <row r="16" spans="3:17" x14ac:dyDescent="0.2">
      <c r="C16" s="437" t="s">
        <v>894</v>
      </c>
      <c r="D16" s="438" t="str">
        <f t="shared" ref="D16:I16" si="0">D7</f>
        <v>-1,7*</v>
      </c>
      <c r="E16" s="140" t="str">
        <f t="shared" si="0"/>
        <v>-4,9*</v>
      </c>
      <c r="F16" s="431">
        <f t="shared" si="0"/>
        <v>-5.8</v>
      </c>
      <c r="G16" s="431">
        <f t="shared" si="0"/>
        <v>-4.7</v>
      </c>
      <c r="H16" s="574">
        <f t="shared" si="0"/>
        <v>-3.7</v>
      </c>
      <c r="I16" s="574">
        <f t="shared" si="0"/>
        <v>-3</v>
      </c>
      <c r="J16" s="394"/>
      <c r="K16" s="430"/>
      <c r="L16" s="430"/>
      <c r="M16" s="430"/>
      <c r="N16" s="430"/>
      <c r="O16" s="430"/>
      <c r="P16" s="430"/>
      <c r="Q16" s="430"/>
    </row>
    <row r="17" spans="3:17" ht="13.5" thickBot="1" x14ac:dyDescent="0.25">
      <c r="C17" s="439" t="s">
        <v>895</v>
      </c>
      <c r="D17" s="440"/>
      <c r="E17" s="173"/>
      <c r="F17" s="441">
        <f>F8</f>
        <v>0.9</v>
      </c>
      <c r="G17" s="441">
        <f>G8</f>
        <v>-1.1000000000000001</v>
      </c>
      <c r="H17" s="425">
        <f>H8</f>
        <v>-1</v>
      </c>
      <c r="I17" s="425">
        <f>I8</f>
        <v>-0.7</v>
      </c>
      <c r="J17" s="394"/>
      <c r="K17" s="430"/>
      <c r="L17" s="430"/>
      <c r="M17" s="430"/>
      <c r="N17" s="430"/>
      <c r="O17" s="430"/>
      <c r="P17" s="430"/>
      <c r="Q17" s="430"/>
    </row>
    <row r="18" spans="3:17" ht="13.5" thickBot="1" x14ac:dyDescent="0.25">
      <c r="C18" s="439" t="s">
        <v>896</v>
      </c>
      <c r="D18" s="440"/>
      <c r="E18" s="173"/>
      <c r="F18" s="439"/>
      <c r="G18" s="441">
        <f t="shared" ref="G18:I19" si="1">G9</f>
        <v>-4.7</v>
      </c>
      <c r="H18" s="378">
        <f t="shared" si="1"/>
        <v>-4.2</v>
      </c>
      <c r="I18" s="378">
        <f t="shared" si="1"/>
        <v>-4.9000000000000004</v>
      </c>
      <c r="J18" s="394"/>
      <c r="K18" s="430"/>
      <c r="L18" s="430"/>
      <c r="M18" s="430"/>
      <c r="N18" s="430"/>
      <c r="O18" s="430"/>
      <c r="P18" s="430"/>
      <c r="Q18" s="430"/>
    </row>
    <row r="19" spans="3:17" ht="13.5" thickBot="1" x14ac:dyDescent="0.25">
      <c r="C19" s="439" t="s">
        <v>897</v>
      </c>
      <c r="D19" s="440"/>
      <c r="E19" s="173"/>
      <c r="F19" s="441"/>
      <c r="G19" s="441">
        <f t="shared" si="1"/>
        <v>0</v>
      </c>
      <c r="H19" s="378">
        <f t="shared" si="1"/>
        <v>0.4</v>
      </c>
      <c r="I19" s="378">
        <f t="shared" si="1"/>
        <v>1.9</v>
      </c>
      <c r="J19" s="394"/>
      <c r="K19" s="430"/>
      <c r="L19" s="430"/>
      <c r="M19" s="430"/>
      <c r="N19" s="430"/>
      <c r="O19" s="430"/>
      <c r="P19" s="430"/>
      <c r="Q19" s="430"/>
    </row>
    <row r="20" spans="3:17" x14ac:dyDescent="0.2">
      <c r="C20" s="442" t="s">
        <v>898</v>
      </c>
      <c r="I20" s="376" t="s">
        <v>209</v>
      </c>
      <c r="J20" s="394"/>
      <c r="K20" s="430"/>
      <c r="L20" s="430"/>
      <c r="M20" s="430"/>
      <c r="N20" s="430"/>
      <c r="O20" s="430"/>
      <c r="P20" s="430"/>
      <c r="Q20" s="430"/>
    </row>
    <row r="21" spans="3:17" x14ac:dyDescent="0.2">
      <c r="C21" s="394"/>
      <c r="D21" s="394"/>
      <c r="E21" s="394"/>
      <c r="F21" s="394"/>
      <c r="G21" s="394"/>
      <c r="H21" s="394"/>
      <c r="I21" s="394"/>
      <c r="J21" s="394"/>
      <c r="K21" s="430"/>
      <c r="L21" s="430"/>
      <c r="M21" s="430"/>
      <c r="N21" s="430"/>
      <c r="O21" s="430"/>
      <c r="P21" s="430"/>
      <c r="Q21" s="430"/>
    </row>
    <row r="22" spans="3:17" x14ac:dyDescent="0.2">
      <c r="C22" s="394"/>
      <c r="D22" s="394"/>
      <c r="E22" s="394"/>
      <c r="F22" s="394"/>
      <c r="G22" s="394"/>
      <c r="H22" s="394"/>
      <c r="I22" s="394"/>
      <c r="J22" s="394"/>
      <c r="K22" s="430"/>
      <c r="L22" s="430"/>
      <c r="M22" s="430"/>
      <c r="N22" s="430"/>
      <c r="O22" s="430"/>
      <c r="P22" s="430"/>
      <c r="Q22" s="430"/>
    </row>
    <row r="23" spans="3:17" x14ac:dyDescent="0.2">
      <c r="C23" s="394"/>
      <c r="D23" s="394"/>
      <c r="E23" s="394"/>
      <c r="F23" s="394"/>
      <c r="G23" s="394"/>
      <c r="H23" s="394"/>
      <c r="I23" s="394"/>
      <c r="J23" s="394"/>
      <c r="K23" s="430"/>
      <c r="L23" s="430"/>
      <c r="M23" s="430"/>
      <c r="N23" s="430"/>
      <c r="O23" s="430"/>
      <c r="P23" s="430"/>
      <c r="Q23" s="430"/>
    </row>
    <row r="24" spans="3:17" x14ac:dyDescent="0.2">
      <c r="C24" s="394"/>
      <c r="D24" s="394"/>
      <c r="E24" s="394"/>
      <c r="F24" s="394"/>
      <c r="G24" s="394"/>
      <c r="H24" s="394"/>
      <c r="I24" s="394"/>
      <c r="J24" s="394"/>
      <c r="K24" s="430"/>
      <c r="L24" s="430"/>
      <c r="M24" s="430"/>
      <c r="N24" s="430"/>
      <c r="O24" s="430"/>
      <c r="P24" s="430"/>
      <c r="Q24" s="430"/>
    </row>
    <row r="25" spans="3:17" x14ac:dyDescent="0.2">
      <c r="C25" s="394"/>
      <c r="D25" s="394"/>
      <c r="E25" s="394"/>
      <c r="F25" s="394"/>
      <c r="G25" s="394"/>
      <c r="H25" s="394"/>
      <c r="I25" s="394"/>
      <c r="J25" s="394"/>
      <c r="K25" s="430"/>
      <c r="L25" s="430"/>
      <c r="M25" s="430"/>
      <c r="N25" s="430"/>
      <c r="O25" s="430"/>
      <c r="P25" s="430"/>
      <c r="Q25" s="430"/>
    </row>
    <row r="26" spans="3:17" x14ac:dyDescent="0.2">
      <c r="C26" s="394"/>
      <c r="D26" s="394"/>
      <c r="E26" s="394"/>
      <c r="F26" s="394"/>
      <c r="G26" s="394"/>
      <c r="H26" s="394"/>
      <c r="I26" s="394"/>
      <c r="J26" s="394"/>
      <c r="K26" s="430"/>
      <c r="L26" s="430"/>
      <c r="M26" s="430"/>
      <c r="N26" s="430"/>
      <c r="O26" s="430"/>
      <c r="P26" s="430"/>
      <c r="Q26" s="430"/>
    </row>
    <row r="27" spans="3:17" x14ac:dyDescent="0.2">
      <c r="C27" s="394"/>
      <c r="D27" s="394"/>
      <c r="E27" s="394"/>
      <c r="F27" s="394"/>
      <c r="G27" s="394"/>
      <c r="H27" s="394"/>
      <c r="I27" s="394"/>
      <c r="J27" s="394"/>
      <c r="K27" s="430"/>
      <c r="L27" s="430"/>
      <c r="M27" s="430"/>
      <c r="N27" s="430"/>
      <c r="O27" s="430"/>
      <c r="P27" s="430"/>
      <c r="Q27" s="430"/>
    </row>
    <row r="28" spans="3:17" x14ac:dyDescent="0.2">
      <c r="C28" s="394"/>
      <c r="D28" s="394"/>
      <c r="E28" s="394"/>
      <c r="F28" s="394"/>
      <c r="G28" s="394"/>
      <c r="H28" s="394"/>
      <c r="I28" s="394"/>
      <c r="J28" s="394"/>
      <c r="K28" s="430"/>
      <c r="L28" s="430"/>
      <c r="M28" s="430"/>
      <c r="N28" s="430"/>
      <c r="O28" s="430"/>
      <c r="P28" s="430"/>
      <c r="Q28" s="430"/>
    </row>
    <row r="29" spans="3:17" x14ac:dyDescent="0.2">
      <c r="C29" s="394"/>
      <c r="D29" s="394"/>
      <c r="E29" s="394"/>
      <c r="F29" s="394"/>
      <c r="G29" s="394"/>
      <c r="H29" s="394"/>
      <c r="I29" s="394"/>
      <c r="J29" s="394"/>
      <c r="K29" s="430"/>
      <c r="L29" s="430"/>
      <c r="M29" s="430"/>
      <c r="N29" s="430"/>
      <c r="O29" s="430"/>
      <c r="P29" s="430"/>
      <c r="Q29" s="430"/>
    </row>
    <row r="30" spans="3:17" x14ac:dyDescent="0.2">
      <c r="Q30" s="376"/>
    </row>
    <row r="38" spans="3:3" x14ac:dyDescent="0.2">
      <c r="C38" s="443"/>
    </row>
  </sheetData>
  <mergeCells count="1">
    <mergeCell ref="C5:I5"/>
  </mergeCells>
  <pageMargins left="0.7" right="0.7" top="0.75" bottom="0.75" header="0.3" footer="0.3"/>
  <pageSetup paperSize="0" orientation="portrait" horizontalDpi="0" verticalDpi="0" copie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5:Q30"/>
  <sheetViews>
    <sheetView showGridLines="0" workbookViewId="0"/>
  </sheetViews>
  <sheetFormatPr defaultColWidth="9.140625" defaultRowHeight="12.75" x14ac:dyDescent="0.2"/>
  <cols>
    <col min="1" max="2" width="9.140625" style="209"/>
    <col min="3" max="3" width="36.140625" style="209" bestFit="1" customWidth="1"/>
    <col min="4" max="4" width="8.5703125" style="209" bestFit="1" customWidth="1"/>
    <col min="5" max="6" width="7.42578125" style="209" customWidth="1"/>
    <col min="7" max="9" width="6" style="209" customWidth="1"/>
    <col min="10" max="10" width="9.140625" style="209"/>
    <col min="11" max="11" width="30.5703125" style="209" customWidth="1"/>
    <col min="12" max="12" width="8.5703125" style="209" bestFit="1" customWidth="1"/>
    <col min="13" max="14" width="7.42578125" style="209" customWidth="1"/>
    <col min="15" max="17" width="6" style="209" customWidth="1"/>
    <col min="18" max="16384" width="9.140625" style="209"/>
  </cols>
  <sheetData>
    <row r="5" spans="2:17" ht="13.5" thickBot="1" x14ac:dyDescent="0.25">
      <c r="C5" s="730" t="s">
        <v>874</v>
      </c>
      <c r="D5" s="730"/>
      <c r="E5" s="730"/>
      <c r="F5" s="730"/>
      <c r="G5" s="730"/>
      <c r="H5" s="730"/>
      <c r="I5" s="730"/>
      <c r="K5" s="395" t="s">
        <v>875</v>
      </c>
      <c r="L5" s="395"/>
      <c r="M5" s="395"/>
      <c r="N5" s="395"/>
      <c r="O5" s="395"/>
      <c r="P5" s="395"/>
      <c r="Q5" s="395"/>
    </row>
    <row r="6" spans="2:17" ht="13.5" thickBot="1" x14ac:dyDescent="0.25">
      <c r="B6" s="216"/>
      <c r="C6" s="444"/>
      <c r="D6" s="445"/>
      <c r="E6" s="446" t="s">
        <v>465</v>
      </c>
      <c r="F6" s="446" t="s">
        <v>38</v>
      </c>
      <c r="G6" s="447" t="s">
        <v>464</v>
      </c>
      <c r="H6" s="143" t="s">
        <v>464</v>
      </c>
      <c r="I6" s="143" t="s">
        <v>464</v>
      </c>
      <c r="J6" s="216"/>
      <c r="K6" s="396"/>
      <c r="L6" s="397"/>
      <c r="M6" s="398"/>
      <c r="N6" s="398" t="s">
        <v>892</v>
      </c>
      <c r="O6" s="448" t="s">
        <v>893</v>
      </c>
      <c r="P6" s="436" t="s">
        <v>893</v>
      </c>
      <c r="Q6" s="436" t="s">
        <v>893</v>
      </c>
    </row>
    <row r="7" spans="2:17" ht="13.5" thickBot="1" x14ac:dyDescent="0.25">
      <c r="B7" s="216"/>
      <c r="C7" s="399"/>
      <c r="D7" s="400" t="s">
        <v>375</v>
      </c>
      <c r="E7" s="401">
        <v>2023</v>
      </c>
      <c r="F7" s="401">
        <v>2024</v>
      </c>
      <c r="G7" s="402">
        <v>2025</v>
      </c>
      <c r="H7" s="402">
        <v>2026</v>
      </c>
      <c r="I7" s="402">
        <v>2027</v>
      </c>
      <c r="J7" s="216"/>
      <c r="K7" s="399"/>
      <c r="L7" s="400" t="s">
        <v>382</v>
      </c>
      <c r="M7" s="401">
        <f>E7</f>
        <v>2023</v>
      </c>
      <c r="N7" s="401">
        <f t="shared" ref="N7:N27" si="0">F7</f>
        <v>2024</v>
      </c>
      <c r="O7" s="402">
        <f t="shared" ref="O7:O27" si="1">G7</f>
        <v>2025</v>
      </c>
      <c r="P7" s="402">
        <f t="shared" ref="P7:P27" si="2">H7</f>
        <v>2026</v>
      </c>
      <c r="Q7" s="402">
        <f t="shared" ref="Q7:Q27" si="3">I7</f>
        <v>2027</v>
      </c>
    </row>
    <row r="8" spans="2:17" ht="13.5" thickBot="1" x14ac:dyDescent="0.25">
      <c r="B8" s="216"/>
      <c r="C8" s="403" t="s">
        <v>6</v>
      </c>
      <c r="D8" s="401" t="s">
        <v>466</v>
      </c>
      <c r="E8" s="404">
        <f>MMF_TABULKA!R6/MMF_TABULKA!R95*100</f>
        <v>43.027136545504071</v>
      </c>
      <c r="F8" s="404">
        <f>MMF_TABULKA!S6/MMF_TABULKA!S95*100</f>
        <v>40.973257353415661</v>
      </c>
      <c r="G8" s="405">
        <f>MMF_TABULKA!T6/MMF_TABULKA!T95*100</f>
        <v>42.821005216343202</v>
      </c>
      <c r="H8" s="405">
        <f>MMF_TABULKA!U6/MMF_TABULKA!U95*100</f>
        <v>42.172486505540576</v>
      </c>
      <c r="I8" s="405">
        <f>MMF_TABULKA!V6/MMF_TABULKA!V95*100</f>
        <v>41.562994021621513</v>
      </c>
      <c r="J8" s="216"/>
      <c r="K8" s="403" t="s">
        <v>174</v>
      </c>
      <c r="L8" s="401" t="s">
        <v>466</v>
      </c>
      <c r="M8" s="404">
        <f t="shared" ref="M8:M26" si="4">E8</f>
        <v>43.027136545504071</v>
      </c>
      <c r="N8" s="404">
        <f t="shared" si="0"/>
        <v>40.973257353415661</v>
      </c>
      <c r="O8" s="405">
        <f t="shared" si="1"/>
        <v>42.821005216343202</v>
      </c>
      <c r="P8" s="405">
        <f t="shared" si="2"/>
        <v>42.172486505540576</v>
      </c>
      <c r="Q8" s="405">
        <f t="shared" si="3"/>
        <v>41.562994021621513</v>
      </c>
    </row>
    <row r="9" spans="2:17" x14ac:dyDescent="0.2">
      <c r="B9" s="216"/>
      <c r="C9" s="406" t="s">
        <v>467</v>
      </c>
      <c r="D9" s="407" t="s">
        <v>7</v>
      </c>
      <c r="E9" s="408">
        <f>MMF_TABULKA!R9/MMF_TABULKA!R95*100</f>
        <v>12.312449203684354</v>
      </c>
      <c r="F9" s="408">
        <f>MMF_TABULKA!S9/MMF_TABULKA!S95*100</f>
        <v>11.569740983611748</v>
      </c>
      <c r="G9" s="409">
        <f>MMF_TABULKA!T9/MMF_TABULKA!T95*100</f>
        <v>12.513313298788489</v>
      </c>
      <c r="H9" s="409">
        <f>MMF_TABULKA!U9/MMF_TABULKA!U95*100</f>
        <v>12.288496323520693</v>
      </c>
      <c r="I9" s="409">
        <f>MMF_TABULKA!V9/MMF_TABULKA!V95*100</f>
        <v>12.041420733882104</v>
      </c>
      <c r="J9" s="216"/>
      <c r="K9" s="144" t="s">
        <v>468</v>
      </c>
      <c r="L9" s="407" t="s">
        <v>7</v>
      </c>
      <c r="M9" s="408">
        <f t="shared" si="4"/>
        <v>12.312449203684354</v>
      </c>
      <c r="N9" s="408">
        <f t="shared" si="0"/>
        <v>11.569740983611748</v>
      </c>
      <c r="O9" s="409">
        <f t="shared" si="1"/>
        <v>12.513313298788489</v>
      </c>
      <c r="P9" s="409">
        <f t="shared" si="2"/>
        <v>12.288496323520693</v>
      </c>
      <c r="Q9" s="409">
        <f t="shared" si="3"/>
        <v>12.041420733882104</v>
      </c>
    </row>
    <row r="10" spans="2:17" x14ac:dyDescent="0.2">
      <c r="B10" s="216"/>
      <c r="C10" s="410" t="s">
        <v>8</v>
      </c>
      <c r="D10" s="411" t="s">
        <v>9</v>
      </c>
      <c r="E10" s="412">
        <f>MMF_TABULKA!R18/MMF_TABULKA!R95*100</f>
        <v>7.7616074123221424</v>
      </c>
      <c r="F10" s="412">
        <f>MMF_TABULKA!S18/MMF_TABULKA!S95*100</f>
        <v>8.1605062670471256</v>
      </c>
      <c r="G10" s="409">
        <f>MMF_TABULKA!T18/MMF_TABULKA!T95*100</f>
        <v>8.418579581363975</v>
      </c>
      <c r="H10" s="409">
        <f>MMF_TABULKA!U18/MMF_TABULKA!U95*100</f>
        <v>8.3052309666770956</v>
      </c>
      <c r="I10" s="409">
        <f>MMF_TABULKA!V18/MMF_TABULKA!V95*100</f>
        <v>8.3110940891101137</v>
      </c>
      <c r="J10" s="216"/>
      <c r="K10" s="144" t="s">
        <v>469</v>
      </c>
      <c r="L10" s="411" t="s">
        <v>9</v>
      </c>
      <c r="M10" s="412">
        <f t="shared" si="4"/>
        <v>7.7616074123221424</v>
      </c>
      <c r="N10" s="412">
        <f t="shared" si="0"/>
        <v>8.1605062670471256</v>
      </c>
      <c r="O10" s="409">
        <f t="shared" si="1"/>
        <v>8.418579581363975</v>
      </c>
      <c r="P10" s="409">
        <f t="shared" si="2"/>
        <v>8.3052309666770956</v>
      </c>
      <c r="Q10" s="409">
        <f t="shared" si="3"/>
        <v>8.3110940891101137</v>
      </c>
    </row>
    <row r="11" spans="2:17" x14ac:dyDescent="0.2">
      <c r="B11" s="216"/>
      <c r="C11" s="410" t="s">
        <v>470</v>
      </c>
      <c r="D11" s="413" t="s">
        <v>472</v>
      </c>
      <c r="E11" s="408">
        <f>MMF_TABULKA!R27</f>
        <v>0</v>
      </c>
      <c r="F11" s="408">
        <f>MMF_TABULKA!S27</f>
        <v>0</v>
      </c>
      <c r="G11" s="409">
        <f>MMF_TABULKA!T27</f>
        <v>0</v>
      </c>
      <c r="H11" s="409">
        <f>MMF_TABULKA!U27</f>
        <v>0</v>
      </c>
      <c r="I11" s="409">
        <f>MMF_TABULKA!V27</f>
        <v>0</v>
      </c>
      <c r="J11" s="216"/>
      <c r="K11" s="144" t="s">
        <v>471</v>
      </c>
      <c r="L11" s="413" t="s">
        <v>472</v>
      </c>
      <c r="M11" s="408">
        <f t="shared" si="4"/>
        <v>0</v>
      </c>
      <c r="N11" s="408">
        <f t="shared" si="0"/>
        <v>0</v>
      </c>
      <c r="O11" s="409">
        <f t="shared" si="1"/>
        <v>0</v>
      </c>
      <c r="P11" s="409">
        <f t="shared" si="2"/>
        <v>0</v>
      </c>
      <c r="Q11" s="409">
        <f t="shared" si="3"/>
        <v>0</v>
      </c>
    </row>
    <row r="12" spans="2:17" x14ac:dyDescent="0.2">
      <c r="B12" s="216"/>
      <c r="C12" s="410" t="s">
        <v>10</v>
      </c>
      <c r="D12" s="413" t="s">
        <v>312</v>
      </c>
      <c r="E12" s="408">
        <f>MMF_TABULKA!R28/MMF_TABULKA!R95*100</f>
        <v>15.369968576971152</v>
      </c>
      <c r="F12" s="408">
        <f>MMF_TABULKA!S28/MMF_TABULKA!S95*100</f>
        <v>15.577526638690816</v>
      </c>
      <c r="G12" s="409">
        <f>MMF_TABULKA!T28/MMF_TABULKA!T95*100</f>
        <v>15.701762019981622</v>
      </c>
      <c r="H12" s="409">
        <f>MMF_TABULKA!U28/MMF_TABULKA!U95*100</f>
        <v>15.865940906946129</v>
      </c>
      <c r="I12" s="409">
        <f>MMF_TABULKA!V28/MMF_TABULKA!V95*100</f>
        <v>16.10438579429233</v>
      </c>
      <c r="J12" s="216"/>
      <c r="K12" s="144" t="s">
        <v>473</v>
      </c>
      <c r="L12" s="413" t="s">
        <v>312</v>
      </c>
      <c r="M12" s="408">
        <f t="shared" si="4"/>
        <v>15.369968576971152</v>
      </c>
      <c r="N12" s="408">
        <f t="shared" si="0"/>
        <v>15.577526638690816</v>
      </c>
      <c r="O12" s="409">
        <f t="shared" si="1"/>
        <v>15.701762019981622</v>
      </c>
      <c r="P12" s="409">
        <f t="shared" si="2"/>
        <v>15.865940906946129</v>
      </c>
      <c r="Q12" s="409">
        <f t="shared" si="3"/>
        <v>16.10438579429233</v>
      </c>
    </row>
    <row r="13" spans="2:17" x14ac:dyDescent="0.2">
      <c r="B13" s="216"/>
      <c r="C13" s="410" t="s">
        <v>474</v>
      </c>
      <c r="D13" s="413" t="s">
        <v>476</v>
      </c>
      <c r="E13" s="408">
        <f>MMF_TABULKA!R37/MMF_TABULKA!R95*100</f>
        <v>0.97532183027020902</v>
      </c>
      <c r="F13" s="408">
        <f>MMF_TABULKA!S37/MMF_TABULKA!S95*100</f>
        <v>0.98541762004985045</v>
      </c>
      <c r="G13" s="409">
        <f>MMF_TABULKA!T37/MMF_TABULKA!T95*100</f>
        <v>0.91451150690972438</v>
      </c>
      <c r="H13" s="409">
        <f>MMF_TABULKA!U37/MMF_TABULKA!U95*100</f>
        <v>0.73060026631520114</v>
      </c>
      <c r="I13" s="409">
        <f>MMF_TABULKA!V37/MMF_TABULKA!V95*100</f>
        <v>0.63906294921011109</v>
      </c>
      <c r="J13" s="216"/>
      <c r="K13" s="410" t="s">
        <v>475</v>
      </c>
      <c r="L13" s="413" t="s">
        <v>476</v>
      </c>
      <c r="M13" s="408">
        <f t="shared" si="4"/>
        <v>0.97532183027020902</v>
      </c>
      <c r="N13" s="408">
        <f t="shared" si="0"/>
        <v>0.98541762004985045</v>
      </c>
      <c r="O13" s="409">
        <f t="shared" si="1"/>
        <v>0.91451150690972438</v>
      </c>
      <c r="P13" s="409">
        <f t="shared" si="2"/>
        <v>0.73060026631520114</v>
      </c>
      <c r="Q13" s="409">
        <f t="shared" si="3"/>
        <v>0.63906294921011109</v>
      </c>
    </row>
    <row r="14" spans="2:17" ht="13.5" thickBot="1" x14ac:dyDescent="0.25">
      <c r="B14" s="216"/>
      <c r="C14" s="414" t="s">
        <v>477</v>
      </c>
      <c r="D14" s="415"/>
      <c r="E14" s="416">
        <f t="shared" ref="E14:I14" si="5">E8-SUM(E9:E13)</f>
        <v>6.607789522256212</v>
      </c>
      <c r="F14" s="417">
        <f t="shared" si="5"/>
        <v>4.68006584401612</v>
      </c>
      <c r="G14" s="418">
        <f t="shared" si="5"/>
        <v>5.2728388092993868</v>
      </c>
      <c r="H14" s="418">
        <f t="shared" si="5"/>
        <v>4.9822180420814561</v>
      </c>
      <c r="I14" s="418">
        <f t="shared" si="5"/>
        <v>4.4670304551268529</v>
      </c>
      <c r="J14" s="216"/>
      <c r="K14" s="414" t="s">
        <v>478</v>
      </c>
      <c r="L14" s="415"/>
      <c r="M14" s="416">
        <f t="shared" si="4"/>
        <v>6.607789522256212</v>
      </c>
      <c r="N14" s="417">
        <f t="shared" si="0"/>
        <v>4.68006584401612</v>
      </c>
      <c r="O14" s="418">
        <f t="shared" si="1"/>
        <v>5.2728388092993868</v>
      </c>
      <c r="P14" s="418">
        <f t="shared" si="2"/>
        <v>4.9822180420814561</v>
      </c>
      <c r="Q14" s="418">
        <f t="shared" si="3"/>
        <v>4.4670304551268529</v>
      </c>
    </row>
    <row r="15" spans="2:17" ht="13.5" thickBot="1" x14ac:dyDescent="0.25">
      <c r="C15" s="399" t="s">
        <v>11</v>
      </c>
      <c r="D15" s="400" t="s">
        <v>480</v>
      </c>
      <c r="E15" s="419">
        <f>MMF_TABULKA!R46/MMF_TABULKA!R95*100</f>
        <v>47.920611203417351</v>
      </c>
      <c r="F15" s="419">
        <f>MMF_TABULKA!S46/MMF_TABULKA!S95*100</f>
        <v>46.758628590730211</v>
      </c>
      <c r="G15" s="420">
        <f>MMF_TABULKA!T46/MMF_TABULKA!T95*100</f>
        <v>47.541005210155433</v>
      </c>
      <c r="H15" s="420">
        <f>MMF_TABULKA!U46/MMF_TABULKA!U95*100</f>
        <v>46.332819640352632</v>
      </c>
      <c r="I15" s="420">
        <f>MMF_TABULKA!V46/MMF_TABULKA!V95*100</f>
        <v>46.432261393380813</v>
      </c>
      <c r="J15" s="216"/>
      <c r="K15" s="399" t="s">
        <v>479</v>
      </c>
      <c r="L15" s="400" t="s">
        <v>480</v>
      </c>
      <c r="M15" s="419">
        <f t="shared" si="4"/>
        <v>47.920611203417351</v>
      </c>
      <c r="N15" s="419">
        <f t="shared" si="0"/>
        <v>46.758628590730211</v>
      </c>
      <c r="O15" s="420">
        <f t="shared" si="1"/>
        <v>47.541005210155433</v>
      </c>
      <c r="P15" s="420">
        <f t="shared" si="2"/>
        <v>46.332819640352632</v>
      </c>
      <c r="Q15" s="420">
        <f t="shared" si="3"/>
        <v>46.432261393380813</v>
      </c>
    </row>
    <row r="16" spans="2:17" x14ac:dyDescent="0.2">
      <c r="C16" s="144" t="s">
        <v>12</v>
      </c>
      <c r="D16" s="413" t="s">
        <v>482</v>
      </c>
      <c r="E16" s="408">
        <f>MMF_TABULKA!R49/MMF_TABULKA!R95*100</f>
        <v>11.00419707897699</v>
      </c>
      <c r="F16" s="408">
        <f>MMF_TABULKA!S49/MMF_TABULKA!S95*100</f>
        <v>10.793106802571325</v>
      </c>
      <c r="G16" s="409">
        <f>MMF_TABULKA!T49/MMF_TABULKA!T95*100</f>
        <v>10.816125318682069</v>
      </c>
      <c r="H16" s="409">
        <f>MMF_TABULKA!U49/MMF_TABULKA!U95*100</f>
        <v>10.510741399392105</v>
      </c>
      <c r="I16" s="409">
        <f>MMF_TABULKA!V49/MMF_TABULKA!V95*100</f>
        <v>10.471155697705683</v>
      </c>
      <c r="J16" s="216"/>
      <c r="K16" s="144" t="s">
        <v>481</v>
      </c>
      <c r="L16" s="413" t="s">
        <v>482</v>
      </c>
      <c r="M16" s="408">
        <f t="shared" si="4"/>
        <v>11.00419707897699</v>
      </c>
      <c r="N16" s="408">
        <f t="shared" si="0"/>
        <v>10.793106802571325</v>
      </c>
      <c r="O16" s="409">
        <f t="shared" si="1"/>
        <v>10.816125318682069</v>
      </c>
      <c r="P16" s="409">
        <f t="shared" si="2"/>
        <v>10.510741399392105</v>
      </c>
      <c r="Q16" s="409">
        <f t="shared" si="3"/>
        <v>10.471155697705683</v>
      </c>
    </row>
    <row r="17" spans="3:17" x14ac:dyDescent="0.2">
      <c r="C17" s="144" t="s">
        <v>13</v>
      </c>
      <c r="D17" s="413" t="s">
        <v>316</v>
      </c>
      <c r="E17" s="408">
        <f>MMF_TABULKA!R52/MMF_TABULKA!R95*100</f>
        <v>5.6030131062484152</v>
      </c>
      <c r="F17" s="408">
        <f>MMF_TABULKA!S52/MMF_TABULKA!S95*100</f>
        <v>5.8827460412550954</v>
      </c>
      <c r="G17" s="409">
        <f>MMF_TABULKA!T52/MMF_TABULKA!T95*100</f>
        <v>5.9317966819008401</v>
      </c>
      <c r="H17" s="409">
        <f>MMF_TABULKA!U52/MMF_TABULKA!U95*100</f>
        <v>5.7036013884814762</v>
      </c>
      <c r="I17" s="409">
        <f>MMF_TABULKA!V52/MMF_TABULKA!V95*100</f>
        <v>5.6012238430768262</v>
      </c>
      <c r="J17" s="216"/>
      <c r="K17" s="144" t="s">
        <v>175</v>
      </c>
      <c r="L17" s="413" t="s">
        <v>316</v>
      </c>
      <c r="M17" s="408">
        <f t="shared" si="4"/>
        <v>5.6030131062484152</v>
      </c>
      <c r="N17" s="408">
        <f t="shared" si="0"/>
        <v>5.8827460412550954</v>
      </c>
      <c r="O17" s="409">
        <f t="shared" si="1"/>
        <v>5.9317966819008401</v>
      </c>
      <c r="P17" s="409">
        <f t="shared" si="2"/>
        <v>5.7036013884814762</v>
      </c>
      <c r="Q17" s="409">
        <f t="shared" si="3"/>
        <v>5.6012238430768262</v>
      </c>
    </row>
    <row r="18" spans="3:17" x14ac:dyDescent="0.2">
      <c r="C18" s="144" t="s">
        <v>14</v>
      </c>
      <c r="D18" s="413" t="s">
        <v>484</v>
      </c>
      <c r="E18" s="408">
        <f>MMF_TABULKA!R56/MMF_TABULKA!R95*100</f>
        <v>3.3208258146066942</v>
      </c>
      <c r="F18" s="408">
        <f>MMF_TABULKA!S56/MMF_TABULKA!S95*100</f>
        <v>1.761451211347749</v>
      </c>
      <c r="G18" s="409">
        <f>MMF_TABULKA!T56/MMF_TABULKA!T95*100</f>
        <v>1.0577810259230831</v>
      </c>
      <c r="H18" s="409">
        <f>MMF_TABULKA!U56/MMF_TABULKA!U95*100</f>
        <v>0.74920450070244837</v>
      </c>
      <c r="I18" s="409">
        <f>MMF_TABULKA!V56/MMF_TABULKA!V95*100</f>
        <v>0.66878393374127676</v>
      </c>
      <c r="J18" s="216"/>
      <c r="K18" s="144" t="s">
        <v>483</v>
      </c>
      <c r="L18" s="413" t="s">
        <v>484</v>
      </c>
      <c r="M18" s="408">
        <f t="shared" si="4"/>
        <v>3.3208258146066942</v>
      </c>
      <c r="N18" s="408">
        <f t="shared" si="0"/>
        <v>1.761451211347749</v>
      </c>
      <c r="O18" s="409">
        <f t="shared" si="1"/>
        <v>1.0577810259230831</v>
      </c>
      <c r="P18" s="409">
        <f t="shared" si="2"/>
        <v>0.74920450070244837</v>
      </c>
      <c r="Q18" s="409">
        <f t="shared" si="3"/>
        <v>0.66878393374127676</v>
      </c>
    </row>
    <row r="19" spans="3:17" x14ac:dyDescent="0.2">
      <c r="C19" s="144" t="s">
        <v>15</v>
      </c>
      <c r="D19" s="413" t="s">
        <v>486</v>
      </c>
      <c r="E19" s="408">
        <f>MMF_TABULKA!R63/MMF_TABULKA!R95*100</f>
        <v>1.1568257199911458</v>
      </c>
      <c r="F19" s="408">
        <f>MMF_TABULKA!S63/MMF_TABULKA!S95*100</f>
        <v>1.4294653229599836</v>
      </c>
      <c r="G19" s="409">
        <f>MMF_TABULKA!T63/MMF_TABULKA!T95*100</f>
        <v>1.5432087721979653</v>
      </c>
      <c r="H19" s="409">
        <f>MMF_TABULKA!U63/MMF_TABULKA!U95*100</f>
        <v>1.6210543871776844</v>
      </c>
      <c r="I19" s="409">
        <f>MMF_TABULKA!V63/MMF_TABULKA!V95*100</f>
        <v>1.809560368596697</v>
      </c>
      <c r="J19" s="216"/>
      <c r="K19" s="144" t="s">
        <v>485</v>
      </c>
      <c r="L19" s="413" t="s">
        <v>486</v>
      </c>
      <c r="M19" s="408">
        <f t="shared" si="4"/>
        <v>1.1568257199911458</v>
      </c>
      <c r="N19" s="408">
        <f t="shared" si="0"/>
        <v>1.4294653229599836</v>
      </c>
      <c r="O19" s="409">
        <f t="shared" si="1"/>
        <v>1.5432087721979653</v>
      </c>
      <c r="P19" s="409">
        <f t="shared" si="2"/>
        <v>1.6210543871776844</v>
      </c>
      <c r="Q19" s="409">
        <f t="shared" si="3"/>
        <v>1.809560368596697</v>
      </c>
    </row>
    <row r="20" spans="3:17" x14ac:dyDescent="0.2">
      <c r="C20" s="144" t="s">
        <v>16</v>
      </c>
      <c r="D20" s="413" t="s">
        <v>488</v>
      </c>
      <c r="E20" s="408">
        <f>MMF_TABULKA!R65/MMF_TABULKA!R95*100</f>
        <v>19.692979872333332</v>
      </c>
      <c r="F20" s="408">
        <f>MMF_TABULKA!S65/MMF_TABULKA!S95*100</f>
        <v>20.713826517334393</v>
      </c>
      <c r="G20" s="409">
        <f>MMF_TABULKA!T65/MMF_TABULKA!T95*100</f>
        <v>20.109644953513779</v>
      </c>
      <c r="H20" s="409">
        <f>MMF_TABULKA!U65/MMF_TABULKA!U95*100</f>
        <v>20.211397884294186</v>
      </c>
      <c r="I20" s="409">
        <f>MMF_TABULKA!V65/MMF_TABULKA!V95*100</f>
        <v>20.281256757956832</v>
      </c>
      <c r="J20" s="216"/>
      <c r="K20" s="144" t="s">
        <v>487</v>
      </c>
      <c r="L20" s="413" t="s">
        <v>488</v>
      </c>
      <c r="M20" s="408">
        <f t="shared" si="4"/>
        <v>19.692979872333332</v>
      </c>
      <c r="N20" s="408">
        <f t="shared" si="0"/>
        <v>20.713826517334393</v>
      </c>
      <c r="O20" s="409">
        <f t="shared" si="1"/>
        <v>20.109644953513779</v>
      </c>
      <c r="P20" s="409">
        <f t="shared" si="2"/>
        <v>20.211397884294186</v>
      </c>
      <c r="Q20" s="409">
        <f t="shared" si="3"/>
        <v>20.281256757956832</v>
      </c>
    </row>
    <row r="21" spans="3:17" x14ac:dyDescent="0.2">
      <c r="C21" s="421" t="s">
        <v>489</v>
      </c>
      <c r="D21" s="413"/>
      <c r="E21" s="408">
        <f>MMF_TABULKA!R70/MMF_TABULKA!R95*100</f>
        <v>0.21780385341771594</v>
      </c>
      <c r="F21" s="408">
        <f>MMF_TABULKA!S70/MMF_TABULKA!S95*100</f>
        <v>0.22265721449572562</v>
      </c>
      <c r="G21" s="409">
        <f>MMF_TABULKA!T70/MMF_TABULKA!T95*100</f>
        <v>0.21675558294760922</v>
      </c>
      <c r="H21" s="409">
        <f>MMF_TABULKA!U70/MMF_TABULKA!U95*100</f>
        <v>0.21086699787987417</v>
      </c>
      <c r="I21" s="409">
        <f>MMF_TABULKA!V70/MMF_TABULKA!V95*100</f>
        <v>0.20798905344662694</v>
      </c>
      <c r="J21" s="216"/>
      <c r="K21" s="421" t="s">
        <v>490</v>
      </c>
      <c r="L21" s="413"/>
      <c r="M21" s="408">
        <f t="shared" si="4"/>
        <v>0.21780385341771594</v>
      </c>
      <c r="N21" s="408">
        <f t="shared" si="0"/>
        <v>0.22265721449572562</v>
      </c>
      <c r="O21" s="409">
        <f t="shared" si="1"/>
        <v>0.21675558294760922</v>
      </c>
      <c r="P21" s="409">
        <f t="shared" si="2"/>
        <v>0.21086699787987417</v>
      </c>
      <c r="Q21" s="409">
        <f t="shared" si="3"/>
        <v>0.20798905344662694</v>
      </c>
    </row>
    <row r="22" spans="3:17" x14ac:dyDescent="0.2">
      <c r="C22" s="144" t="s">
        <v>491</v>
      </c>
      <c r="D22" s="413" t="s">
        <v>493</v>
      </c>
      <c r="E22" s="408">
        <f>MMF_TABULKA!R88/MMF_TABULKA!R95*100</f>
        <v>4.6946036852267703</v>
      </c>
      <c r="F22" s="408">
        <f>MMF_TABULKA!S88/MMF_TABULKA!S95*100</f>
        <v>3.5315736276456504</v>
      </c>
      <c r="G22" s="409">
        <f>MMF_TABULKA!T88/MMF_TABULKA!T95*100</f>
        <v>4.2335643945478267</v>
      </c>
      <c r="H22" s="409">
        <f>MMF_TABULKA!U88/MMF_TABULKA!U95*100</f>
        <v>3.5179415822111877</v>
      </c>
      <c r="I22" s="409">
        <f>MMF_TABULKA!V88/MMF_TABULKA!V95*100</f>
        <v>3.3190110912680364</v>
      </c>
      <c r="J22" s="216"/>
      <c r="K22" s="144" t="s">
        <v>492</v>
      </c>
      <c r="L22" s="413" t="s">
        <v>493</v>
      </c>
      <c r="M22" s="408">
        <f t="shared" si="4"/>
        <v>4.6946036852267703</v>
      </c>
      <c r="N22" s="408">
        <f t="shared" si="0"/>
        <v>3.5315736276456504</v>
      </c>
      <c r="O22" s="409">
        <f t="shared" si="1"/>
        <v>4.2335643945478267</v>
      </c>
      <c r="P22" s="409">
        <f t="shared" si="2"/>
        <v>3.5179415822111877</v>
      </c>
      <c r="Q22" s="409">
        <f t="shared" si="3"/>
        <v>3.3190110912680364</v>
      </c>
    </row>
    <row r="23" spans="3:17" x14ac:dyDescent="0.2">
      <c r="C23" s="192" t="s">
        <v>17</v>
      </c>
      <c r="D23" s="413" t="s">
        <v>495</v>
      </c>
      <c r="E23" s="408">
        <f>MMF_TABULKA!R91/MMF_TABULKA!R95*100</f>
        <v>0.6056388505774174</v>
      </c>
      <c r="F23" s="408">
        <f>MMF_TABULKA!S91/MMF_TABULKA!S95*100</f>
        <v>0.43474389708904543</v>
      </c>
      <c r="G23" s="409">
        <f>MMF_TABULKA!T91/MMF_TABULKA!T95*100</f>
        <v>0.70412684147676363</v>
      </c>
      <c r="H23" s="409">
        <f>MMF_TABULKA!U91/MMF_TABULKA!U95*100</f>
        <v>0.54088934799906252</v>
      </c>
      <c r="I23" s="409">
        <f>MMF_TABULKA!V91/MMF_TABULKA!V95*100</f>
        <v>0.45450036749378803</v>
      </c>
      <c r="J23" s="216"/>
      <c r="K23" s="192" t="s">
        <v>494</v>
      </c>
      <c r="L23" s="413" t="s">
        <v>495</v>
      </c>
      <c r="M23" s="408">
        <f t="shared" si="4"/>
        <v>0.6056388505774174</v>
      </c>
      <c r="N23" s="408">
        <f t="shared" si="0"/>
        <v>0.43474389708904543</v>
      </c>
      <c r="O23" s="409">
        <f t="shared" si="1"/>
        <v>0.70412684147676363</v>
      </c>
      <c r="P23" s="409">
        <f t="shared" si="2"/>
        <v>0.54088934799906252</v>
      </c>
      <c r="Q23" s="409">
        <f t="shared" si="3"/>
        <v>0.45450036749378803</v>
      </c>
    </row>
    <row r="24" spans="3:17" ht="13.5" thickBot="1" x14ac:dyDescent="0.25">
      <c r="C24" s="393" t="s">
        <v>496</v>
      </c>
      <c r="D24" s="422"/>
      <c r="E24" s="416">
        <f>E15-SUM(E16:E23)+E21</f>
        <v>1.8425270754565828</v>
      </c>
      <c r="F24" s="417">
        <f t="shared" ref="F24:I24" si="6">F15-SUM(F16:F23)+F21</f>
        <v>2.2117151705269715</v>
      </c>
      <c r="G24" s="418">
        <f t="shared" si="6"/>
        <v>3.1447572219131068</v>
      </c>
      <c r="H24" s="418">
        <f t="shared" si="6"/>
        <v>3.4779891500944853</v>
      </c>
      <c r="I24" s="418">
        <f t="shared" si="6"/>
        <v>3.8267693335416721</v>
      </c>
      <c r="J24" s="216"/>
      <c r="K24" s="393" t="s">
        <v>497</v>
      </c>
      <c r="L24" s="422"/>
      <c r="M24" s="416">
        <f t="shared" si="4"/>
        <v>1.8425270754565828</v>
      </c>
      <c r="N24" s="417">
        <f t="shared" si="0"/>
        <v>2.2117151705269715</v>
      </c>
      <c r="O24" s="418">
        <f t="shared" si="1"/>
        <v>3.1447572219131068</v>
      </c>
      <c r="P24" s="418">
        <f t="shared" si="2"/>
        <v>3.4779891500944853</v>
      </c>
      <c r="Q24" s="418">
        <f t="shared" si="3"/>
        <v>3.8267693335416721</v>
      </c>
    </row>
    <row r="25" spans="3:17" ht="13.5" thickBot="1" x14ac:dyDescent="0.25">
      <c r="C25" s="423" t="s">
        <v>498</v>
      </c>
      <c r="D25" s="422"/>
      <c r="E25" s="422"/>
      <c r="F25" s="422">
        <f>MMF_TABULKA!S92/MMF_TABULKA!S95*100</f>
        <v>0</v>
      </c>
      <c r="G25" s="418">
        <f>MMF_TABULKA!T92/MMF_TABULKA!T95*100</f>
        <v>0</v>
      </c>
      <c r="H25" s="418">
        <f>MMF_TABULKA!U92/MMF_TABULKA!U95*100</f>
        <v>0.44</v>
      </c>
      <c r="I25" s="418">
        <f>MMF_TABULKA!V92/MMF_TABULKA!V95*100</f>
        <v>1.87</v>
      </c>
      <c r="J25" s="216"/>
      <c r="K25" s="393" t="s">
        <v>499</v>
      </c>
      <c r="L25" s="422"/>
      <c r="M25" s="422"/>
      <c r="N25" s="422"/>
      <c r="O25" s="418"/>
      <c r="P25" s="418">
        <f t="shared" si="2"/>
        <v>0.44</v>
      </c>
      <c r="Q25" s="418">
        <f t="shared" si="3"/>
        <v>1.87</v>
      </c>
    </row>
    <row r="26" spans="3:17" ht="13.5" thickBot="1" x14ac:dyDescent="0.25">
      <c r="C26" s="143" t="s">
        <v>500</v>
      </c>
      <c r="D26" s="176" t="s">
        <v>505</v>
      </c>
      <c r="E26" s="404">
        <f>E8-E15</f>
        <v>-4.8934746579132806</v>
      </c>
      <c r="F26" s="404">
        <f t="shared" ref="F26" si="7">F8-F15</f>
        <v>-5.7853712373145498</v>
      </c>
      <c r="G26" s="405">
        <f>G8-G15+G25</f>
        <v>-4.7199999938122303</v>
      </c>
      <c r="H26" s="405">
        <f>H8-H15+H25</f>
        <v>-3.7203331348120563</v>
      </c>
      <c r="I26" s="405">
        <v>-3</v>
      </c>
      <c r="J26" s="216"/>
      <c r="K26" s="143" t="s">
        <v>501</v>
      </c>
      <c r="L26" s="176" t="s">
        <v>505</v>
      </c>
      <c r="M26" s="424">
        <f t="shared" si="4"/>
        <v>-4.8934746579132806</v>
      </c>
      <c r="N26" s="424">
        <f t="shared" si="0"/>
        <v>-5.7853712373145498</v>
      </c>
      <c r="O26" s="425">
        <f t="shared" si="1"/>
        <v>-4.7199999938122303</v>
      </c>
      <c r="P26" s="425">
        <f t="shared" si="2"/>
        <v>-3.7203331348120563</v>
      </c>
      <c r="Q26" s="425">
        <f t="shared" si="3"/>
        <v>-3</v>
      </c>
    </row>
    <row r="27" spans="3:17" ht="13.5" thickBot="1" x14ac:dyDescent="0.25">
      <c r="C27" s="426" t="s">
        <v>502</v>
      </c>
      <c r="D27" s="427"/>
      <c r="E27" s="428"/>
      <c r="F27" s="404">
        <f>F26</f>
        <v>-5.7853712373145498</v>
      </c>
      <c r="G27" s="429">
        <f>G26-G25</f>
        <v>-4.7199999938122303</v>
      </c>
      <c r="H27" s="420">
        <f>H26-H25</f>
        <v>-4.1603331348120562</v>
      </c>
      <c r="I27" s="420">
        <v>-4.9000000000000004</v>
      </c>
      <c r="J27" s="216"/>
      <c r="K27" s="380" t="s">
        <v>572</v>
      </c>
      <c r="L27" s="427"/>
      <c r="M27" s="428"/>
      <c r="N27" s="404">
        <f t="shared" si="0"/>
        <v>-5.7853712373145498</v>
      </c>
      <c r="O27" s="429">
        <f t="shared" si="1"/>
        <v>-4.7199999938122303</v>
      </c>
      <c r="P27" s="420">
        <f t="shared" si="2"/>
        <v>-4.1603331348120562</v>
      </c>
      <c r="Q27" s="420">
        <f t="shared" si="3"/>
        <v>-4.9000000000000004</v>
      </c>
    </row>
    <row r="28" spans="3:17" x14ac:dyDescent="0.2">
      <c r="C28" s="728" t="s">
        <v>503</v>
      </c>
      <c r="D28" s="728"/>
      <c r="E28" s="728"/>
      <c r="F28" s="728"/>
      <c r="G28" s="728"/>
      <c r="H28" s="728"/>
      <c r="I28" s="728"/>
      <c r="K28" s="728" t="s">
        <v>515</v>
      </c>
      <c r="L28" s="728"/>
      <c r="M28" s="728"/>
      <c r="N28" s="728"/>
      <c r="O28" s="728"/>
      <c r="P28" s="728"/>
      <c r="Q28" s="728"/>
    </row>
    <row r="29" spans="3:17" x14ac:dyDescent="0.2">
      <c r="C29" s="729" t="s">
        <v>504</v>
      </c>
      <c r="D29" s="729"/>
      <c r="E29" s="729"/>
      <c r="F29" s="729"/>
      <c r="G29" s="729"/>
      <c r="H29" s="729"/>
      <c r="I29" s="729"/>
      <c r="K29" s="729" t="s">
        <v>504</v>
      </c>
      <c r="L29" s="729"/>
      <c r="M29" s="729"/>
      <c r="N29" s="729"/>
      <c r="O29" s="729"/>
      <c r="P29" s="729"/>
      <c r="Q29" s="729"/>
    </row>
    <row r="30" spans="3:17" x14ac:dyDescent="0.2">
      <c r="I30" s="376" t="s">
        <v>0</v>
      </c>
      <c r="Q30" s="376" t="s">
        <v>209</v>
      </c>
    </row>
  </sheetData>
  <mergeCells count="5">
    <mergeCell ref="K28:Q28"/>
    <mergeCell ref="K29:Q29"/>
    <mergeCell ref="C5:I5"/>
    <mergeCell ref="C28:I28"/>
    <mergeCell ref="C29:I29"/>
  </mergeCells>
  <pageMargins left="0.7" right="0.7" top="0.75" bottom="0.75" header="0.3" footer="0.3"/>
  <pageSetup paperSize="0" orientation="portrait" horizontalDpi="0" verticalDpi="0" copie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árok33"/>
  <dimension ref="A1:O72"/>
  <sheetViews>
    <sheetView showGridLines="0" zoomScaleNormal="100" workbookViewId="0"/>
  </sheetViews>
  <sheetFormatPr defaultColWidth="9.42578125" defaultRowHeight="12.75" x14ac:dyDescent="0.2"/>
  <cols>
    <col min="1" max="2" width="10.5703125" style="209" customWidth="1"/>
    <col min="3" max="3" width="61.28515625" style="209" customWidth="1"/>
    <col min="4" max="4" width="10.5703125" style="209" bestFit="1" customWidth="1"/>
    <col min="5" max="8" width="5.7109375" style="209" customWidth="1"/>
    <col min="9" max="9" width="9.42578125" style="449"/>
    <col min="10" max="10" width="89.42578125" style="209" bestFit="1" customWidth="1"/>
    <col min="11" max="11" width="9" style="209" bestFit="1" customWidth="1"/>
    <col min="12" max="15" width="7.28515625" style="209" customWidth="1"/>
    <col min="16" max="16384" width="9.42578125" style="209"/>
  </cols>
  <sheetData>
    <row r="1" spans="1:15" x14ac:dyDescent="0.2">
      <c r="A1" s="689"/>
      <c r="B1" s="289"/>
    </row>
    <row r="3" spans="1:15" x14ac:dyDescent="0.2">
      <c r="A3" s="226"/>
      <c r="B3" s="226"/>
      <c r="D3" s="226"/>
      <c r="E3" s="226"/>
      <c r="F3" s="450"/>
      <c r="G3" s="226"/>
      <c r="H3" s="226"/>
    </row>
    <row r="4" spans="1:15" x14ac:dyDescent="0.2">
      <c r="A4" s="226"/>
      <c r="B4" s="226"/>
      <c r="C4" s="451" t="s">
        <v>539</v>
      </c>
      <c r="D4" s="452"/>
      <c r="E4" s="452"/>
      <c r="F4" s="452"/>
      <c r="G4" s="452"/>
      <c r="H4" s="452"/>
      <c r="I4" s="453"/>
      <c r="J4" s="451" t="s">
        <v>538</v>
      </c>
      <c r="K4" s="452"/>
      <c r="L4" s="452"/>
      <c r="M4" s="452"/>
      <c r="N4" s="452"/>
      <c r="O4" s="452"/>
    </row>
    <row r="5" spans="1:15" ht="13.5" thickBot="1" x14ac:dyDescent="0.25">
      <c r="A5" s="226"/>
      <c r="B5" s="226"/>
      <c r="C5" s="454"/>
      <c r="D5" s="455" t="s">
        <v>18</v>
      </c>
      <c r="E5" s="456">
        <v>2025</v>
      </c>
      <c r="F5" s="456">
        <v>2026</v>
      </c>
      <c r="G5" s="456">
        <v>2027</v>
      </c>
      <c r="H5" s="456">
        <v>2028</v>
      </c>
      <c r="I5" s="457"/>
      <c r="J5" s="454"/>
      <c r="K5" s="455" t="str">
        <f>D5</f>
        <v>ESA2010</v>
      </c>
      <c r="L5" s="455">
        <f t="shared" ref="L5:L47" si="0">E5</f>
        <v>2025</v>
      </c>
      <c r="M5" s="455">
        <f t="shared" ref="M5:M47" si="1">F5</f>
        <v>2026</v>
      </c>
      <c r="N5" s="455">
        <f t="shared" ref="N5:N47" si="2">G5</f>
        <v>2027</v>
      </c>
      <c r="O5" s="455">
        <f t="shared" ref="O5:O47" si="3">H5</f>
        <v>2028</v>
      </c>
    </row>
    <row r="6" spans="1:15" x14ac:dyDescent="0.2">
      <c r="A6" s="226"/>
      <c r="B6" s="226"/>
      <c r="C6" s="513" t="s">
        <v>318</v>
      </c>
      <c r="D6" s="382"/>
      <c r="E6" s="514">
        <v>1992</v>
      </c>
      <c r="F6" s="514">
        <v>2446</v>
      </c>
      <c r="G6" s="514">
        <v>2505</v>
      </c>
      <c r="H6" s="514">
        <v>2690</v>
      </c>
      <c r="I6" s="457"/>
      <c r="J6" s="513" t="s">
        <v>319</v>
      </c>
      <c r="K6" s="382"/>
      <c r="L6" s="514">
        <f t="shared" si="0"/>
        <v>1992</v>
      </c>
      <c r="M6" s="514">
        <f t="shared" si="1"/>
        <v>2446</v>
      </c>
      <c r="N6" s="514">
        <f t="shared" si="2"/>
        <v>2505</v>
      </c>
      <c r="O6" s="514">
        <f t="shared" si="3"/>
        <v>2690</v>
      </c>
    </row>
    <row r="7" spans="1:15" x14ac:dyDescent="0.2">
      <c r="A7" s="226"/>
      <c r="B7" s="226"/>
      <c r="C7" s="458" t="s">
        <v>795</v>
      </c>
      <c r="D7" s="515"/>
      <c r="E7" s="465">
        <v>756</v>
      </c>
      <c r="F7" s="465">
        <v>793</v>
      </c>
      <c r="G7" s="465">
        <v>760</v>
      </c>
      <c r="H7" s="465">
        <v>774</v>
      </c>
      <c r="I7" s="460"/>
      <c r="J7" s="458" t="s">
        <v>940</v>
      </c>
      <c r="K7" s="515"/>
      <c r="L7" s="465">
        <f t="shared" si="0"/>
        <v>756</v>
      </c>
      <c r="M7" s="465">
        <f t="shared" si="1"/>
        <v>793</v>
      </c>
      <c r="N7" s="465">
        <f t="shared" si="2"/>
        <v>760</v>
      </c>
      <c r="O7" s="465">
        <f t="shared" si="3"/>
        <v>774</v>
      </c>
    </row>
    <row r="8" spans="1:15" x14ac:dyDescent="0.2">
      <c r="A8" s="226"/>
      <c r="B8" s="226"/>
      <c r="C8" s="516" t="s">
        <v>901</v>
      </c>
      <c r="D8" s="139" t="s">
        <v>7</v>
      </c>
      <c r="E8" s="510">
        <v>1230</v>
      </c>
      <c r="F8" s="517">
        <v>1292</v>
      </c>
      <c r="G8" s="517">
        <v>1281</v>
      </c>
      <c r="H8" s="517">
        <v>1324</v>
      </c>
      <c r="I8" s="460"/>
      <c r="J8" s="516" t="s">
        <v>941</v>
      </c>
      <c r="K8" s="139" t="str">
        <f t="shared" ref="K8:K47" si="4">D8</f>
        <v>D.2</v>
      </c>
      <c r="L8" s="510">
        <f t="shared" si="0"/>
        <v>1230</v>
      </c>
      <c r="M8" s="517">
        <f t="shared" si="1"/>
        <v>1292</v>
      </c>
      <c r="N8" s="517">
        <f t="shared" si="2"/>
        <v>1281</v>
      </c>
      <c r="O8" s="517">
        <f t="shared" si="3"/>
        <v>1324</v>
      </c>
    </row>
    <row r="9" spans="1:15" x14ac:dyDescent="0.2">
      <c r="A9" s="226"/>
      <c r="B9" s="226"/>
      <c r="C9" s="516" t="s">
        <v>902</v>
      </c>
      <c r="D9" s="139" t="s">
        <v>7</v>
      </c>
      <c r="E9" s="128">
        <v>-80</v>
      </c>
      <c r="F9" s="139">
        <v>-84</v>
      </c>
      <c r="G9" s="139">
        <v>-88</v>
      </c>
      <c r="H9" s="139">
        <v>-92</v>
      </c>
      <c r="I9" s="460"/>
      <c r="J9" s="516" t="s">
        <v>942</v>
      </c>
      <c r="K9" s="139" t="str">
        <f t="shared" si="4"/>
        <v>D.2</v>
      </c>
      <c r="L9" s="128">
        <f t="shared" si="0"/>
        <v>-80</v>
      </c>
      <c r="M9" s="139">
        <f t="shared" si="1"/>
        <v>-84</v>
      </c>
      <c r="N9" s="139">
        <f t="shared" si="2"/>
        <v>-88</v>
      </c>
      <c r="O9" s="139">
        <f t="shared" si="3"/>
        <v>-92</v>
      </c>
    </row>
    <row r="10" spans="1:15" x14ac:dyDescent="0.2">
      <c r="A10" s="226"/>
      <c r="B10" s="226"/>
      <c r="C10" s="516" t="s">
        <v>903</v>
      </c>
      <c r="D10" s="139" t="s">
        <v>7</v>
      </c>
      <c r="E10" s="128">
        <v>-394</v>
      </c>
      <c r="F10" s="139">
        <v>-414</v>
      </c>
      <c r="G10" s="139">
        <v>-433</v>
      </c>
      <c r="H10" s="139">
        <v>-458</v>
      </c>
      <c r="I10" s="460"/>
      <c r="J10" s="516" t="s">
        <v>943</v>
      </c>
      <c r="K10" s="139" t="str">
        <f t="shared" si="4"/>
        <v>D.2</v>
      </c>
      <c r="L10" s="128">
        <f t="shared" si="0"/>
        <v>-394</v>
      </c>
      <c r="M10" s="139">
        <f t="shared" si="1"/>
        <v>-414</v>
      </c>
      <c r="N10" s="139">
        <f t="shared" si="2"/>
        <v>-433</v>
      </c>
      <c r="O10" s="139">
        <f t="shared" si="3"/>
        <v>-458</v>
      </c>
    </row>
    <row r="11" spans="1:15" x14ac:dyDescent="0.2">
      <c r="A11" s="226"/>
      <c r="B11" s="226"/>
      <c r="C11" s="458" t="s">
        <v>904</v>
      </c>
      <c r="D11" s="518"/>
      <c r="E11" s="141">
        <v>468</v>
      </c>
      <c r="F11" s="465">
        <v>674</v>
      </c>
      <c r="G11" s="465">
        <v>706</v>
      </c>
      <c r="H11" s="465">
        <v>743</v>
      </c>
      <c r="I11" s="460"/>
      <c r="J11" s="458" t="s">
        <v>944</v>
      </c>
      <c r="K11" s="518"/>
      <c r="L11" s="141">
        <f t="shared" si="0"/>
        <v>468</v>
      </c>
      <c r="M11" s="465">
        <f t="shared" si="1"/>
        <v>674</v>
      </c>
      <c r="N11" s="465">
        <f t="shared" si="2"/>
        <v>706</v>
      </c>
      <c r="O11" s="465">
        <f t="shared" si="3"/>
        <v>743</v>
      </c>
    </row>
    <row r="12" spans="1:15" x14ac:dyDescent="0.2">
      <c r="A12" s="226"/>
      <c r="B12" s="226"/>
      <c r="C12" s="516" t="s">
        <v>778</v>
      </c>
      <c r="D12" s="139" t="s">
        <v>7</v>
      </c>
      <c r="E12" s="139">
        <v>517</v>
      </c>
      <c r="F12" s="139">
        <v>723</v>
      </c>
      <c r="G12" s="139">
        <v>755</v>
      </c>
      <c r="H12" s="139">
        <v>792</v>
      </c>
      <c r="I12" s="460"/>
      <c r="J12" s="516" t="s">
        <v>945</v>
      </c>
      <c r="K12" s="139" t="str">
        <f t="shared" si="4"/>
        <v>D.2</v>
      </c>
      <c r="L12" s="139">
        <f t="shared" si="0"/>
        <v>517</v>
      </c>
      <c r="M12" s="139">
        <f t="shared" si="1"/>
        <v>723</v>
      </c>
      <c r="N12" s="139">
        <f t="shared" si="2"/>
        <v>755</v>
      </c>
      <c r="O12" s="139">
        <f t="shared" si="3"/>
        <v>792</v>
      </c>
    </row>
    <row r="13" spans="1:15" x14ac:dyDescent="0.2">
      <c r="A13" s="226"/>
      <c r="B13" s="226"/>
      <c r="C13" s="516" t="s">
        <v>905</v>
      </c>
      <c r="D13" s="139" t="s">
        <v>9</v>
      </c>
      <c r="E13" s="128">
        <v>-45</v>
      </c>
      <c r="F13" s="139">
        <v>-45</v>
      </c>
      <c r="G13" s="139">
        <v>-45</v>
      </c>
      <c r="H13" s="139">
        <v>-45</v>
      </c>
      <c r="I13" s="460"/>
      <c r="J13" s="516" t="s">
        <v>946</v>
      </c>
      <c r="K13" s="139" t="str">
        <f t="shared" si="4"/>
        <v>D.5</v>
      </c>
      <c r="L13" s="128">
        <f t="shared" si="0"/>
        <v>-45</v>
      </c>
      <c r="M13" s="139">
        <f t="shared" si="1"/>
        <v>-45</v>
      </c>
      <c r="N13" s="139">
        <f t="shared" si="2"/>
        <v>-45</v>
      </c>
      <c r="O13" s="139">
        <f t="shared" si="3"/>
        <v>-45</v>
      </c>
    </row>
    <row r="14" spans="1:15" x14ac:dyDescent="0.2">
      <c r="A14" s="226"/>
      <c r="B14" s="226"/>
      <c r="C14" s="516" t="s">
        <v>906</v>
      </c>
      <c r="D14" s="139" t="s">
        <v>9</v>
      </c>
      <c r="E14" s="128">
        <v>-4</v>
      </c>
      <c r="F14" s="139">
        <v>-4</v>
      </c>
      <c r="G14" s="139">
        <v>-4</v>
      </c>
      <c r="H14" s="139">
        <v>-4</v>
      </c>
      <c r="I14" s="460"/>
      <c r="J14" s="516" t="s">
        <v>947</v>
      </c>
      <c r="K14" s="139" t="str">
        <f t="shared" si="4"/>
        <v>D.5</v>
      </c>
      <c r="L14" s="128">
        <f t="shared" si="0"/>
        <v>-4</v>
      </c>
      <c r="M14" s="139">
        <f t="shared" si="1"/>
        <v>-4</v>
      </c>
      <c r="N14" s="139">
        <f t="shared" si="2"/>
        <v>-4</v>
      </c>
      <c r="O14" s="139">
        <f t="shared" si="3"/>
        <v>-4</v>
      </c>
    </row>
    <row r="15" spans="1:15" x14ac:dyDescent="0.2">
      <c r="A15" s="226"/>
      <c r="B15" s="226"/>
      <c r="C15" s="458" t="s">
        <v>907</v>
      </c>
      <c r="D15" s="518"/>
      <c r="E15" s="141">
        <v>483</v>
      </c>
      <c r="F15" s="465">
        <v>494</v>
      </c>
      <c r="G15" s="465">
        <v>495</v>
      </c>
      <c r="H15" s="465">
        <v>490</v>
      </c>
      <c r="I15" s="462"/>
      <c r="J15" s="458" t="s">
        <v>948</v>
      </c>
      <c r="K15" s="518"/>
      <c r="L15" s="141">
        <f t="shared" si="0"/>
        <v>483</v>
      </c>
      <c r="M15" s="465">
        <f t="shared" si="1"/>
        <v>494</v>
      </c>
      <c r="N15" s="465">
        <f t="shared" si="2"/>
        <v>495</v>
      </c>
      <c r="O15" s="465">
        <f t="shared" si="3"/>
        <v>490</v>
      </c>
    </row>
    <row r="16" spans="1:15" x14ac:dyDescent="0.2">
      <c r="A16" s="226"/>
      <c r="B16" s="226"/>
      <c r="C16" s="516" t="s">
        <v>799</v>
      </c>
      <c r="D16" s="139" t="s">
        <v>9</v>
      </c>
      <c r="E16" s="128">
        <v>489</v>
      </c>
      <c r="F16" s="139">
        <v>505</v>
      </c>
      <c r="G16" s="139">
        <v>521</v>
      </c>
      <c r="H16" s="139">
        <v>543</v>
      </c>
      <c r="I16" s="460"/>
      <c r="J16" s="516" t="s">
        <v>949</v>
      </c>
      <c r="K16" s="139" t="str">
        <f t="shared" si="4"/>
        <v>D.5</v>
      </c>
      <c r="L16" s="128">
        <f t="shared" si="0"/>
        <v>489</v>
      </c>
      <c r="M16" s="139">
        <f t="shared" si="1"/>
        <v>505</v>
      </c>
      <c r="N16" s="139">
        <f t="shared" si="2"/>
        <v>521</v>
      </c>
      <c r="O16" s="139">
        <f t="shared" si="3"/>
        <v>543</v>
      </c>
    </row>
    <row r="17" spans="1:15" x14ac:dyDescent="0.2">
      <c r="A17" s="226"/>
      <c r="B17" s="226"/>
      <c r="C17" s="519" t="s">
        <v>932</v>
      </c>
      <c r="D17" s="139" t="s">
        <v>9</v>
      </c>
      <c r="E17" s="128">
        <v>-6</v>
      </c>
      <c r="F17" s="139">
        <v>-11</v>
      </c>
      <c r="G17" s="139">
        <v>-26</v>
      </c>
      <c r="H17" s="139">
        <v>-53</v>
      </c>
      <c r="I17" s="460"/>
      <c r="J17" s="519" t="s">
        <v>950</v>
      </c>
      <c r="K17" s="139" t="str">
        <f t="shared" si="4"/>
        <v>D.5</v>
      </c>
      <c r="L17" s="128">
        <f t="shared" si="0"/>
        <v>-6</v>
      </c>
      <c r="M17" s="139">
        <f t="shared" si="1"/>
        <v>-11</v>
      </c>
      <c r="N17" s="139">
        <f t="shared" si="2"/>
        <v>-26</v>
      </c>
      <c r="O17" s="139">
        <f t="shared" si="3"/>
        <v>-53</v>
      </c>
    </row>
    <row r="18" spans="1:15" x14ac:dyDescent="0.2">
      <c r="A18" s="226"/>
      <c r="B18" s="226"/>
      <c r="C18" s="458" t="s">
        <v>908</v>
      </c>
      <c r="D18" s="139"/>
      <c r="E18" s="141">
        <v>86</v>
      </c>
      <c r="F18" s="465">
        <v>230</v>
      </c>
      <c r="G18" s="465">
        <v>284</v>
      </c>
      <c r="H18" s="465">
        <v>407</v>
      </c>
      <c r="I18" s="460"/>
      <c r="J18" s="458" t="s">
        <v>951</v>
      </c>
      <c r="K18" s="139"/>
      <c r="L18" s="141">
        <f t="shared" si="0"/>
        <v>86</v>
      </c>
      <c r="M18" s="465">
        <f t="shared" si="1"/>
        <v>230</v>
      </c>
      <c r="N18" s="465">
        <f t="shared" si="2"/>
        <v>284</v>
      </c>
      <c r="O18" s="465">
        <f t="shared" si="3"/>
        <v>407</v>
      </c>
    </row>
    <row r="19" spans="1:15" x14ac:dyDescent="0.2">
      <c r="A19" s="226"/>
      <c r="B19" s="226"/>
      <c r="C19" s="516" t="s">
        <v>770</v>
      </c>
      <c r="D19" s="139" t="s">
        <v>7</v>
      </c>
      <c r="E19" s="128">
        <v>78</v>
      </c>
      <c r="F19" s="139">
        <v>108</v>
      </c>
      <c r="G19" s="139">
        <v>110</v>
      </c>
      <c r="H19" s="139">
        <v>112</v>
      </c>
      <c r="I19" s="460"/>
      <c r="J19" s="516" t="s">
        <v>952</v>
      </c>
      <c r="K19" s="139" t="str">
        <f t="shared" si="4"/>
        <v>D.2</v>
      </c>
      <c r="L19" s="128">
        <f t="shared" si="0"/>
        <v>78</v>
      </c>
      <c r="M19" s="139">
        <f t="shared" si="1"/>
        <v>108</v>
      </c>
      <c r="N19" s="139">
        <f t="shared" si="2"/>
        <v>110</v>
      </c>
      <c r="O19" s="139">
        <f t="shared" si="3"/>
        <v>112</v>
      </c>
    </row>
    <row r="20" spans="1:15" x14ac:dyDescent="0.2">
      <c r="A20" s="226"/>
      <c r="B20" s="226"/>
      <c r="C20" s="516" t="s">
        <v>909</v>
      </c>
      <c r="D20" s="139" t="s">
        <v>7</v>
      </c>
      <c r="E20" s="128" t="s">
        <v>207</v>
      </c>
      <c r="F20" s="139">
        <v>106</v>
      </c>
      <c r="G20" s="139">
        <v>153</v>
      </c>
      <c r="H20" s="139">
        <v>264</v>
      </c>
      <c r="I20" s="460"/>
      <c r="J20" s="516" t="s">
        <v>431</v>
      </c>
      <c r="K20" s="139" t="str">
        <f t="shared" si="4"/>
        <v>D.2</v>
      </c>
      <c r="L20" s="128" t="str">
        <f t="shared" si="0"/>
        <v>-</v>
      </c>
      <c r="M20" s="139">
        <f t="shared" si="1"/>
        <v>106</v>
      </c>
      <c r="N20" s="139">
        <f t="shared" si="2"/>
        <v>153</v>
      </c>
      <c r="O20" s="139">
        <f t="shared" si="3"/>
        <v>264</v>
      </c>
    </row>
    <row r="21" spans="1:15" s="214" customFormat="1" x14ac:dyDescent="0.25">
      <c r="A21" s="463"/>
      <c r="B21" s="463"/>
      <c r="C21" s="516" t="s">
        <v>910</v>
      </c>
      <c r="D21" s="139" t="s">
        <v>7</v>
      </c>
      <c r="E21" s="128">
        <v>8</v>
      </c>
      <c r="F21" s="139">
        <v>16</v>
      </c>
      <c r="G21" s="139">
        <v>20</v>
      </c>
      <c r="H21" s="139">
        <v>31</v>
      </c>
      <c r="I21" s="460"/>
      <c r="J21" s="516" t="s">
        <v>953</v>
      </c>
      <c r="K21" s="139" t="str">
        <f t="shared" si="4"/>
        <v>D.2</v>
      </c>
      <c r="L21" s="128">
        <f t="shared" si="0"/>
        <v>8</v>
      </c>
      <c r="M21" s="139">
        <f t="shared" si="1"/>
        <v>16</v>
      </c>
      <c r="N21" s="139">
        <f t="shared" si="2"/>
        <v>20</v>
      </c>
      <c r="O21" s="139">
        <f t="shared" si="3"/>
        <v>31</v>
      </c>
    </row>
    <row r="22" spans="1:15" x14ac:dyDescent="0.2">
      <c r="A22" s="226"/>
      <c r="B22" s="226"/>
      <c r="C22" s="458" t="s">
        <v>911</v>
      </c>
      <c r="D22" s="139"/>
      <c r="E22" s="141">
        <v>78</v>
      </c>
      <c r="F22" s="465">
        <v>130</v>
      </c>
      <c r="G22" s="465">
        <v>130</v>
      </c>
      <c r="H22" s="465">
        <v>128</v>
      </c>
      <c r="I22" s="460"/>
      <c r="J22" s="458" t="s">
        <v>954</v>
      </c>
      <c r="K22" s="139"/>
      <c r="L22" s="141">
        <f t="shared" si="0"/>
        <v>78</v>
      </c>
      <c r="M22" s="465">
        <f t="shared" si="1"/>
        <v>130</v>
      </c>
      <c r="N22" s="465">
        <f t="shared" si="2"/>
        <v>130</v>
      </c>
      <c r="O22" s="465">
        <f t="shared" si="3"/>
        <v>128</v>
      </c>
    </row>
    <row r="23" spans="1:15" x14ac:dyDescent="0.2">
      <c r="A23" s="226"/>
      <c r="B23" s="226"/>
      <c r="C23" s="516" t="s">
        <v>912</v>
      </c>
      <c r="D23" s="139" t="s">
        <v>321</v>
      </c>
      <c r="E23" s="128">
        <v>49</v>
      </c>
      <c r="F23" s="139">
        <v>99</v>
      </c>
      <c r="G23" s="139">
        <v>101</v>
      </c>
      <c r="H23" s="139">
        <v>103</v>
      </c>
      <c r="I23" s="460"/>
      <c r="J23" s="516" t="s">
        <v>955</v>
      </c>
      <c r="K23" s="139" t="str">
        <f t="shared" si="4"/>
        <v>P.11</v>
      </c>
      <c r="L23" s="128">
        <f t="shared" si="0"/>
        <v>49</v>
      </c>
      <c r="M23" s="139">
        <f t="shared" si="1"/>
        <v>99</v>
      </c>
      <c r="N23" s="139">
        <f t="shared" si="2"/>
        <v>101</v>
      </c>
      <c r="O23" s="139">
        <f t="shared" si="3"/>
        <v>103</v>
      </c>
    </row>
    <row r="24" spans="1:15" x14ac:dyDescent="0.2">
      <c r="A24" s="226"/>
      <c r="B24" s="226"/>
      <c r="C24" s="516" t="s">
        <v>913</v>
      </c>
      <c r="D24" s="139" t="s">
        <v>914</v>
      </c>
      <c r="E24" s="128">
        <v>45</v>
      </c>
      <c r="F24" s="139">
        <v>50</v>
      </c>
      <c r="G24" s="139">
        <v>52</v>
      </c>
      <c r="H24" s="139">
        <v>54</v>
      </c>
      <c r="I24" s="460"/>
      <c r="J24" s="516" t="s">
        <v>956</v>
      </c>
      <c r="K24" s="139" t="str">
        <f t="shared" si="4"/>
        <v>D.2/P.11</v>
      </c>
      <c r="L24" s="128">
        <f t="shared" si="0"/>
        <v>45</v>
      </c>
      <c r="M24" s="139">
        <f t="shared" si="1"/>
        <v>50</v>
      </c>
      <c r="N24" s="139">
        <f t="shared" si="2"/>
        <v>52</v>
      </c>
      <c r="O24" s="139">
        <f t="shared" si="3"/>
        <v>54</v>
      </c>
    </row>
    <row r="25" spans="1:15" x14ac:dyDescent="0.2">
      <c r="A25" s="226"/>
      <c r="B25" s="226"/>
      <c r="C25" s="516" t="s">
        <v>776</v>
      </c>
      <c r="D25" s="139" t="s">
        <v>7</v>
      </c>
      <c r="E25" s="128">
        <v>-32</v>
      </c>
      <c r="F25" s="139">
        <v>-32</v>
      </c>
      <c r="G25" s="139">
        <v>-32</v>
      </c>
      <c r="H25" s="139">
        <v>-32</v>
      </c>
      <c r="I25" s="460"/>
      <c r="J25" s="516" t="s">
        <v>959</v>
      </c>
      <c r="K25" s="139" t="str">
        <f t="shared" si="4"/>
        <v>D.2</v>
      </c>
      <c r="L25" s="128">
        <f t="shared" si="0"/>
        <v>-32</v>
      </c>
      <c r="M25" s="139">
        <f t="shared" si="1"/>
        <v>-32</v>
      </c>
      <c r="N25" s="139">
        <f t="shared" si="2"/>
        <v>-32</v>
      </c>
      <c r="O25" s="139">
        <f t="shared" si="3"/>
        <v>-32</v>
      </c>
    </row>
    <row r="26" spans="1:15" x14ac:dyDescent="0.2">
      <c r="A26" s="226"/>
      <c r="B26" s="226"/>
      <c r="C26" s="516" t="s">
        <v>915</v>
      </c>
      <c r="D26" s="139" t="s">
        <v>7</v>
      </c>
      <c r="E26" s="128">
        <v>27</v>
      </c>
      <c r="F26" s="139">
        <v>27</v>
      </c>
      <c r="G26" s="139">
        <v>27</v>
      </c>
      <c r="H26" s="139">
        <v>27</v>
      </c>
      <c r="I26" s="460"/>
      <c r="J26" s="516" t="s">
        <v>957</v>
      </c>
      <c r="K26" s="139" t="str">
        <f t="shared" si="4"/>
        <v>D.2</v>
      </c>
      <c r="L26" s="128">
        <f t="shared" si="0"/>
        <v>27</v>
      </c>
      <c r="M26" s="139">
        <f t="shared" si="1"/>
        <v>27</v>
      </c>
      <c r="N26" s="139">
        <f t="shared" si="2"/>
        <v>27</v>
      </c>
      <c r="O26" s="139">
        <f t="shared" si="3"/>
        <v>27</v>
      </c>
    </row>
    <row r="27" spans="1:15" x14ac:dyDescent="0.2">
      <c r="A27" s="226"/>
      <c r="B27" s="226"/>
      <c r="C27" s="516" t="s">
        <v>780</v>
      </c>
      <c r="D27" s="139" t="s">
        <v>916</v>
      </c>
      <c r="E27" s="128">
        <v>-11</v>
      </c>
      <c r="F27" s="139">
        <v>-14</v>
      </c>
      <c r="G27" s="139">
        <v>-18</v>
      </c>
      <c r="H27" s="139">
        <v>-25</v>
      </c>
      <c r="I27" s="468"/>
      <c r="J27" s="516" t="s">
        <v>958</v>
      </c>
      <c r="K27" s="139" t="str">
        <f t="shared" si="4"/>
        <v>D.5/D.6</v>
      </c>
      <c r="L27" s="128">
        <f t="shared" si="0"/>
        <v>-11</v>
      </c>
      <c r="M27" s="139">
        <f t="shared" si="1"/>
        <v>-14</v>
      </c>
      <c r="N27" s="139">
        <f t="shared" si="2"/>
        <v>-18</v>
      </c>
      <c r="O27" s="139">
        <f t="shared" si="3"/>
        <v>-25</v>
      </c>
    </row>
    <row r="28" spans="1:15" x14ac:dyDescent="0.2">
      <c r="A28" s="226"/>
      <c r="B28" s="226"/>
      <c r="C28" s="458" t="s">
        <v>917</v>
      </c>
      <c r="D28" s="139"/>
      <c r="E28" s="141">
        <v>34</v>
      </c>
      <c r="F28" s="465">
        <v>32</v>
      </c>
      <c r="G28" s="465">
        <v>33</v>
      </c>
      <c r="H28" s="465">
        <v>50</v>
      </c>
      <c r="I28" s="468"/>
      <c r="J28" s="458" t="s">
        <v>960</v>
      </c>
      <c r="K28" s="139"/>
      <c r="L28" s="141">
        <f t="shared" si="0"/>
        <v>34</v>
      </c>
      <c r="M28" s="465">
        <f t="shared" si="1"/>
        <v>32</v>
      </c>
      <c r="N28" s="465">
        <f t="shared" si="2"/>
        <v>33</v>
      </c>
      <c r="O28" s="465">
        <f t="shared" si="3"/>
        <v>50</v>
      </c>
    </row>
    <row r="29" spans="1:15" x14ac:dyDescent="0.2">
      <c r="A29" s="226"/>
      <c r="B29" s="226"/>
      <c r="C29" s="516" t="s">
        <v>918</v>
      </c>
      <c r="D29" s="139" t="s">
        <v>9</v>
      </c>
      <c r="E29" s="128">
        <v>36</v>
      </c>
      <c r="F29" s="139">
        <v>36</v>
      </c>
      <c r="G29" s="139">
        <v>36</v>
      </c>
      <c r="H29" s="139">
        <v>36</v>
      </c>
      <c r="I29" s="468"/>
      <c r="J29" s="516" t="s">
        <v>961</v>
      </c>
      <c r="K29" s="139" t="str">
        <f t="shared" si="4"/>
        <v>D.5</v>
      </c>
      <c r="L29" s="128">
        <f t="shared" si="0"/>
        <v>36</v>
      </c>
      <c r="M29" s="139">
        <f t="shared" si="1"/>
        <v>36</v>
      </c>
      <c r="N29" s="139">
        <f t="shared" si="2"/>
        <v>36</v>
      </c>
      <c r="O29" s="139">
        <f t="shared" si="3"/>
        <v>36</v>
      </c>
    </row>
    <row r="30" spans="1:15" x14ac:dyDescent="0.2">
      <c r="A30" s="226"/>
      <c r="B30" s="226"/>
      <c r="C30" s="516" t="s">
        <v>919</v>
      </c>
      <c r="D30" s="139" t="s">
        <v>9</v>
      </c>
      <c r="E30" s="128">
        <v>25</v>
      </c>
      <c r="F30" s="139">
        <v>25</v>
      </c>
      <c r="G30" s="139">
        <v>25</v>
      </c>
      <c r="H30" s="139">
        <v>25</v>
      </c>
      <c r="I30" s="468"/>
      <c r="J30" s="516" t="s">
        <v>962</v>
      </c>
      <c r="K30" s="139" t="str">
        <f t="shared" si="4"/>
        <v>D.5</v>
      </c>
      <c r="L30" s="128">
        <f t="shared" si="0"/>
        <v>25</v>
      </c>
      <c r="M30" s="139">
        <f t="shared" si="1"/>
        <v>25</v>
      </c>
      <c r="N30" s="139">
        <f t="shared" si="2"/>
        <v>25</v>
      </c>
      <c r="O30" s="139">
        <f t="shared" si="3"/>
        <v>25</v>
      </c>
    </row>
    <row r="31" spans="1:15" x14ac:dyDescent="0.2">
      <c r="A31" s="226"/>
      <c r="B31" s="226"/>
      <c r="C31" s="516" t="s">
        <v>931</v>
      </c>
      <c r="D31" s="139" t="s">
        <v>9</v>
      </c>
      <c r="E31" s="128">
        <v>-28</v>
      </c>
      <c r="F31" s="139">
        <v>-29</v>
      </c>
      <c r="G31" s="139">
        <v>-28</v>
      </c>
      <c r="H31" s="139">
        <v>-12</v>
      </c>
      <c r="I31" s="468"/>
      <c r="J31" s="516" t="s">
        <v>963</v>
      </c>
      <c r="K31" s="139" t="str">
        <f t="shared" si="4"/>
        <v>D.5</v>
      </c>
      <c r="L31" s="128">
        <f t="shared" si="0"/>
        <v>-28</v>
      </c>
      <c r="M31" s="139">
        <f t="shared" si="1"/>
        <v>-29</v>
      </c>
      <c r="N31" s="139">
        <f t="shared" si="2"/>
        <v>-28</v>
      </c>
      <c r="O31" s="139">
        <f t="shared" si="3"/>
        <v>-12</v>
      </c>
    </row>
    <row r="32" spans="1:15" ht="13.5" thickBot="1" x14ac:dyDescent="0.25">
      <c r="A32" s="226"/>
      <c r="B32" s="226"/>
      <c r="C32" s="520" t="s">
        <v>797</v>
      </c>
      <c r="D32" s="381" t="s">
        <v>312</v>
      </c>
      <c r="E32" s="383">
        <v>88</v>
      </c>
      <c r="F32" s="381">
        <v>92</v>
      </c>
      <c r="G32" s="381">
        <v>96</v>
      </c>
      <c r="H32" s="381">
        <v>100</v>
      </c>
      <c r="I32" s="468"/>
      <c r="J32" s="520" t="s">
        <v>964</v>
      </c>
      <c r="K32" s="381" t="str">
        <f t="shared" si="4"/>
        <v>D.61</v>
      </c>
      <c r="L32" s="383">
        <f t="shared" si="0"/>
        <v>88</v>
      </c>
      <c r="M32" s="381">
        <f t="shared" si="1"/>
        <v>92</v>
      </c>
      <c r="N32" s="381">
        <f t="shared" si="2"/>
        <v>96</v>
      </c>
      <c r="O32" s="381">
        <f t="shared" si="3"/>
        <v>100</v>
      </c>
    </row>
    <row r="33" spans="1:15" x14ac:dyDescent="0.2">
      <c r="A33" s="226"/>
      <c r="B33" s="226"/>
      <c r="C33" s="513" t="s">
        <v>317</v>
      </c>
      <c r="D33" s="382"/>
      <c r="E33" s="530">
        <f>SUM(E34,E39,E42)</f>
        <v>91.050242470479361</v>
      </c>
      <c r="F33" s="535">
        <f t="shared" ref="F33:H33" si="5">SUM(F34,F39,F42)</f>
        <v>77.829242000000022</v>
      </c>
      <c r="G33" s="535">
        <f t="shared" si="5"/>
        <v>89.430301269207575</v>
      </c>
      <c r="H33" s="535">
        <f t="shared" si="5"/>
        <v>103.33424200000002</v>
      </c>
      <c r="I33" s="468"/>
      <c r="J33" s="513" t="s">
        <v>320</v>
      </c>
      <c r="K33" s="382"/>
      <c r="L33" s="535">
        <f t="shared" si="0"/>
        <v>91.050242470479361</v>
      </c>
      <c r="M33" s="535">
        <f t="shared" si="1"/>
        <v>77.829242000000022</v>
      </c>
      <c r="N33" s="535">
        <f t="shared" si="2"/>
        <v>89.430301269207575</v>
      </c>
      <c r="O33" s="535">
        <f t="shared" si="3"/>
        <v>103.33424200000002</v>
      </c>
    </row>
    <row r="34" spans="1:15" x14ac:dyDescent="0.2">
      <c r="A34" s="226"/>
      <c r="B34" s="226"/>
      <c r="C34" s="521" t="s">
        <v>920</v>
      </c>
      <c r="D34" s="515"/>
      <c r="E34" s="537">
        <v>-525.46685952952066</v>
      </c>
      <c r="F34" s="465">
        <v>-481</v>
      </c>
      <c r="G34" s="537">
        <v>-498.35058073079244</v>
      </c>
      <c r="H34" s="465">
        <v>-514</v>
      </c>
      <c r="I34" s="468"/>
      <c r="J34" s="521" t="s">
        <v>965</v>
      </c>
      <c r="K34" s="515"/>
      <c r="L34" s="537">
        <f t="shared" si="0"/>
        <v>-525.46685952952066</v>
      </c>
      <c r="M34" s="537">
        <f t="shared" si="1"/>
        <v>-481</v>
      </c>
      <c r="N34" s="537">
        <f t="shared" si="2"/>
        <v>-498.35058073079244</v>
      </c>
      <c r="O34" s="537">
        <f t="shared" si="3"/>
        <v>-514</v>
      </c>
    </row>
    <row r="35" spans="1:15" x14ac:dyDescent="0.2">
      <c r="A35" s="226"/>
      <c r="B35" s="226"/>
      <c r="C35" s="522" t="s">
        <v>921</v>
      </c>
      <c r="D35" s="515"/>
      <c r="E35" s="128">
        <v>-352</v>
      </c>
      <c r="F35" s="139">
        <v>-309</v>
      </c>
      <c r="G35" s="139">
        <v>-326</v>
      </c>
      <c r="H35" s="139">
        <v>-343</v>
      </c>
      <c r="I35" s="468"/>
      <c r="J35" s="522" t="s">
        <v>966</v>
      </c>
      <c r="K35" s="515"/>
      <c r="L35" s="464">
        <f t="shared" si="0"/>
        <v>-352</v>
      </c>
      <c r="M35" s="536">
        <f t="shared" si="1"/>
        <v>-309</v>
      </c>
      <c r="N35" s="536">
        <f t="shared" si="2"/>
        <v>-326</v>
      </c>
      <c r="O35" s="536">
        <f t="shared" si="3"/>
        <v>-343</v>
      </c>
    </row>
    <row r="36" spans="1:15" x14ac:dyDescent="0.2">
      <c r="A36" s="226"/>
      <c r="B36" s="226"/>
      <c r="C36" s="529" t="s">
        <v>969</v>
      </c>
      <c r="D36" s="523" t="s">
        <v>226</v>
      </c>
      <c r="E36" s="524">
        <v>-352</v>
      </c>
      <c r="F36" s="523">
        <v>-374</v>
      </c>
      <c r="G36" s="523">
        <v>-397</v>
      </c>
      <c r="H36" s="523">
        <v>-419</v>
      </c>
      <c r="I36" s="468"/>
      <c r="J36" s="529" t="s">
        <v>967</v>
      </c>
      <c r="K36" s="523" t="str">
        <f t="shared" si="4"/>
        <v>D.6</v>
      </c>
      <c r="L36" s="539">
        <f t="shared" si="0"/>
        <v>-352</v>
      </c>
      <c r="M36" s="540">
        <f t="shared" si="1"/>
        <v>-374</v>
      </c>
      <c r="N36" s="540">
        <f t="shared" si="2"/>
        <v>-397</v>
      </c>
      <c r="O36" s="540">
        <f t="shared" si="3"/>
        <v>-419</v>
      </c>
    </row>
    <row r="37" spans="1:15" x14ac:dyDescent="0.2">
      <c r="A37" s="226"/>
      <c r="B37" s="226"/>
      <c r="C37" s="529" t="s">
        <v>970</v>
      </c>
      <c r="D37" s="523" t="s">
        <v>922</v>
      </c>
      <c r="E37" s="524" t="s">
        <v>207</v>
      </c>
      <c r="F37" s="523">
        <v>65</v>
      </c>
      <c r="G37" s="523">
        <v>71</v>
      </c>
      <c r="H37" s="523">
        <v>76</v>
      </c>
      <c r="I37" s="468"/>
      <c r="J37" s="529" t="s">
        <v>968</v>
      </c>
      <c r="K37" s="523" t="str">
        <f t="shared" si="4"/>
        <v>D.7</v>
      </c>
      <c r="L37" s="539" t="str">
        <f t="shared" si="0"/>
        <v>-</v>
      </c>
      <c r="M37" s="540">
        <f t="shared" si="1"/>
        <v>65</v>
      </c>
      <c r="N37" s="540">
        <f t="shared" si="2"/>
        <v>71</v>
      </c>
      <c r="O37" s="540">
        <f t="shared" si="3"/>
        <v>76</v>
      </c>
    </row>
    <row r="38" spans="1:15" x14ac:dyDescent="0.2">
      <c r="A38" s="226"/>
      <c r="B38" s="226"/>
      <c r="C38" s="522" t="s">
        <v>734</v>
      </c>
      <c r="D38" s="139" t="s">
        <v>226</v>
      </c>
      <c r="E38" s="128">
        <v>-170</v>
      </c>
      <c r="F38" s="139">
        <v>-168</v>
      </c>
      <c r="G38" s="139">
        <v>-168</v>
      </c>
      <c r="H38" s="139">
        <v>-166</v>
      </c>
      <c r="I38" s="468"/>
      <c r="J38" s="522" t="s">
        <v>971</v>
      </c>
      <c r="K38" s="139" t="str">
        <f t="shared" si="4"/>
        <v>D.6</v>
      </c>
      <c r="L38" s="464">
        <f t="shared" si="0"/>
        <v>-170</v>
      </c>
      <c r="M38" s="536">
        <f t="shared" si="1"/>
        <v>-168</v>
      </c>
      <c r="N38" s="536">
        <f t="shared" si="2"/>
        <v>-168</v>
      </c>
      <c r="O38" s="536">
        <f t="shared" si="3"/>
        <v>-166</v>
      </c>
    </row>
    <row r="39" spans="1:15" x14ac:dyDescent="0.2">
      <c r="A39" s="226"/>
      <c r="B39" s="226"/>
      <c r="C39" s="521" t="s">
        <v>923</v>
      </c>
      <c r="D39" s="139"/>
      <c r="E39" s="141">
        <v>-268</v>
      </c>
      <c r="F39" s="465">
        <v>-357</v>
      </c>
      <c r="G39" s="537">
        <v>-371.08735999999999</v>
      </c>
      <c r="H39" s="465">
        <v>-384</v>
      </c>
      <c r="I39" s="468"/>
      <c r="J39" s="521" t="s">
        <v>972</v>
      </c>
      <c r="K39" s="139"/>
      <c r="L39" s="534">
        <f t="shared" si="0"/>
        <v>-268</v>
      </c>
      <c r="M39" s="537">
        <f t="shared" si="1"/>
        <v>-357</v>
      </c>
      <c r="N39" s="537">
        <f t="shared" si="2"/>
        <v>-371.08735999999999</v>
      </c>
      <c r="O39" s="537">
        <f t="shared" si="3"/>
        <v>-384</v>
      </c>
    </row>
    <row r="40" spans="1:15" x14ac:dyDescent="0.2">
      <c r="A40" s="226"/>
      <c r="B40" s="226"/>
      <c r="C40" s="522" t="s">
        <v>924</v>
      </c>
      <c r="D40" s="139" t="s">
        <v>925</v>
      </c>
      <c r="E40" s="128">
        <v>-219</v>
      </c>
      <c r="F40" s="139">
        <v>-233</v>
      </c>
      <c r="G40" s="139">
        <v>-247</v>
      </c>
      <c r="H40" s="139">
        <v>-260</v>
      </c>
      <c r="I40" s="468"/>
      <c r="J40" s="522" t="s">
        <v>973</v>
      </c>
      <c r="K40" s="139" t="str">
        <f t="shared" si="4"/>
        <v>D.1/D.632</v>
      </c>
      <c r="L40" s="464">
        <f t="shared" si="0"/>
        <v>-219</v>
      </c>
      <c r="M40" s="536">
        <f t="shared" si="1"/>
        <v>-233</v>
      </c>
      <c r="N40" s="536">
        <f t="shared" si="2"/>
        <v>-247</v>
      </c>
      <c r="O40" s="536">
        <f t="shared" si="3"/>
        <v>-260</v>
      </c>
    </row>
    <row r="41" spans="1:15" x14ac:dyDescent="0.2">
      <c r="A41" s="226"/>
      <c r="B41" s="226"/>
      <c r="C41" s="522" t="s">
        <v>926</v>
      </c>
      <c r="D41" s="139" t="s">
        <v>314</v>
      </c>
      <c r="E41" s="128">
        <v>-49</v>
      </c>
      <c r="F41" s="139">
        <v>-124</v>
      </c>
      <c r="G41" s="139">
        <v>-124</v>
      </c>
      <c r="H41" s="139">
        <v>-124</v>
      </c>
      <c r="I41" s="468"/>
      <c r="J41" s="522" t="s">
        <v>974</v>
      </c>
      <c r="K41" s="139" t="str">
        <f t="shared" si="4"/>
        <v>D.1</v>
      </c>
      <c r="L41" s="464">
        <f t="shared" si="0"/>
        <v>-49</v>
      </c>
      <c r="M41" s="536">
        <f t="shared" si="1"/>
        <v>-124</v>
      </c>
      <c r="N41" s="536">
        <f t="shared" si="2"/>
        <v>-124</v>
      </c>
      <c r="O41" s="536">
        <f t="shared" si="3"/>
        <v>-124</v>
      </c>
    </row>
    <row r="42" spans="1:15" x14ac:dyDescent="0.2">
      <c r="A42" s="226"/>
      <c r="B42" s="226"/>
      <c r="C42" s="521" t="s">
        <v>927</v>
      </c>
      <c r="D42" s="515"/>
      <c r="E42" s="525">
        <f>SUM(E43:E47)</f>
        <v>884.51710200000002</v>
      </c>
      <c r="F42" s="534">
        <f t="shared" ref="F42:G42" si="6">SUM(F43:F47)</f>
        <v>915.82924200000002</v>
      </c>
      <c r="G42" s="534">
        <f t="shared" si="6"/>
        <v>958.86824200000001</v>
      </c>
      <c r="H42" s="534">
        <f>SUM(H43:H47)</f>
        <v>1001.334242</v>
      </c>
      <c r="I42" s="468"/>
      <c r="J42" s="521" t="s">
        <v>975</v>
      </c>
      <c r="K42" s="515"/>
      <c r="L42" s="534">
        <f t="shared" si="0"/>
        <v>884.51710200000002</v>
      </c>
      <c r="M42" s="534">
        <f t="shared" si="1"/>
        <v>915.82924200000002</v>
      </c>
      <c r="N42" s="534">
        <f t="shared" si="2"/>
        <v>958.86824200000001</v>
      </c>
      <c r="O42" s="534">
        <f t="shared" si="3"/>
        <v>1001.334242</v>
      </c>
    </row>
    <row r="43" spans="1:15" x14ac:dyDescent="0.2">
      <c r="A43" s="226"/>
      <c r="B43" s="226"/>
      <c r="C43" s="522" t="s">
        <v>928</v>
      </c>
      <c r="D43" s="139" t="s">
        <v>316</v>
      </c>
      <c r="E43" s="464">
        <v>421.334</v>
      </c>
      <c r="F43" s="536">
        <v>441.495</v>
      </c>
      <c r="G43" s="139">
        <v>462</v>
      </c>
      <c r="H43" s="139">
        <v>482</v>
      </c>
      <c r="I43" s="468"/>
      <c r="J43" s="522" t="s">
        <v>976</v>
      </c>
      <c r="K43" s="139" t="str">
        <f t="shared" si="4"/>
        <v>P.2</v>
      </c>
      <c r="L43" s="464">
        <f t="shared" si="0"/>
        <v>421.334</v>
      </c>
      <c r="M43" s="536">
        <f t="shared" si="1"/>
        <v>441.495</v>
      </c>
      <c r="N43" s="536">
        <f t="shared" si="2"/>
        <v>462</v>
      </c>
      <c r="O43" s="536">
        <f t="shared" si="3"/>
        <v>482</v>
      </c>
    </row>
    <row r="44" spans="1:15" x14ac:dyDescent="0.2">
      <c r="A44" s="226"/>
      <c r="B44" s="226"/>
      <c r="C44" s="519" t="s">
        <v>933</v>
      </c>
      <c r="D44" s="139" t="s">
        <v>226</v>
      </c>
      <c r="E44" s="128">
        <v>162</v>
      </c>
      <c r="F44" s="139">
        <v>186</v>
      </c>
      <c r="G44" s="139">
        <v>212</v>
      </c>
      <c r="H44" s="139">
        <v>236</v>
      </c>
      <c r="I44" s="468"/>
      <c r="J44" s="519" t="s">
        <v>977</v>
      </c>
      <c r="K44" s="139" t="str">
        <f t="shared" si="4"/>
        <v>D.6</v>
      </c>
      <c r="L44" s="464">
        <f t="shared" si="0"/>
        <v>162</v>
      </c>
      <c r="M44" s="536">
        <f t="shared" si="1"/>
        <v>186</v>
      </c>
      <c r="N44" s="536">
        <f t="shared" si="2"/>
        <v>212</v>
      </c>
      <c r="O44" s="536">
        <f t="shared" si="3"/>
        <v>236</v>
      </c>
    </row>
    <row r="45" spans="1:15" x14ac:dyDescent="0.2">
      <c r="A45" s="226"/>
      <c r="B45" s="226"/>
      <c r="C45" s="519" t="s">
        <v>929</v>
      </c>
      <c r="D45" s="391" t="s">
        <v>314</v>
      </c>
      <c r="E45" s="526">
        <v>90</v>
      </c>
      <c r="F45" s="391">
        <v>78</v>
      </c>
      <c r="G45" s="391">
        <v>75</v>
      </c>
      <c r="H45" s="391">
        <v>73</v>
      </c>
      <c r="I45" s="468"/>
      <c r="J45" s="519" t="s">
        <v>978</v>
      </c>
      <c r="K45" s="391" t="str">
        <f t="shared" si="4"/>
        <v>D.1</v>
      </c>
      <c r="L45" s="532">
        <f t="shared" si="0"/>
        <v>90</v>
      </c>
      <c r="M45" s="533">
        <f t="shared" si="1"/>
        <v>78</v>
      </c>
      <c r="N45" s="533">
        <f t="shared" si="2"/>
        <v>75</v>
      </c>
      <c r="O45" s="533">
        <f t="shared" si="3"/>
        <v>73</v>
      </c>
    </row>
    <row r="46" spans="1:15" x14ac:dyDescent="0.2">
      <c r="A46" s="226"/>
      <c r="B46" s="226"/>
      <c r="C46" s="519" t="s">
        <v>934</v>
      </c>
      <c r="D46" s="391" t="s">
        <v>314</v>
      </c>
      <c r="E46" s="532">
        <v>53.334242000000003</v>
      </c>
      <c r="F46" s="533">
        <v>53.334242000000003</v>
      </c>
      <c r="G46" s="533">
        <v>53.334242000000003</v>
      </c>
      <c r="H46" s="533">
        <v>53.334242000000003</v>
      </c>
      <c r="I46" s="468"/>
      <c r="J46" s="519" t="s">
        <v>735</v>
      </c>
      <c r="K46" s="391" t="str">
        <f t="shared" si="4"/>
        <v>D.1</v>
      </c>
      <c r="L46" s="532">
        <f t="shared" si="0"/>
        <v>53.334242000000003</v>
      </c>
      <c r="M46" s="533">
        <f t="shared" si="1"/>
        <v>53.334242000000003</v>
      </c>
      <c r="N46" s="533">
        <f t="shared" si="2"/>
        <v>53.334242000000003</v>
      </c>
      <c r="O46" s="533">
        <f t="shared" si="3"/>
        <v>53.334242000000003</v>
      </c>
    </row>
    <row r="47" spans="1:15" x14ac:dyDescent="0.2">
      <c r="A47" s="226"/>
      <c r="B47" s="226"/>
      <c r="C47" s="527" t="s">
        <v>935</v>
      </c>
      <c r="D47" s="528" t="s">
        <v>930</v>
      </c>
      <c r="E47" s="531">
        <v>157.84886</v>
      </c>
      <c r="F47" s="528">
        <v>157</v>
      </c>
      <c r="G47" s="538">
        <v>156.53399999999999</v>
      </c>
      <c r="H47" s="528">
        <v>157</v>
      </c>
      <c r="I47" s="468"/>
      <c r="J47" s="527" t="s">
        <v>979</v>
      </c>
      <c r="K47" s="528" t="str">
        <f t="shared" si="4"/>
        <v>D.1/P.2/D.7</v>
      </c>
      <c r="L47" s="531">
        <f t="shared" si="0"/>
        <v>157.84886</v>
      </c>
      <c r="M47" s="538">
        <f t="shared" si="1"/>
        <v>157</v>
      </c>
      <c r="N47" s="538">
        <f t="shared" si="2"/>
        <v>156.53399999999999</v>
      </c>
      <c r="O47" s="538">
        <f t="shared" si="3"/>
        <v>157</v>
      </c>
    </row>
    <row r="48" spans="1:15" ht="38.25" customHeight="1" x14ac:dyDescent="0.2">
      <c r="A48" s="226"/>
      <c r="B48" s="226"/>
      <c r="C48" s="731" t="s">
        <v>936</v>
      </c>
      <c r="D48" s="731"/>
      <c r="E48" s="731"/>
      <c r="F48" s="731"/>
      <c r="G48" s="731"/>
      <c r="H48" s="731"/>
      <c r="I48" s="468"/>
      <c r="J48" s="733" t="s">
        <v>980</v>
      </c>
      <c r="K48" s="733"/>
      <c r="L48" s="733"/>
      <c r="M48" s="733"/>
      <c r="N48" s="733"/>
      <c r="O48" s="733"/>
    </row>
    <row r="49" spans="1:15" ht="27.75" customHeight="1" x14ac:dyDescent="0.2">
      <c r="A49" s="226"/>
      <c r="B49" s="226"/>
      <c r="C49" s="732" t="s">
        <v>937</v>
      </c>
      <c r="D49" s="732"/>
      <c r="E49" s="732"/>
      <c r="F49" s="732"/>
      <c r="G49" s="732"/>
      <c r="H49" s="732"/>
      <c r="I49" s="468"/>
      <c r="J49" s="734" t="s">
        <v>981</v>
      </c>
      <c r="K49" s="734"/>
      <c r="L49" s="734"/>
      <c r="M49" s="734"/>
      <c r="N49" s="734"/>
      <c r="O49" s="734"/>
    </row>
    <row r="50" spans="1:15" ht="26.25" customHeight="1" x14ac:dyDescent="0.2">
      <c r="A50" s="226"/>
      <c r="B50" s="226"/>
      <c r="C50" s="732" t="s">
        <v>938</v>
      </c>
      <c r="D50" s="732"/>
      <c r="E50" s="732"/>
      <c r="F50" s="732"/>
      <c r="G50" s="732"/>
      <c r="H50" s="732"/>
      <c r="I50" s="468"/>
      <c r="J50" s="734" t="s">
        <v>982</v>
      </c>
      <c r="K50" s="734"/>
      <c r="L50" s="734"/>
      <c r="M50" s="734"/>
      <c r="N50" s="734"/>
      <c r="O50" s="734"/>
    </row>
    <row r="51" spans="1:15" ht="65.25" customHeight="1" x14ac:dyDescent="0.2">
      <c r="A51" s="226"/>
      <c r="B51" s="226"/>
      <c r="C51" s="732" t="s">
        <v>939</v>
      </c>
      <c r="D51" s="732"/>
      <c r="E51" s="732"/>
      <c r="F51" s="732"/>
      <c r="G51" s="732"/>
      <c r="H51" s="732"/>
      <c r="I51" s="468"/>
      <c r="J51" s="734" t="s">
        <v>983</v>
      </c>
      <c r="K51" s="734"/>
      <c r="L51" s="734"/>
      <c r="M51" s="734"/>
      <c r="N51" s="734"/>
      <c r="O51" s="734"/>
    </row>
    <row r="52" spans="1:15" x14ac:dyDescent="0.2">
      <c r="A52" s="226"/>
      <c r="B52" s="226"/>
      <c r="C52" s="214"/>
      <c r="I52" s="468"/>
      <c r="J52" s="466"/>
      <c r="K52" s="461"/>
      <c r="L52" s="469"/>
      <c r="M52" s="469"/>
      <c r="N52" s="469"/>
      <c r="O52" s="469"/>
    </row>
    <row r="53" spans="1:15" x14ac:dyDescent="0.2">
      <c r="A53" s="226"/>
      <c r="B53" s="226"/>
      <c r="C53" s="466"/>
      <c r="D53" s="459"/>
      <c r="E53" s="467"/>
      <c r="F53" s="467"/>
      <c r="G53" s="467"/>
      <c r="H53" s="467"/>
      <c r="I53" s="468"/>
      <c r="J53" s="466"/>
      <c r="K53" s="461"/>
      <c r="L53" s="469"/>
      <c r="M53" s="469"/>
      <c r="N53" s="469"/>
      <c r="O53" s="469"/>
    </row>
    <row r="54" spans="1:15" x14ac:dyDescent="0.2">
      <c r="A54" s="226"/>
      <c r="B54" s="226"/>
      <c r="C54" s="466"/>
      <c r="D54" s="459"/>
      <c r="E54" s="467"/>
      <c r="F54" s="467"/>
      <c r="G54" s="467"/>
      <c r="H54" s="467"/>
      <c r="I54" s="468"/>
      <c r="J54" s="466"/>
      <c r="K54" s="461"/>
      <c r="L54" s="469"/>
      <c r="M54" s="469"/>
      <c r="N54" s="469"/>
      <c r="O54" s="469"/>
    </row>
    <row r="55" spans="1:15" x14ac:dyDescent="0.2">
      <c r="A55" s="226"/>
      <c r="B55" s="226"/>
      <c r="C55" s="466"/>
      <c r="D55" s="459"/>
      <c r="E55" s="467"/>
      <c r="F55" s="467"/>
      <c r="G55" s="467"/>
      <c r="H55" s="467"/>
      <c r="I55" s="468"/>
      <c r="J55" s="466"/>
      <c r="K55" s="461"/>
      <c r="L55" s="469"/>
      <c r="M55" s="469"/>
      <c r="N55" s="469"/>
      <c r="O55" s="469"/>
    </row>
    <row r="56" spans="1:15" x14ac:dyDescent="0.2">
      <c r="A56" s="226"/>
      <c r="B56" s="226"/>
      <c r="C56" s="466"/>
      <c r="D56" s="459"/>
      <c r="E56" s="467"/>
      <c r="F56" s="467"/>
      <c r="G56" s="467"/>
      <c r="H56" s="467"/>
      <c r="I56" s="468"/>
      <c r="J56" s="466"/>
      <c r="K56" s="461"/>
      <c r="L56" s="469"/>
      <c r="M56" s="469"/>
      <c r="N56" s="469"/>
      <c r="O56" s="469"/>
    </row>
    <row r="57" spans="1:15" x14ac:dyDescent="0.2">
      <c r="A57" s="226"/>
      <c r="B57" s="226"/>
      <c r="C57" s="466"/>
      <c r="D57" s="459"/>
      <c r="E57" s="467"/>
      <c r="F57" s="467"/>
      <c r="G57" s="467"/>
      <c r="H57" s="467"/>
      <c r="I57" s="468"/>
      <c r="J57" s="466"/>
      <c r="K57" s="461"/>
      <c r="L57" s="469"/>
      <c r="M57" s="469"/>
      <c r="N57" s="469"/>
      <c r="O57" s="469"/>
    </row>
    <row r="58" spans="1:15" x14ac:dyDescent="0.2">
      <c r="A58" s="226"/>
      <c r="B58" s="226"/>
      <c r="C58" s="466"/>
      <c r="D58" s="459"/>
      <c r="E58" s="467"/>
      <c r="F58" s="467"/>
      <c r="G58" s="467"/>
      <c r="H58" s="467"/>
      <c r="I58" s="468"/>
      <c r="J58" s="466"/>
      <c r="K58" s="461"/>
      <c r="L58" s="469"/>
      <c r="M58" s="469"/>
      <c r="N58" s="469"/>
      <c r="O58" s="469"/>
    </row>
    <row r="59" spans="1:15" x14ac:dyDescent="0.2">
      <c r="A59" s="226"/>
      <c r="B59" s="226"/>
      <c r="C59" s="466"/>
      <c r="D59" s="459"/>
      <c r="E59" s="467"/>
      <c r="F59" s="467"/>
      <c r="G59" s="467"/>
      <c r="H59" s="467"/>
      <c r="I59" s="468"/>
      <c r="J59" s="466"/>
      <c r="K59" s="461"/>
      <c r="L59" s="469"/>
      <c r="M59" s="469"/>
      <c r="N59" s="469"/>
      <c r="O59" s="469"/>
    </row>
    <row r="60" spans="1:15" x14ac:dyDescent="0.2">
      <c r="A60" s="226"/>
      <c r="B60" s="226"/>
      <c r="C60" s="466"/>
      <c r="D60" s="459"/>
      <c r="E60" s="467"/>
      <c r="F60" s="467"/>
      <c r="G60" s="467"/>
      <c r="H60" s="467"/>
      <c r="I60" s="468"/>
      <c r="J60" s="466"/>
      <c r="K60" s="461"/>
      <c r="L60" s="469"/>
      <c r="M60" s="469"/>
      <c r="N60" s="469"/>
      <c r="O60" s="469"/>
    </row>
    <row r="61" spans="1:15" x14ac:dyDescent="0.2">
      <c r="A61" s="226"/>
      <c r="B61" s="226"/>
      <c r="C61" s="466"/>
      <c r="D61" s="459"/>
      <c r="E61" s="467"/>
      <c r="F61" s="467"/>
      <c r="G61" s="467"/>
      <c r="H61" s="467"/>
      <c r="I61" s="468"/>
      <c r="J61" s="466"/>
      <c r="K61" s="461"/>
      <c r="L61" s="469"/>
      <c r="M61" s="469"/>
      <c r="N61" s="469"/>
      <c r="O61" s="469"/>
    </row>
    <row r="62" spans="1:15" x14ac:dyDescent="0.2">
      <c r="A62" s="226"/>
      <c r="B62" s="226"/>
      <c r="C62" s="466"/>
      <c r="D62" s="459"/>
      <c r="E62" s="467"/>
      <c r="F62" s="467"/>
      <c r="G62" s="467"/>
      <c r="H62" s="467"/>
      <c r="I62" s="468"/>
      <c r="J62" s="466"/>
      <c r="K62" s="461"/>
      <c r="L62" s="469"/>
      <c r="M62" s="469"/>
      <c r="N62" s="469"/>
      <c r="O62" s="469"/>
    </row>
    <row r="63" spans="1:15" x14ac:dyDescent="0.2">
      <c r="A63" s="226"/>
      <c r="B63" s="226"/>
      <c r="I63" s="209"/>
    </row>
    <row r="64" spans="1:15" x14ac:dyDescent="0.2">
      <c r="A64" s="226"/>
      <c r="B64" s="226"/>
      <c r="I64" s="209"/>
    </row>
    <row r="65" spans="1:9" x14ac:dyDescent="0.2">
      <c r="A65" s="226"/>
      <c r="B65" s="226"/>
      <c r="I65" s="209"/>
    </row>
    <row r="66" spans="1:9" x14ac:dyDescent="0.2">
      <c r="A66" s="226"/>
      <c r="B66" s="226"/>
    </row>
    <row r="67" spans="1:9" x14ac:dyDescent="0.2">
      <c r="A67" s="226"/>
      <c r="B67" s="226"/>
    </row>
    <row r="68" spans="1:9" x14ac:dyDescent="0.2">
      <c r="A68" s="226"/>
      <c r="B68" s="226"/>
    </row>
    <row r="69" spans="1:9" x14ac:dyDescent="0.2">
      <c r="A69" s="226"/>
      <c r="B69" s="226"/>
    </row>
    <row r="70" spans="1:9" x14ac:dyDescent="0.2">
      <c r="A70" s="226"/>
      <c r="B70" s="226"/>
    </row>
    <row r="71" spans="1:9" x14ac:dyDescent="0.2">
      <c r="A71" s="226"/>
      <c r="B71" s="226"/>
    </row>
    <row r="72" spans="1:9" x14ac:dyDescent="0.2">
      <c r="A72" s="226"/>
      <c r="B72" s="226"/>
    </row>
  </sheetData>
  <mergeCells count="8">
    <mergeCell ref="C48:H48"/>
    <mergeCell ref="C49:H49"/>
    <mergeCell ref="C50:H50"/>
    <mergeCell ref="C51:H51"/>
    <mergeCell ref="J48:O48"/>
    <mergeCell ref="J49:O49"/>
    <mergeCell ref="J50:O50"/>
    <mergeCell ref="J51:O5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5:W39"/>
  <sheetViews>
    <sheetView showGridLines="0" zoomScaleNormal="100" workbookViewId="0"/>
  </sheetViews>
  <sheetFormatPr defaultColWidth="9.42578125" defaultRowHeight="12.75" x14ac:dyDescent="0.2"/>
  <cols>
    <col min="1" max="1" width="26" style="209" customWidth="1"/>
    <col min="2" max="7" width="12.7109375" style="209" bestFit="1" customWidth="1"/>
    <col min="8" max="8" width="11.42578125" style="209" customWidth="1"/>
    <col min="9" max="17" width="12.7109375" style="209" bestFit="1" customWidth="1"/>
    <col min="18" max="20" width="9.7109375" style="209" bestFit="1" customWidth="1"/>
    <col min="21" max="21" width="9" style="209" customWidth="1"/>
    <col min="22" max="16384" width="9.42578125" style="209"/>
  </cols>
  <sheetData>
    <row r="5" spans="1:18" x14ac:dyDescent="0.2">
      <c r="A5" s="470" t="s">
        <v>1028</v>
      </c>
      <c r="B5" s="369"/>
      <c r="C5" s="369"/>
      <c r="D5" s="369"/>
      <c r="E5" s="369"/>
      <c r="F5" s="369"/>
      <c r="G5" s="369"/>
      <c r="H5" s="216"/>
      <c r="I5" s="470" t="s">
        <v>1029</v>
      </c>
      <c r="J5" s="369"/>
      <c r="K5" s="369"/>
      <c r="L5" s="369"/>
      <c r="M5" s="369"/>
      <c r="N5" s="369"/>
      <c r="O5" s="369"/>
      <c r="P5" s="369"/>
      <c r="Q5" s="369"/>
      <c r="R5" s="369"/>
    </row>
    <row r="25" spans="1:22" x14ac:dyDescent="0.2">
      <c r="B25" s="243"/>
      <c r="C25" s="243"/>
      <c r="D25" s="243"/>
      <c r="E25" s="243"/>
      <c r="G25" s="243"/>
      <c r="I25" s="243"/>
      <c r="K25" s="243"/>
      <c r="L25" s="243"/>
      <c r="M25" s="243"/>
    </row>
    <row r="26" spans="1:22" x14ac:dyDescent="0.2">
      <c r="B26" s="243"/>
      <c r="C26" s="243"/>
      <c r="D26" s="243"/>
      <c r="E26" s="243"/>
      <c r="F26" s="376"/>
      <c r="G26" s="243"/>
      <c r="I26" s="243"/>
      <c r="K26" s="243"/>
      <c r="L26" s="243"/>
      <c r="M26" s="243"/>
      <c r="O26" s="376"/>
    </row>
    <row r="27" spans="1:22" x14ac:dyDescent="0.2">
      <c r="B27" s="243"/>
      <c r="C27" s="243"/>
      <c r="D27" s="243"/>
      <c r="E27" s="243"/>
      <c r="F27" s="376" t="s">
        <v>0</v>
      </c>
      <c r="G27" s="243"/>
      <c r="I27" s="243"/>
      <c r="K27" s="243"/>
      <c r="L27" s="243"/>
      <c r="M27" s="243"/>
      <c r="N27" s="376" t="s">
        <v>209</v>
      </c>
      <c r="O27" s="376"/>
    </row>
    <row r="28" spans="1:22" ht="13.5" thickBot="1" x14ac:dyDescent="0.25">
      <c r="A28" s="215"/>
      <c r="B28" s="215"/>
      <c r="C28" s="215"/>
      <c r="D28" s="215"/>
      <c r="E28" s="215"/>
      <c r="F28" s="215"/>
      <c r="G28" s="215"/>
      <c r="H28" s="215"/>
      <c r="I28" s="215"/>
      <c r="J28" s="215"/>
      <c r="K28" s="215"/>
      <c r="L28" s="215"/>
      <c r="M28" s="215"/>
      <c r="N28" s="215"/>
      <c r="O28" s="215"/>
      <c r="P28" s="215"/>
      <c r="Q28" s="215"/>
      <c r="R28" s="215"/>
      <c r="S28" s="215"/>
      <c r="T28" s="215"/>
      <c r="U28" s="215"/>
      <c r="V28" s="215"/>
    </row>
    <row r="29" spans="1:22" s="226" customFormat="1" x14ac:dyDescent="0.2">
      <c r="A29" s="471"/>
      <c r="B29" s="472">
        <v>2008</v>
      </c>
      <c r="C29" s="472">
        <v>2009</v>
      </c>
      <c r="D29" s="472">
        <v>2010</v>
      </c>
      <c r="E29" s="472">
        <v>2011</v>
      </c>
      <c r="F29" s="472">
        <v>2012</v>
      </c>
      <c r="G29" s="472">
        <v>2013</v>
      </c>
      <c r="H29" s="472">
        <v>2014</v>
      </c>
      <c r="I29" s="472">
        <v>2015</v>
      </c>
      <c r="J29" s="472">
        <v>2016</v>
      </c>
      <c r="K29" s="472">
        <v>2017</v>
      </c>
      <c r="L29" s="472">
        <v>2018</v>
      </c>
      <c r="M29" s="472">
        <v>2019</v>
      </c>
      <c r="N29" s="472">
        <v>2020</v>
      </c>
      <c r="O29" s="472">
        <v>2021</v>
      </c>
      <c r="P29" s="472">
        <v>2022</v>
      </c>
      <c r="Q29" s="693">
        <v>2023</v>
      </c>
      <c r="R29" s="693">
        <v>2024</v>
      </c>
      <c r="S29" s="693">
        <v>2025</v>
      </c>
      <c r="T29" s="693">
        <v>2026</v>
      </c>
      <c r="U29" s="693">
        <v>2027</v>
      </c>
    </row>
    <row r="30" spans="1:22" s="226" customFormat="1" x14ac:dyDescent="0.2">
      <c r="A30" s="473" t="s">
        <v>169</v>
      </c>
      <c r="B30" s="474"/>
      <c r="C30" s="474"/>
      <c r="D30" s="474"/>
      <c r="E30" s="474"/>
      <c r="F30" s="474"/>
      <c r="G30" s="474"/>
      <c r="H30" s="474"/>
      <c r="I30" s="474"/>
      <c r="J30" s="474">
        <v>52.274890812114805</v>
      </c>
      <c r="K30" s="474">
        <v>51.46157115593779</v>
      </c>
      <c r="L30" s="474">
        <v>49.408050829169454</v>
      </c>
      <c r="M30" s="474">
        <v>47.978118841253959</v>
      </c>
      <c r="N30" s="474">
        <v>58.952479958547102</v>
      </c>
      <c r="O30" s="474">
        <v>61.196675366291998</v>
      </c>
      <c r="P30" s="474">
        <v>57.851496498542851</v>
      </c>
      <c r="Q30" s="694">
        <v>56.044684106407637</v>
      </c>
      <c r="R30" s="694">
        <v>58.886239114790463</v>
      </c>
      <c r="S30" s="694">
        <v>59.56371691863874</v>
      </c>
      <c r="T30" s="694">
        <v>61.719800685787284</v>
      </c>
      <c r="U30" s="694">
        <v>65.776323112199179</v>
      </c>
      <c r="V30" s="473" t="s">
        <v>217</v>
      </c>
    </row>
    <row r="31" spans="1:22" s="226" customFormat="1" x14ac:dyDescent="0.2">
      <c r="A31" s="471" t="s">
        <v>216</v>
      </c>
      <c r="B31" s="475"/>
      <c r="C31" s="475"/>
      <c r="D31" s="475"/>
      <c r="E31" s="475"/>
      <c r="F31" s="475"/>
      <c r="G31" s="475"/>
      <c r="H31" s="475"/>
      <c r="I31" s="475"/>
      <c r="J31" s="475">
        <v>46.928444657557399</v>
      </c>
      <c r="K31" s="475">
        <v>45.741709297628958</v>
      </c>
      <c r="L31" s="475">
        <v>43.330589179314366</v>
      </c>
      <c r="M31" s="475">
        <v>43.083368211118753</v>
      </c>
      <c r="N31" s="475">
        <v>48.981339017218964</v>
      </c>
      <c r="O31" s="475">
        <v>49.750366970085672</v>
      </c>
      <c r="P31" s="475">
        <v>47.706365967141735</v>
      </c>
      <c r="Q31" s="695">
        <v>48.287756173939364</v>
      </c>
      <c r="R31" s="695">
        <v>50.079444382888994</v>
      </c>
      <c r="S31" s="695">
        <v>53.353420990475264</v>
      </c>
      <c r="T31" s="695">
        <v>55.302398327740008</v>
      </c>
      <c r="U31" s="695">
        <v>57.869868088590771</v>
      </c>
      <c r="V31" s="471" t="s">
        <v>173</v>
      </c>
    </row>
    <row r="32" spans="1:22" s="226" customFormat="1" x14ac:dyDescent="0.2">
      <c r="A32" s="471" t="s">
        <v>256</v>
      </c>
      <c r="B32" s="475">
        <v>6.0005364588647181</v>
      </c>
      <c r="C32" s="475"/>
      <c r="D32" s="475"/>
      <c r="E32" s="475"/>
      <c r="F32" s="475"/>
      <c r="G32" s="475"/>
      <c r="H32" s="475"/>
      <c r="I32" s="475"/>
      <c r="J32" s="475">
        <f>J30-J31</f>
        <v>5.3464461545574054</v>
      </c>
      <c r="K32" s="475">
        <f t="shared" ref="K32:U32" si="0">K30-K31</f>
        <v>5.7198618583088319</v>
      </c>
      <c r="L32" s="475">
        <f t="shared" si="0"/>
        <v>6.0774616498550884</v>
      </c>
      <c r="M32" s="475">
        <f t="shared" si="0"/>
        <v>4.8947506301352064</v>
      </c>
      <c r="N32" s="475">
        <f t="shared" si="0"/>
        <v>9.9711409413281373</v>
      </c>
      <c r="O32" s="475">
        <f t="shared" si="0"/>
        <v>11.446308396206327</v>
      </c>
      <c r="P32" s="475">
        <f t="shared" si="0"/>
        <v>10.145130531401115</v>
      </c>
      <c r="Q32" s="475">
        <f t="shared" si="0"/>
        <v>7.7569279324682725</v>
      </c>
      <c r="R32" s="475">
        <f t="shared" si="0"/>
        <v>8.8067947319014692</v>
      </c>
      <c r="S32" s="475">
        <f t="shared" si="0"/>
        <v>6.2102959281634753</v>
      </c>
      <c r="T32" s="475">
        <f t="shared" si="0"/>
        <v>6.4174023580472763</v>
      </c>
      <c r="U32" s="475">
        <f t="shared" si="0"/>
        <v>7.9064550236084088</v>
      </c>
      <c r="V32" s="471" t="s">
        <v>219</v>
      </c>
    </row>
    <row r="33" spans="1:23" s="226" customFormat="1" x14ac:dyDescent="0.2">
      <c r="A33" s="471" t="s">
        <v>1083</v>
      </c>
      <c r="B33" s="476" t="e">
        <v>#N/A</v>
      </c>
      <c r="C33" s="476" t="e">
        <v>#N/A</v>
      </c>
      <c r="D33" s="476" t="e">
        <v>#N/A</v>
      </c>
      <c r="E33" s="476" t="e">
        <v>#N/A</v>
      </c>
      <c r="F33" s="477">
        <v>60</v>
      </c>
      <c r="G33" s="477">
        <v>60</v>
      </c>
      <c r="H33" s="477">
        <v>60</v>
      </c>
      <c r="I33" s="477">
        <v>60</v>
      </c>
      <c r="J33" s="477">
        <v>60</v>
      </c>
      <c r="K33" s="477">
        <v>60</v>
      </c>
      <c r="L33" s="477">
        <v>59</v>
      </c>
      <c r="M33" s="477">
        <v>58</v>
      </c>
      <c r="N33" s="477">
        <v>57</v>
      </c>
      <c r="O33" s="477">
        <v>56</v>
      </c>
      <c r="P33" s="477">
        <v>55</v>
      </c>
      <c r="Q33" s="696">
        <v>54</v>
      </c>
      <c r="R33" s="696">
        <v>53</v>
      </c>
      <c r="S33" s="696">
        <v>52</v>
      </c>
      <c r="T33" s="696">
        <v>51</v>
      </c>
      <c r="U33" s="696">
        <v>50</v>
      </c>
      <c r="V33" s="471" t="s">
        <v>1082</v>
      </c>
    </row>
    <row r="34" spans="1:23" s="226" customFormat="1" x14ac:dyDescent="0.2">
      <c r="F34" s="226">
        <v>50</v>
      </c>
      <c r="G34" s="226">
        <v>50</v>
      </c>
      <c r="H34" s="226">
        <v>50</v>
      </c>
      <c r="I34" s="226">
        <v>50</v>
      </c>
      <c r="J34" s="226">
        <v>50</v>
      </c>
      <c r="K34" s="226">
        <v>50</v>
      </c>
      <c r="L34" s="226">
        <f>K34-1</f>
        <v>49</v>
      </c>
      <c r="M34" s="226">
        <f t="shared" ref="M34:U34" si="1">L34-1</f>
        <v>48</v>
      </c>
      <c r="N34" s="226">
        <f t="shared" si="1"/>
        <v>47</v>
      </c>
      <c r="O34" s="226">
        <f t="shared" si="1"/>
        <v>46</v>
      </c>
      <c r="P34" s="226">
        <f t="shared" si="1"/>
        <v>45</v>
      </c>
      <c r="Q34" s="226">
        <f t="shared" si="1"/>
        <v>44</v>
      </c>
      <c r="R34" s="226">
        <f t="shared" si="1"/>
        <v>43</v>
      </c>
      <c r="S34" s="226">
        <f t="shared" si="1"/>
        <v>42</v>
      </c>
      <c r="T34" s="226">
        <f t="shared" si="1"/>
        <v>41</v>
      </c>
      <c r="U34" s="226">
        <f t="shared" si="1"/>
        <v>40</v>
      </c>
    </row>
    <row r="35" spans="1:23" x14ac:dyDescent="0.2">
      <c r="A35" s="471" t="s">
        <v>582</v>
      </c>
      <c r="B35" s="476" t="e">
        <v>#N/A</v>
      </c>
      <c r="C35" s="476" t="e">
        <v>#N/A</v>
      </c>
      <c r="D35" s="476" t="e">
        <v>#N/A</v>
      </c>
      <c r="E35" s="476" t="e">
        <v>#N/A</v>
      </c>
      <c r="F35" s="478" t="e">
        <v>#N/A</v>
      </c>
      <c r="G35" s="478" t="e">
        <v>#N/A</v>
      </c>
      <c r="H35" s="478" t="e">
        <v>#N/A</v>
      </c>
      <c r="I35" s="478" t="e">
        <v>#N/A</v>
      </c>
      <c r="J35" s="478" t="e">
        <v>#N/A</v>
      </c>
      <c r="K35" s="478" t="e">
        <v>#N/A</v>
      </c>
      <c r="L35" s="478" t="e">
        <v>#N/A</v>
      </c>
      <c r="M35" s="478" t="e">
        <v>#N/A</v>
      </c>
      <c r="N35" s="478" t="e">
        <v>#N/A</v>
      </c>
      <c r="O35" s="478" t="e">
        <v>#N/A</v>
      </c>
      <c r="P35" s="478" t="e">
        <v>#N/A</v>
      </c>
      <c r="Q35" s="697" t="e">
        <v>#N/A</v>
      </c>
      <c r="R35" s="696"/>
      <c r="S35" s="695">
        <v>59.563716918638733</v>
      </c>
      <c r="T35" s="695">
        <v>60.362075132986902</v>
      </c>
      <c r="U35" s="695">
        <v>60.518298427340142</v>
      </c>
      <c r="V35" s="471" t="s">
        <v>584</v>
      </c>
      <c r="W35" s="226"/>
    </row>
    <row r="36" spans="1:23" ht="13.5" thickBot="1" x14ac:dyDescent="0.25">
      <c r="A36" s="479" t="s">
        <v>583</v>
      </c>
      <c r="B36" s="480" t="e">
        <v>#N/A</v>
      </c>
      <c r="C36" s="480" t="e">
        <v>#N/A</v>
      </c>
      <c r="D36" s="480" t="e">
        <v>#N/A</v>
      </c>
      <c r="E36" s="480" t="e">
        <v>#N/A</v>
      </c>
      <c r="F36" s="481" t="e">
        <v>#N/A</v>
      </c>
      <c r="G36" s="481" t="e">
        <v>#N/A</v>
      </c>
      <c r="H36" s="481" t="e">
        <v>#N/A</v>
      </c>
      <c r="I36" s="481" t="e">
        <v>#N/A</v>
      </c>
      <c r="J36" s="481" t="e">
        <v>#N/A</v>
      </c>
      <c r="K36" s="481" t="e">
        <v>#N/A</v>
      </c>
      <c r="L36" s="481" t="e">
        <v>#N/A</v>
      </c>
      <c r="M36" s="481" t="e">
        <v>#N/A</v>
      </c>
      <c r="N36" s="481" t="e">
        <v>#N/A</v>
      </c>
      <c r="O36" s="481" t="e">
        <v>#N/A</v>
      </c>
      <c r="P36" s="481" t="e">
        <v>#N/A</v>
      </c>
      <c r="Q36" s="698" t="e">
        <v>#N/A</v>
      </c>
      <c r="R36" s="699"/>
      <c r="S36" s="700">
        <v>53.353421339399752</v>
      </c>
      <c r="T36" s="700">
        <v>54.862056945499873</v>
      </c>
      <c r="U36" s="700">
        <v>55.309097807959851</v>
      </c>
      <c r="V36" s="479" t="s">
        <v>585</v>
      </c>
    </row>
    <row r="39" spans="1:23" x14ac:dyDescent="0.2">
      <c r="H39" s="216"/>
      <c r="I39" s="216"/>
      <c r="J39" s="216"/>
      <c r="K39" s="216"/>
      <c r="L39" s="216"/>
      <c r="M39" s="216"/>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65"/>
  <sheetViews>
    <sheetView showGridLines="0" zoomScaleNormal="100" workbookViewId="0"/>
  </sheetViews>
  <sheetFormatPr defaultColWidth="9.140625" defaultRowHeight="12.75" x14ac:dyDescent="0.2"/>
  <cols>
    <col min="1" max="1" width="34.5703125" style="209" bestFit="1" customWidth="1"/>
    <col min="2" max="10" width="9.140625" style="209"/>
    <col min="11" max="11" width="11.42578125" style="209" customWidth="1"/>
    <col min="12" max="23" width="9.140625" style="209"/>
    <col min="24" max="24" width="10.5703125" style="209" customWidth="1"/>
    <col min="25" max="16384" width="9.140625" style="209"/>
  </cols>
  <sheetData>
    <row r="1" spans="1:13" x14ac:dyDescent="0.2">
      <c r="A1" s="482"/>
    </row>
    <row r="2" spans="1:13" x14ac:dyDescent="0.2">
      <c r="A2" s="482"/>
    </row>
    <row r="3" spans="1:13" x14ac:dyDescent="0.2">
      <c r="A3" s="482"/>
    </row>
    <row r="4" spans="1:13" ht="13.5" thickBot="1" x14ac:dyDescent="0.25">
      <c r="A4" s="483"/>
      <c r="B4" s="215"/>
      <c r="C4" s="215"/>
      <c r="D4" s="215"/>
      <c r="E4" s="215"/>
      <c r="F4" s="215"/>
      <c r="G4" s="215"/>
      <c r="H4" s="215"/>
      <c r="I4" s="215"/>
      <c r="J4" s="215"/>
      <c r="K4" s="215"/>
    </row>
    <row r="5" spans="1:13" x14ac:dyDescent="0.2">
      <c r="B5" s="484"/>
      <c r="C5" s="484">
        <v>2023</v>
      </c>
      <c r="D5" s="484">
        <v>2024</v>
      </c>
      <c r="E5" s="484">
        <v>2025</v>
      </c>
      <c r="F5" s="484">
        <v>2026</v>
      </c>
      <c r="G5" s="484">
        <v>2027</v>
      </c>
      <c r="H5" s="704" t="s">
        <v>1086</v>
      </c>
      <c r="J5" s="209" t="s">
        <v>1087</v>
      </c>
      <c r="L5" s="148"/>
    </row>
    <row r="6" spans="1:13" x14ac:dyDescent="0.2">
      <c r="A6" s="485" t="s">
        <v>220</v>
      </c>
      <c r="B6" s="486"/>
      <c r="C6" s="487">
        <v>-1.8068123921352139</v>
      </c>
      <c r="D6" s="487">
        <v>2.8415550083828265</v>
      </c>
      <c r="E6" s="487">
        <v>0.67747780384827649</v>
      </c>
      <c r="F6" s="487">
        <v>2.1560837671485444</v>
      </c>
      <c r="G6" s="487">
        <v>4.0565224264118953</v>
      </c>
      <c r="H6" s="487">
        <f>SUM(E6:G6)</f>
        <v>6.8900839974087162</v>
      </c>
      <c r="I6" s="488" t="s">
        <v>221</v>
      </c>
      <c r="J6" s="367"/>
      <c r="K6" s="367"/>
      <c r="L6" s="489"/>
    </row>
    <row r="7" spans="1:13" x14ac:dyDescent="0.2">
      <c r="A7" s="490" t="s">
        <v>22</v>
      </c>
      <c r="B7" s="155"/>
      <c r="C7" s="194"/>
      <c r="D7" s="194"/>
      <c r="E7" s="194"/>
      <c r="F7" s="194"/>
      <c r="G7" s="194"/>
      <c r="H7" s="194"/>
      <c r="I7" s="216"/>
      <c r="J7" s="216"/>
      <c r="K7" s="216"/>
    </row>
    <row r="8" spans="1:13" x14ac:dyDescent="0.2">
      <c r="A8" s="491" t="s">
        <v>23</v>
      </c>
      <c r="B8" s="492"/>
      <c r="C8" s="492">
        <v>0.98659326432431538</v>
      </c>
      <c r="D8" s="492">
        <v>5.6234039011672019</v>
      </c>
      <c r="E8" s="492">
        <v>4.5769254479867643</v>
      </c>
      <c r="F8" s="492">
        <v>4.4935712257003466</v>
      </c>
      <c r="G8" s="492">
        <v>3.8420173974081475</v>
      </c>
      <c r="H8" s="492">
        <f>SUM(E8:G8)</f>
        <v>12.912514071095258</v>
      </c>
      <c r="I8" s="216" t="s">
        <v>171</v>
      </c>
      <c r="J8" s="216"/>
      <c r="K8" s="216"/>
      <c r="L8" s="493"/>
    </row>
    <row r="9" spans="1:13" x14ac:dyDescent="0.2">
      <c r="A9" s="491" t="s">
        <v>24</v>
      </c>
      <c r="B9" s="492"/>
      <c r="C9" s="492">
        <v>1.1568257199911458</v>
      </c>
      <c r="D9" s="492">
        <v>1.4294653229599836</v>
      </c>
      <c r="E9" s="492">
        <v>1.5432087721979653</v>
      </c>
      <c r="F9" s="492">
        <v>1.6210543871776844</v>
      </c>
      <c r="G9" s="492">
        <v>1.809560368596697</v>
      </c>
      <c r="H9" s="492">
        <f>SUM(E9:G9)</f>
        <v>4.9738235279723462</v>
      </c>
      <c r="I9" s="216" t="s">
        <v>580</v>
      </c>
      <c r="J9" s="216"/>
      <c r="K9" s="216"/>
      <c r="L9" s="493"/>
    </row>
    <row r="10" spans="1:13" x14ac:dyDescent="0.2">
      <c r="A10" s="491" t="s">
        <v>25</v>
      </c>
      <c r="B10" s="494"/>
      <c r="C10" s="492">
        <v>-0.82542903057855876</v>
      </c>
      <c r="D10" s="492">
        <v>-1.2066685775422918</v>
      </c>
      <c r="E10" s="492">
        <v>-1.228100049161025</v>
      </c>
      <c r="F10" s="492">
        <v>-1.3339764695056844</v>
      </c>
      <c r="G10" s="492">
        <v>-0.62412328473580103</v>
      </c>
      <c r="H10" s="492">
        <f>SUM(E10:G10)</f>
        <v>-3.1861998034025105</v>
      </c>
      <c r="I10" s="216" t="s">
        <v>172</v>
      </c>
      <c r="J10" s="216"/>
      <c r="K10" s="216"/>
      <c r="L10" s="493"/>
    </row>
    <row r="11" spans="1:13" ht="13.5" x14ac:dyDescent="0.25">
      <c r="A11" s="491" t="s">
        <v>26</v>
      </c>
      <c r="B11" s="492"/>
      <c r="C11" s="701">
        <v>-5.3221957337529089</v>
      </c>
      <c r="D11" s="701">
        <v>-2.3778406514075261</v>
      </c>
      <c r="E11" s="701">
        <v>-2.432569870074766</v>
      </c>
      <c r="F11" s="701">
        <v>-1.6598013498792565</v>
      </c>
      <c r="G11" s="701">
        <v>-1.3405533111531538</v>
      </c>
      <c r="H11" s="492">
        <f>SUM(E11:G11)</f>
        <v>-5.4329245311071768</v>
      </c>
      <c r="I11" s="216" t="s">
        <v>222</v>
      </c>
      <c r="J11" s="216"/>
      <c r="K11" s="216"/>
      <c r="L11" s="493"/>
    </row>
    <row r="12" spans="1:13" ht="13.5" thickBot="1" x14ac:dyDescent="0.25">
      <c r="A12" s="702" t="s">
        <v>1084</v>
      </c>
      <c r="B12" s="703"/>
      <c r="C12" s="703">
        <v>-0.55266228571703024</v>
      </c>
      <c r="D12" s="703">
        <v>0.64069300001809282</v>
      </c>
      <c r="E12" s="703">
        <v>-0.38185227287253598</v>
      </c>
      <c r="F12" s="703">
        <v>0.98952862890461568</v>
      </c>
      <c r="G12" s="703">
        <v>1.1519316511987938</v>
      </c>
      <c r="H12" s="703">
        <f>SUM(E12:G12)</f>
        <v>1.7596080072308735</v>
      </c>
      <c r="I12" s="384" t="s">
        <v>1085</v>
      </c>
      <c r="J12" s="384"/>
      <c r="K12" s="384"/>
      <c r="L12" s="493"/>
    </row>
    <row r="13" spans="1:13" ht="15" x14ac:dyDescent="0.25">
      <c r="A13"/>
      <c r="B13" s="492"/>
      <c r="C13" s="492"/>
      <c r="D13" s="492"/>
      <c r="E13" s="492"/>
      <c r="F13" s="492"/>
      <c r="G13" s="492"/>
      <c r="H13" s="492"/>
      <c r="I13" s="216"/>
      <c r="J13" s="216"/>
      <c r="K13" s="216"/>
      <c r="L13" s="493"/>
    </row>
    <row r="14" spans="1:13" ht="15" x14ac:dyDescent="0.25">
      <c r="A14"/>
      <c r="B14" s="492"/>
      <c r="C14" s="492"/>
      <c r="D14" s="492"/>
      <c r="E14" s="492"/>
      <c r="F14" s="492"/>
      <c r="G14" s="492"/>
      <c r="H14" s="492"/>
      <c r="I14" s="216"/>
      <c r="J14" s="216"/>
      <c r="K14" s="216"/>
      <c r="L14" s="484"/>
    </row>
    <row r="15" spans="1:13" x14ac:dyDescent="0.2">
      <c r="M15" s="482"/>
    </row>
    <row r="16" spans="1:13" x14ac:dyDescent="0.2">
      <c r="A16" s="482" t="s">
        <v>1030</v>
      </c>
      <c r="L16" s="482" t="s">
        <v>1031</v>
      </c>
    </row>
    <row r="32" spans="7:19" x14ac:dyDescent="0.2">
      <c r="G32" s="376" t="s">
        <v>0</v>
      </c>
      <c r="S32" s="376" t="s">
        <v>209</v>
      </c>
    </row>
    <row r="38" spans="24:24" x14ac:dyDescent="0.2">
      <c r="X38" s="374"/>
    </row>
    <row r="65" spans="12:12" x14ac:dyDescent="0.2">
      <c r="L65" s="227" t="s">
        <v>209</v>
      </c>
    </row>
  </sheetData>
  <pageMargins left="0.7" right="0.7" top="0.75" bottom="0.75" header="0.3" footer="0.3"/>
  <pageSetup paperSize="9" orientation="portrait" r:id="rId1"/>
  <ignoredErrors>
    <ignoredError sqref="H6:H12"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7:L19"/>
  <sheetViews>
    <sheetView showGridLines="0" workbookViewId="0"/>
  </sheetViews>
  <sheetFormatPr defaultRowHeight="15" x14ac:dyDescent="0.25"/>
  <cols>
    <col min="3" max="3" width="37" bestFit="1" customWidth="1"/>
    <col min="4" max="5" width="12.5703125" bestFit="1" customWidth="1"/>
    <col min="6" max="6" width="13.42578125" customWidth="1"/>
    <col min="9" max="9" width="37" bestFit="1" customWidth="1"/>
    <col min="10" max="11" width="12.5703125" bestFit="1" customWidth="1"/>
    <col min="12" max="12" width="12.5703125" customWidth="1"/>
  </cols>
  <sheetData>
    <row r="7" spans="3:12" ht="15.75" thickBot="1" x14ac:dyDescent="0.3">
      <c r="C7" s="168" t="s">
        <v>1034</v>
      </c>
      <c r="D7" s="168"/>
      <c r="E7" s="168"/>
      <c r="F7" s="168"/>
      <c r="G7" s="168"/>
      <c r="H7" s="168"/>
      <c r="I7" s="168" t="s">
        <v>1035</v>
      </c>
    </row>
    <row r="8" spans="3:12" ht="15.75" thickBot="1" x14ac:dyDescent="0.3">
      <c r="C8" s="177"/>
      <c r="D8" s="196">
        <v>2024</v>
      </c>
      <c r="E8" s="197" t="s">
        <v>673</v>
      </c>
      <c r="F8" s="196" t="s">
        <v>516</v>
      </c>
      <c r="I8" s="177"/>
      <c r="J8" s="169">
        <v>2023</v>
      </c>
      <c r="K8" s="170" t="s">
        <v>678</v>
      </c>
      <c r="L8" s="169" t="s">
        <v>577</v>
      </c>
    </row>
    <row r="9" spans="3:12" ht="27.75" thickBot="1" x14ac:dyDescent="0.3">
      <c r="C9" s="160" t="s">
        <v>517</v>
      </c>
      <c r="D9" s="198" t="s">
        <v>674</v>
      </c>
      <c r="E9" s="199" t="s">
        <v>675</v>
      </c>
      <c r="F9" s="200" t="s">
        <v>1072</v>
      </c>
      <c r="I9" s="172" t="s">
        <v>526</v>
      </c>
      <c r="J9" s="178" t="s">
        <v>676</v>
      </c>
      <c r="K9" s="179" t="s">
        <v>677</v>
      </c>
      <c r="L9" s="205" t="s">
        <v>1071</v>
      </c>
    </row>
    <row r="10" spans="3:12" x14ac:dyDescent="0.25">
      <c r="C10" s="3" t="s">
        <v>518</v>
      </c>
      <c r="D10" s="2"/>
      <c r="E10" s="201"/>
      <c r="F10" s="2"/>
      <c r="I10" s="3" t="s">
        <v>578</v>
      </c>
      <c r="J10" s="2"/>
      <c r="K10" s="180"/>
      <c r="L10" s="2"/>
    </row>
    <row r="11" spans="3:12" x14ac:dyDescent="0.25">
      <c r="C11" s="3" t="s">
        <v>519</v>
      </c>
      <c r="D11" s="2">
        <v>3.9</v>
      </c>
      <c r="E11" s="109">
        <v>3</v>
      </c>
      <c r="F11" s="2">
        <v>1.2</v>
      </c>
      <c r="I11" s="3" t="s">
        <v>527</v>
      </c>
      <c r="J11" s="2">
        <v>3.9</v>
      </c>
      <c r="K11" s="109">
        <v>3</v>
      </c>
      <c r="L11" s="2">
        <v>1.2</v>
      </c>
    </row>
    <row r="12" spans="3:12" x14ac:dyDescent="0.25">
      <c r="C12" s="181" t="s">
        <v>520</v>
      </c>
      <c r="D12" s="182">
        <v>-3.5</v>
      </c>
      <c r="E12" s="183">
        <v>-2.5</v>
      </c>
      <c r="F12" s="182">
        <v>-0.7</v>
      </c>
      <c r="I12" s="181" t="s">
        <v>579</v>
      </c>
      <c r="J12" s="182">
        <v>-3.5</v>
      </c>
      <c r="K12" s="183">
        <v>-2.5</v>
      </c>
      <c r="L12" s="182">
        <v>-0.7</v>
      </c>
    </row>
    <row r="13" spans="3:12" x14ac:dyDescent="0.25">
      <c r="C13" s="3" t="s">
        <v>521</v>
      </c>
      <c r="D13" s="2">
        <v>1.7</v>
      </c>
      <c r="E13" s="109">
        <v>1.2</v>
      </c>
      <c r="F13" s="2">
        <v>1.2</v>
      </c>
      <c r="I13" s="3" t="s">
        <v>528</v>
      </c>
      <c r="J13" s="2">
        <v>1.7</v>
      </c>
      <c r="K13" s="109">
        <v>1.2</v>
      </c>
      <c r="L13" s="2">
        <v>1.2</v>
      </c>
    </row>
    <row r="14" spans="3:12" x14ac:dyDescent="0.25">
      <c r="C14" s="3" t="s">
        <v>522</v>
      </c>
      <c r="D14" s="2">
        <v>1.2</v>
      </c>
      <c r="E14" s="109">
        <v>1.1000000000000001</v>
      </c>
      <c r="F14" s="2">
        <v>1.1000000000000001</v>
      </c>
      <c r="I14" s="3" t="s">
        <v>529</v>
      </c>
      <c r="J14" s="2">
        <v>1.2</v>
      </c>
      <c r="K14" s="109">
        <v>1.1000000000000001</v>
      </c>
      <c r="L14" s="2">
        <v>1.1000000000000001</v>
      </c>
    </row>
    <row r="15" spans="3:12" x14ac:dyDescent="0.25">
      <c r="C15" s="3" t="s">
        <v>523</v>
      </c>
      <c r="D15" s="2">
        <v>1.1000000000000001</v>
      </c>
      <c r="E15" s="109">
        <v>1.1000000000000001</v>
      </c>
      <c r="F15" s="2">
        <v>1.1000000000000001</v>
      </c>
      <c r="I15" s="3" t="s">
        <v>530</v>
      </c>
      <c r="J15" s="2">
        <v>1.1000000000000001</v>
      </c>
      <c r="K15" s="109">
        <v>1.1000000000000001</v>
      </c>
      <c r="L15" s="2">
        <v>1.1000000000000001</v>
      </c>
    </row>
    <row r="16" spans="3:12" x14ac:dyDescent="0.25">
      <c r="C16" s="3" t="s">
        <v>524</v>
      </c>
      <c r="D16" s="2">
        <v>0.2</v>
      </c>
      <c r="E16" s="109">
        <v>0.1</v>
      </c>
      <c r="F16" s="2">
        <v>0.1</v>
      </c>
      <c r="I16" s="3" t="s">
        <v>531</v>
      </c>
      <c r="J16" s="2">
        <v>0.2</v>
      </c>
      <c r="K16" s="109">
        <v>0.1</v>
      </c>
      <c r="L16" s="2">
        <v>0.1</v>
      </c>
    </row>
    <row r="17" spans="3:12" ht="15.75" thickBot="1" x14ac:dyDescent="0.3">
      <c r="C17" s="202" t="s">
        <v>525</v>
      </c>
      <c r="D17" s="203">
        <v>0.5</v>
      </c>
      <c r="E17" s="157">
        <v>0.5</v>
      </c>
      <c r="F17" s="203">
        <v>0.5</v>
      </c>
      <c r="I17" s="171" t="s">
        <v>532</v>
      </c>
      <c r="J17" s="203">
        <v>0.5</v>
      </c>
      <c r="K17" s="157">
        <v>0.5</v>
      </c>
      <c r="L17" s="203">
        <v>0.5</v>
      </c>
    </row>
    <row r="18" spans="3:12" x14ac:dyDescent="0.25">
      <c r="F18" s="204" t="s">
        <v>0</v>
      </c>
      <c r="L18" s="159" t="s">
        <v>209</v>
      </c>
    </row>
    <row r="19" spans="3:12" x14ac:dyDescent="0.25">
      <c r="F19" s="154"/>
    </row>
  </sheetData>
  <pageMargins left="0.7" right="0.7" top="0.75" bottom="0.75" header="0.3" footer="0.3"/>
  <pageSetup paperSize="0" orientation="portrait" horizontalDpi="0" verticalDpi="0" copie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71348-B5C1-49CA-908B-29F2B14E6D54}">
  <dimension ref="D5:S25"/>
  <sheetViews>
    <sheetView showGridLines="0" zoomScaleNormal="100" workbookViewId="0"/>
  </sheetViews>
  <sheetFormatPr defaultColWidth="9.140625" defaultRowHeight="12.75" x14ac:dyDescent="0.2"/>
  <cols>
    <col min="1" max="3" width="9.140625" style="209"/>
    <col min="4" max="5" width="40.5703125" style="209" customWidth="1"/>
    <col min="6" max="16384" width="9.140625" style="209"/>
  </cols>
  <sheetData>
    <row r="5" spans="4:6" x14ac:dyDescent="0.2">
      <c r="D5" s="587" t="s">
        <v>654</v>
      </c>
      <c r="E5" s="587" t="s">
        <v>655</v>
      </c>
      <c r="F5" s="575"/>
    </row>
    <row r="6" spans="4:6" x14ac:dyDescent="0.2">
      <c r="D6" s="588" t="s">
        <v>656</v>
      </c>
      <c r="E6" s="588" t="s">
        <v>657</v>
      </c>
      <c r="F6" s="589">
        <v>-0.23180432300782705</v>
      </c>
    </row>
    <row r="7" spans="4:6" ht="25.5" x14ac:dyDescent="0.2">
      <c r="D7" s="588" t="s">
        <v>658</v>
      </c>
      <c r="E7" s="588" t="s">
        <v>659</v>
      </c>
      <c r="F7" s="589">
        <v>4.3796676995984996E-2</v>
      </c>
    </row>
    <row r="8" spans="4:6" ht="13.5" thickBot="1" x14ac:dyDescent="0.25">
      <c r="D8" s="579" t="s">
        <v>29</v>
      </c>
      <c r="E8" s="579" t="s">
        <v>570</v>
      </c>
      <c r="F8" s="590">
        <v>-0.18800764601184206</v>
      </c>
    </row>
    <row r="10" spans="4:6" x14ac:dyDescent="0.2">
      <c r="D10" s="332" t="s">
        <v>1032</v>
      </c>
      <c r="F10" s="332" t="s">
        <v>1033</v>
      </c>
    </row>
    <row r="25" spans="5:19" x14ac:dyDescent="0.2">
      <c r="E25" s="377" t="s">
        <v>0</v>
      </c>
      <c r="F25" s="586"/>
      <c r="G25" s="586"/>
      <c r="H25" s="586"/>
      <c r="I25" s="586"/>
      <c r="J25" s="377" t="s">
        <v>209</v>
      </c>
      <c r="K25" s="586"/>
      <c r="L25" s="586"/>
      <c r="M25" s="586"/>
      <c r="N25" s="586"/>
      <c r="O25" s="586"/>
      <c r="P25" s="586"/>
      <c r="Q25" s="586"/>
      <c r="R25" s="586"/>
      <c r="S25" s="586"/>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99FB-3D96-4564-8662-90B0E48E93A7}">
  <dimension ref="D5:AZ25"/>
  <sheetViews>
    <sheetView showGridLines="0" zoomScaleNormal="100" workbookViewId="0"/>
  </sheetViews>
  <sheetFormatPr defaultColWidth="9.140625" defaultRowHeight="12.75" x14ac:dyDescent="0.2"/>
  <cols>
    <col min="1" max="3" width="9.140625" style="209"/>
    <col min="4" max="4" width="18.28515625" style="209" bestFit="1" customWidth="1"/>
    <col min="5" max="5" width="18.28515625" style="209" customWidth="1"/>
    <col min="6" max="10" width="5.28515625" style="209" customWidth="1"/>
    <col min="11" max="52" width="5.5703125" style="209" bestFit="1" customWidth="1"/>
    <col min="53" max="16384" width="9.140625" style="209"/>
  </cols>
  <sheetData>
    <row r="5" spans="4:52" ht="25.5" x14ac:dyDescent="0.2">
      <c r="D5" s="575" t="s">
        <v>571</v>
      </c>
      <c r="E5" s="575" t="s">
        <v>660</v>
      </c>
      <c r="F5" s="576">
        <v>2024</v>
      </c>
      <c r="G5" s="576">
        <v>2025</v>
      </c>
      <c r="H5" s="576">
        <v>2026</v>
      </c>
      <c r="I5" s="576">
        <v>2027</v>
      </c>
      <c r="J5" s="576">
        <v>2028</v>
      </c>
      <c r="K5" s="576">
        <v>2029</v>
      </c>
      <c r="L5" s="576">
        <v>2030</v>
      </c>
      <c r="M5" s="576">
        <v>2031</v>
      </c>
      <c r="N5" s="576">
        <v>2032</v>
      </c>
      <c r="O5" s="576">
        <v>2033</v>
      </c>
      <c r="P5" s="576">
        <v>2034</v>
      </c>
      <c r="Q5" s="576">
        <v>2035</v>
      </c>
      <c r="R5" s="576">
        <v>2036</v>
      </c>
      <c r="S5" s="576">
        <v>2037</v>
      </c>
      <c r="T5" s="576">
        <v>2038</v>
      </c>
      <c r="U5" s="576">
        <v>2039</v>
      </c>
      <c r="V5" s="576">
        <v>2040</v>
      </c>
      <c r="W5" s="576">
        <v>2041</v>
      </c>
      <c r="X5" s="576">
        <v>2042</v>
      </c>
      <c r="Y5" s="576">
        <v>2043</v>
      </c>
      <c r="Z5" s="576">
        <v>2044</v>
      </c>
      <c r="AA5" s="576">
        <v>2045</v>
      </c>
      <c r="AB5" s="576">
        <v>2046</v>
      </c>
      <c r="AC5" s="576">
        <v>2047</v>
      </c>
      <c r="AD5" s="576">
        <v>2048</v>
      </c>
      <c r="AE5" s="576">
        <v>2049</v>
      </c>
      <c r="AF5" s="576">
        <v>2050</v>
      </c>
      <c r="AG5" s="576">
        <v>2051</v>
      </c>
      <c r="AH5" s="576">
        <v>2052</v>
      </c>
      <c r="AI5" s="576">
        <v>2053</v>
      </c>
      <c r="AJ5" s="576">
        <v>2054</v>
      </c>
      <c r="AK5" s="576">
        <v>2055</v>
      </c>
      <c r="AL5" s="576">
        <v>2056</v>
      </c>
      <c r="AM5" s="576">
        <v>2057</v>
      </c>
      <c r="AN5" s="576">
        <v>2058</v>
      </c>
      <c r="AO5" s="576">
        <v>2059</v>
      </c>
      <c r="AP5" s="576">
        <v>2060</v>
      </c>
      <c r="AQ5" s="576">
        <v>2061</v>
      </c>
      <c r="AR5" s="576">
        <v>2062</v>
      </c>
      <c r="AS5" s="576">
        <v>2063</v>
      </c>
      <c r="AT5" s="576">
        <v>2064</v>
      </c>
      <c r="AU5" s="576">
        <v>2065</v>
      </c>
      <c r="AV5" s="576">
        <v>2066</v>
      </c>
      <c r="AW5" s="576">
        <v>2067</v>
      </c>
      <c r="AX5" s="576">
        <v>2068</v>
      </c>
      <c r="AY5" s="576">
        <v>2069</v>
      </c>
      <c r="AZ5" s="576">
        <v>2070</v>
      </c>
    </row>
    <row r="6" spans="4:52" x14ac:dyDescent="0.2">
      <c r="D6" s="577" t="s">
        <v>669</v>
      </c>
      <c r="E6" s="577" t="s">
        <v>671</v>
      </c>
      <c r="F6" s="578">
        <v>2.4651206338299806E-3</v>
      </c>
      <c r="G6" s="578">
        <v>2.4648676878360415E-3</v>
      </c>
      <c r="H6" s="578">
        <v>2.4803294224742911E-3</v>
      </c>
      <c r="I6" s="578">
        <v>2.4967429402766631E-3</v>
      </c>
      <c r="J6" s="578">
        <v>2.5013568731554838E-3</v>
      </c>
      <c r="K6" s="578">
        <v>2.5136797006702414E-3</v>
      </c>
      <c r="L6" s="578">
        <v>2.512168008792831E-3</v>
      </c>
      <c r="M6" s="578">
        <v>2.5245869685037023E-3</v>
      </c>
      <c r="N6" s="578">
        <v>2.5335969742559974E-3</v>
      </c>
      <c r="O6" s="578">
        <v>2.5391681296859422E-3</v>
      </c>
      <c r="P6" s="578">
        <v>2.5403952012325311E-3</v>
      </c>
      <c r="Q6" s="578">
        <v>2.5382348536849043E-3</v>
      </c>
      <c r="R6" s="578">
        <v>2.5203560606427765E-3</v>
      </c>
      <c r="S6" s="578">
        <v>2.4988883649182496E-3</v>
      </c>
      <c r="T6" s="578">
        <v>2.4705301590113075E-3</v>
      </c>
      <c r="U6" s="578">
        <v>2.4504767080037845E-3</v>
      </c>
      <c r="V6" s="578">
        <v>2.4279492726638993E-3</v>
      </c>
      <c r="W6" s="578">
        <v>2.4020045002085917E-3</v>
      </c>
      <c r="X6" s="578">
        <v>2.3835202579519273E-3</v>
      </c>
      <c r="Y6" s="578">
        <v>2.357505829857743E-3</v>
      </c>
      <c r="Z6" s="578">
        <v>2.3411786180195441E-3</v>
      </c>
      <c r="AA6" s="578">
        <v>2.3208929520217572E-3</v>
      </c>
      <c r="AB6" s="578">
        <v>2.3085337418389169E-3</v>
      </c>
      <c r="AC6" s="578">
        <v>2.2896142540893031E-3</v>
      </c>
      <c r="AD6" s="578">
        <v>2.2873223801034358E-3</v>
      </c>
      <c r="AE6" s="578">
        <v>2.2736219069729112E-3</v>
      </c>
      <c r="AF6" s="578">
        <v>2.2633812459775661E-3</v>
      </c>
      <c r="AG6" s="578">
        <v>2.2645806428484017E-3</v>
      </c>
      <c r="AH6" s="578">
        <v>2.2608743788038975E-3</v>
      </c>
      <c r="AI6" s="578">
        <v>2.2607525627147385E-3</v>
      </c>
      <c r="AJ6" s="578">
        <v>2.2622591221894838E-3</v>
      </c>
      <c r="AK6" s="578">
        <v>2.266536056176981E-3</v>
      </c>
      <c r="AL6" s="578">
        <v>2.2699341723068449E-3</v>
      </c>
      <c r="AM6" s="578">
        <v>2.2759239278679114E-3</v>
      </c>
      <c r="AN6" s="578">
        <v>2.2768740127406418E-3</v>
      </c>
      <c r="AO6" s="578">
        <v>2.2825960321585293E-3</v>
      </c>
      <c r="AP6" s="578">
        <v>2.2886415413181167E-3</v>
      </c>
      <c r="AQ6" s="578">
        <v>2.2969082694065876E-3</v>
      </c>
      <c r="AR6" s="578">
        <v>2.3013382340923995E-3</v>
      </c>
      <c r="AS6" s="578">
        <v>2.3049453290946978E-3</v>
      </c>
      <c r="AT6" s="578">
        <v>2.3091384875084026E-3</v>
      </c>
      <c r="AU6" s="578">
        <v>2.3077709777112247E-3</v>
      </c>
      <c r="AV6" s="578">
        <v>2.3115720123933828E-3</v>
      </c>
      <c r="AW6" s="578">
        <v>2.3049658826516189E-3</v>
      </c>
      <c r="AX6" s="578">
        <v>2.3059662971742037E-3</v>
      </c>
      <c r="AY6" s="578">
        <v>2.301355831691628E-3</v>
      </c>
      <c r="AZ6" s="578">
        <v>2.2962595604152651E-3</v>
      </c>
    </row>
    <row r="7" spans="4:52" ht="13.5" thickBot="1" x14ac:dyDescent="0.25">
      <c r="D7" s="579" t="s">
        <v>670</v>
      </c>
      <c r="E7" s="579" t="s">
        <v>672</v>
      </c>
      <c r="F7" s="580">
        <v>2.4651206338299806E-3</v>
      </c>
      <c r="G7" s="580">
        <v>0</v>
      </c>
      <c r="H7" s="580">
        <v>4.4767344543098701E-4</v>
      </c>
      <c r="I7" s="580">
        <v>4.506359132385499E-4</v>
      </c>
      <c r="J7" s="580">
        <v>4.5146867972921552E-4</v>
      </c>
      <c r="K7" s="580">
        <v>4.5369282084571302E-4</v>
      </c>
      <c r="L7" s="580">
        <v>4.5341997631745862E-4</v>
      </c>
      <c r="M7" s="580">
        <v>4.5566146828705692E-4</v>
      </c>
      <c r="N7" s="580">
        <v>4.5728767982248245E-4</v>
      </c>
      <c r="O7" s="580">
        <v>4.5829321494364662E-4</v>
      </c>
      <c r="P7" s="580">
        <v>4.585146884874728E-4</v>
      </c>
      <c r="Q7" s="580">
        <v>4.5812476841427147E-4</v>
      </c>
      <c r="R7" s="580">
        <v>4.5489783379470294E-4</v>
      </c>
      <c r="S7" s="580">
        <v>4.5102313988373214E-4</v>
      </c>
      <c r="T7" s="580">
        <v>4.4590478115703603E-4</v>
      </c>
      <c r="U7" s="580">
        <v>4.4228534358395615E-4</v>
      </c>
      <c r="V7" s="580">
        <v>4.382193777876588E-4</v>
      </c>
      <c r="W7" s="580">
        <v>4.3353661848530615E-4</v>
      </c>
      <c r="X7" s="580">
        <v>4.3020040663286306E-4</v>
      </c>
      <c r="Y7" s="580">
        <v>4.2550507521828734E-4</v>
      </c>
      <c r="Z7" s="580">
        <v>4.2255818473202413E-4</v>
      </c>
      <c r="AA7" s="580">
        <v>4.1889683478882491E-4</v>
      </c>
      <c r="AB7" s="580">
        <v>4.1666612698234391E-4</v>
      </c>
      <c r="AC7" s="580">
        <v>4.1325135788356431E-4</v>
      </c>
      <c r="AD7" s="580">
        <v>4.1283769866779646E-4</v>
      </c>
      <c r="AE7" s="580">
        <v>4.1036490696730608E-4</v>
      </c>
      <c r="AF7" s="580">
        <v>4.0851657506843123E-4</v>
      </c>
      <c r="AG7" s="580">
        <v>4.0873305362355416E-4</v>
      </c>
      <c r="AH7" s="580">
        <v>4.0806411183725509E-4</v>
      </c>
      <c r="AI7" s="580">
        <v>4.0804212531084905E-4</v>
      </c>
      <c r="AJ7" s="580">
        <v>4.0831404349425443E-4</v>
      </c>
      <c r="AK7" s="580">
        <v>4.0908598521970227E-4</v>
      </c>
      <c r="AL7" s="580">
        <v>4.0969930953946667E-4</v>
      </c>
      <c r="AM7" s="580">
        <v>4.10780397593745E-4</v>
      </c>
      <c r="AN7" s="580">
        <v>4.1095187794815808E-4</v>
      </c>
      <c r="AO7" s="580">
        <v>4.1198464243678525E-4</v>
      </c>
      <c r="AP7" s="580">
        <v>4.1307579343081622E-4</v>
      </c>
      <c r="AQ7" s="580">
        <v>4.1456785114390624E-4</v>
      </c>
      <c r="AR7" s="580">
        <v>4.1536741330531335E-4</v>
      </c>
      <c r="AS7" s="580">
        <v>4.1601845611964432E-4</v>
      </c>
      <c r="AT7" s="580">
        <v>4.1677527723271593E-4</v>
      </c>
      <c r="AU7" s="580">
        <v>4.1652845605766716E-4</v>
      </c>
      <c r="AV7" s="580">
        <v>4.1721450295004609E-4</v>
      </c>
      <c r="AW7" s="580">
        <v>4.1602216582108939E-4</v>
      </c>
      <c r="AX7" s="580">
        <v>4.1620273014941067E-4</v>
      </c>
      <c r="AY7" s="580">
        <v>4.1537058948739892E-4</v>
      </c>
      <c r="AZ7" s="580">
        <v>4.1445076597505901E-4</v>
      </c>
    </row>
    <row r="8" spans="4:52" x14ac:dyDescent="0.2">
      <c r="D8" s="581" t="s">
        <v>661</v>
      </c>
      <c r="E8" s="581"/>
      <c r="F8" s="582">
        <f>F7</f>
        <v>2.4651206338299806E-3</v>
      </c>
      <c r="G8" s="582">
        <f t="shared" ref="G8:AZ8" si="0">G7</f>
        <v>0</v>
      </c>
      <c r="H8" s="582">
        <f t="shared" si="0"/>
        <v>4.4767344543098701E-4</v>
      </c>
      <c r="I8" s="582">
        <f t="shared" si="0"/>
        <v>4.506359132385499E-4</v>
      </c>
      <c r="J8" s="582">
        <f t="shared" si="0"/>
        <v>4.5146867972921552E-4</v>
      </c>
      <c r="K8" s="582">
        <f t="shared" si="0"/>
        <v>4.5369282084571302E-4</v>
      </c>
      <c r="L8" s="582">
        <f t="shared" si="0"/>
        <v>4.5341997631745862E-4</v>
      </c>
      <c r="M8" s="582">
        <f t="shared" si="0"/>
        <v>4.5566146828705692E-4</v>
      </c>
      <c r="N8" s="582">
        <f t="shared" si="0"/>
        <v>4.5728767982248245E-4</v>
      </c>
      <c r="O8" s="582">
        <f t="shared" si="0"/>
        <v>4.5829321494364662E-4</v>
      </c>
      <c r="P8" s="582">
        <f t="shared" si="0"/>
        <v>4.585146884874728E-4</v>
      </c>
      <c r="Q8" s="582">
        <f t="shared" si="0"/>
        <v>4.5812476841427147E-4</v>
      </c>
      <c r="R8" s="582">
        <f t="shared" si="0"/>
        <v>4.5489783379470294E-4</v>
      </c>
      <c r="S8" s="582">
        <f t="shared" si="0"/>
        <v>4.5102313988373214E-4</v>
      </c>
      <c r="T8" s="582">
        <f t="shared" si="0"/>
        <v>4.4590478115703603E-4</v>
      </c>
      <c r="U8" s="582">
        <f t="shared" si="0"/>
        <v>4.4228534358395615E-4</v>
      </c>
      <c r="V8" s="582">
        <f t="shared" si="0"/>
        <v>4.382193777876588E-4</v>
      </c>
      <c r="W8" s="582">
        <f t="shared" si="0"/>
        <v>4.3353661848530615E-4</v>
      </c>
      <c r="X8" s="582">
        <f t="shared" si="0"/>
        <v>4.3020040663286306E-4</v>
      </c>
      <c r="Y8" s="582">
        <f t="shared" si="0"/>
        <v>4.2550507521828734E-4</v>
      </c>
      <c r="Z8" s="582">
        <f t="shared" si="0"/>
        <v>4.2255818473202413E-4</v>
      </c>
      <c r="AA8" s="582">
        <f t="shared" si="0"/>
        <v>4.1889683478882491E-4</v>
      </c>
      <c r="AB8" s="582">
        <f t="shared" si="0"/>
        <v>4.1666612698234391E-4</v>
      </c>
      <c r="AC8" s="582">
        <f t="shared" si="0"/>
        <v>4.1325135788356431E-4</v>
      </c>
      <c r="AD8" s="582">
        <f t="shared" si="0"/>
        <v>4.1283769866779646E-4</v>
      </c>
      <c r="AE8" s="582">
        <f t="shared" si="0"/>
        <v>4.1036490696730608E-4</v>
      </c>
      <c r="AF8" s="582">
        <f t="shared" si="0"/>
        <v>4.0851657506843123E-4</v>
      </c>
      <c r="AG8" s="582">
        <f t="shared" si="0"/>
        <v>4.0873305362355416E-4</v>
      </c>
      <c r="AH8" s="582">
        <f t="shared" si="0"/>
        <v>4.0806411183725509E-4</v>
      </c>
      <c r="AI8" s="582">
        <f t="shared" si="0"/>
        <v>4.0804212531084905E-4</v>
      </c>
      <c r="AJ8" s="582">
        <f t="shared" si="0"/>
        <v>4.0831404349425443E-4</v>
      </c>
      <c r="AK8" s="582">
        <f t="shared" si="0"/>
        <v>4.0908598521970227E-4</v>
      </c>
      <c r="AL8" s="582">
        <f t="shared" si="0"/>
        <v>4.0969930953946667E-4</v>
      </c>
      <c r="AM8" s="582">
        <f t="shared" si="0"/>
        <v>4.10780397593745E-4</v>
      </c>
      <c r="AN8" s="582">
        <f t="shared" si="0"/>
        <v>4.1095187794815808E-4</v>
      </c>
      <c r="AO8" s="582">
        <f t="shared" si="0"/>
        <v>4.1198464243678525E-4</v>
      </c>
      <c r="AP8" s="582">
        <f t="shared" si="0"/>
        <v>4.1307579343081622E-4</v>
      </c>
      <c r="AQ8" s="582">
        <f t="shared" si="0"/>
        <v>4.1456785114390624E-4</v>
      </c>
      <c r="AR8" s="582">
        <f t="shared" si="0"/>
        <v>4.1536741330531335E-4</v>
      </c>
      <c r="AS8" s="582">
        <f t="shared" si="0"/>
        <v>4.1601845611964432E-4</v>
      </c>
      <c r="AT8" s="582">
        <f t="shared" si="0"/>
        <v>4.1677527723271593E-4</v>
      </c>
      <c r="AU8" s="582">
        <f t="shared" si="0"/>
        <v>4.1652845605766716E-4</v>
      </c>
      <c r="AV8" s="582">
        <f t="shared" si="0"/>
        <v>4.1721450295004609E-4</v>
      </c>
      <c r="AW8" s="582">
        <f t="shared" si="0"/>
        <v>4.1602216582108939E-4</v>
      </c>
      <c r="AX8" s="582">
        <f t="shared" si="0"/>
        <v>4.1620273014941067E-4</v>
      </c>
      <c r="AY8" s="582">
        <f t="shared" si="0"/>
        <v>4.1537058948739892E-4</v>
      </c>
      <c r="AZ8" s="582">
        <f t="shared" si="0"/>
        <v>4.1445076597505901E-4</v>
      </c>
    </row>
    <row r="9" spans="4:52" x14ac:dyDescent="0.2">
      <c r="D9" s="581" t="s">
        <v>662</v>
      </c>
      <c r="E9" s="581"/>
      <c r="F9" s="582">
        <f t="shared" ref="F9:AZ9" si="1">F6-F7</f>
        <v>0</v>
      </c>
      <c r="G9" s="582">
        <f t="shared" si="1"/>
        <v>2.4648676878360415E-3</v>
      </c>
      <c r="H9" s="582">
        <f t="shared" si="1"/>
        <v>2.0326559770433043E-3</v>
      </c>
      <c r="I9" s="582">
        <f t="shared" si="1"/>
        <v>2.0461070270381132E-3</v>
      </c>
      <c r="J9" s="582">
        <f t="shared" si="1"/>
        <v>2.0498881934262682E-3</v>
      </c>
      <c r="K9" s="582">
        <f t="shared" si="1"/>
        <v>2.0599868798245285E-3</v>
      </c>
      <c r="L9" s="582">
        <f t="shared" si="1"/>
        <v>2.0587480324753722E-3</v>
      </c>
      <c r="M9" s="582">
        <f t="shared" si="1"/>
        <v>2.0689255002166451E-3</v>
      </c>
      <c r="N9" s="582">
        <f t="shared" si="1"/>
        <v>2.076309294433515E-3</v>
      </c>
      <c r="O9" s="582">
        <f t="shared" si="1"/>
        <v>2.0808749147422957E-3</v>
      </c>
      <c r="P9" s="582">
        <f t="shared" si="1"/>
        <v>2.0818805127450581E-3</v>
      </c>
      <c r="Q9" s="582">
        <f t="shared" si="1"/>
        <v>2.080110085270633E-3</v>
      </c>
      <c r="R9" s="582">
        <f t="shared" si="1"/>
        <v>2.0654582268480734E-3</v>
      </c>
      <c r="S9" s="582">
        <f t="shared" si="1"/>
        <v>2.0478652250345173E-3</v>
      </c>
      <c r="T9" s="582">
        <f t="shared" si="1"/>
        <v>2.0246253778542713E-3</v>
      </c>
      <c r="U9" s="582">
        <f t="shared" si="1"/>
        <v>2.0081913644198284E-3</v>
      </c>
      <c r="V9" s="582">
        <f t="shared" si="1"/>
        <v>1.9897298948762404E-3</v>
      </c>
      <c r="W9" s="582">
        <f t="shared" si="1"/>
        <v>1.9684678817232853E-3</v>
      </c>
      <c r="X9" s="582">
        <f t="shared" si="1"/>
        <v>1.9533198513190641E-3</v>
      </c>
      <c r="Y9" s="582">
        <f t="shared" si="1"/>
        <v>1.9320007546394556E-3</v>
      </c>
      <c r="Z9" s="582">
        <f t="shared" si="1"/>
        <v>1.91862043328752E-3</v>
      </c>
      <c r="AA9" s="582">
        <f t="shared" si="1"/>
        <v>1.9019961172329323E-3</v>
      </c>
      <c r="AB9" s="582">
        <f t="shared" si="1"/>
        <v>1.891867614856573E-3</v>
      </c>
      <c r="AC9" s="582">
        <f t="shared" si="1"/>
        <v>1.8763628962057389E-3</v>
      </c>
      <c r="AD9" s="582">
        <f t="shared" si="1"/>
        <v>1.8744846814356393E-3</v>
      </c>
      <c r="AE9" s="582">
        <f t="shared" si="1"/>
        <v>1.8632570000056052E-3</v>
      </c>
      <c r="AF9" s="582">
        <f t="shared" si="1"/>
        <v>1.8548646709091348E-3</v>
      </c>
      <c r="AG9" s="582">
        <f t="shared" si="1"/>
        <v>1.8558475892248476E-3</v>
      </c>
      <c r="AH9" s="582">
        <f t="shared" si="1"/>
        <v>1.8528102669666425E-3</v>
      </c>
      <c r="AI9" s="582">
        <f t="shared" si="1"/>
        <v>1.8527104374038894E-3</v>
      </c>
      <c r="AJ9" s="582">
        <f t="shared" si="1"/>
        <v>1.8539450786952292E-3</v>
      </c>
      <c r="AK9" s="582">
        <f t="shared" si="1"/>
        <v>1.8574500709572788E-3</v>
      </c>
      <c r="AL9" s="582">
        <f t="shared" si="1"/>
        <v>1.8602348627673783E-3</v>
      </c>
      <c r="AM9" s="582">
        <f t="shared" si="1"/>
        <v>1.8651435302741665E-3</v>
      </c>
      <c r="AN9" s="582">
        <f t="shared" si="1"/>
        <v>1.8659221347924837E-3</v>
      </c>
      <c r="AO9" s="582">
        <f t="shared" si="1"/>
        <v>1.8706113897217441E-3</v>
      </c>
      <c r="AP9" s="582">
        <f t="shared" si="1"/>
        <v>1.8755657478873005E-3</v>
      </c>
      <c r="AQ9" s="582">
        <f t="shared" si="1"/>
        <v>1.8823404182626814E-3</v>
      </c>
      <c r="AR9" s="582">
        <f t="shared" si="1"/>
        <v>1.8859708207870861E-3</v>
      </c>
      <c r="AS9" s="582">
        <f t="shared" si="1"/>
        <v>1.8889268729750533E-3</v>
      </c>
      <c r="AT9" s="582">
        <f t="shared" si="1"/>
        <v>1.8923632102756868E-3</v>
      </c>
      <c r="AU9" s="582">
        <f t="shared" si="1"/>
        <v>1.8912425216535576E-3</v>
      </c>
      <c r="AV9" s="582">
        <f t="shared" si="1"/>
        <v>1.8943575094433366E-3</v>
      </c>
      <c r="AW9" s="582">
        <f t="shared" si="1"/>
        <v>1.8889437168305295E-3</v>
      </c>
      <c r="AX9" s="582">
        <f t="shared" si="1"/>
        <v>1.889763567024793E-3</v>
      </c>
      <c r="AY9" s="582">
        <f t="shared" si="1"/>
        <v>1.8859852422042291E-3</v>
      </c>
      <c r="AZ9" s="582">
        <f t="shared" si="1"/>
        <v>1.8818087944402061E-3</v>
      </c>
    </row>
    <row r="10" spans="4:52" x14ac:dyDescent="0.2">
      <c r="D10" s="332" t="s">
        <v>1038</v>
      </c>
      <c r="M10" s="332" t="s">
        <v>1039</v>
      </c>
    </row>
    <row r="25" spans="9:24" x14ac:dyDescent="0.2">
      <c r="I25" s="376" t="s">
        <v>0</v>
      </c>
      <c r="X25" s="376" t="s">
        <v>209</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3"/>
  <sheetViews>
    <sheetView showGridLines="0" zoomScaleNormal="100" workbookViewId="0"/>
  </sheetViews>
  <sheetFormatPr defaultColWidth="9.42578125" defaultRowHeight="15.75" customHeight="1" x14ac:dyDescent="0.2"/>
  <cols>
    <col min="1" max="1" width="14.42578125" style="209" customWidth="1"/>
    <col min="2" max="2" width="9.42578125" style="209" customWidth="1"/>
    <col min="3" max="3" width="47.5703125" style="209" customWidth="1"/>
    <col min="4" max="8" width="9.42578125" style="209"/>
    <col min="9" max="12" width="9.42578125" style="209" customWidth="1"/>
    <col min="13" max="16384" width="9.42578125" style="209"/>
  </cols>
  <sheetData>
    <row r="1" spans="1:17" ht="15.75" customHeight="1" x14ac:dyDescent="0.2">
      <c r="A1" s="289"/>
    </row>
    <row r="2" spans="1:17" ht="12.75" x14ac:dyDescent="0.2"/>
    <row r="3" spans="1:17" ht="12.75" x14ac:dyDescent="0.2"/>
    <row r="4" spans="1:17" ht="12.75" x14ac:dyDescent="0.2"/>
    <row r="5" spans="1:17" ht="13.5" thickBot="1" x14ac:dyDescent="0.25">
      <c r="B5" s="739" t="s">
        <v>1046</v>
      </c>
      <c r="C5" s="739"/>
      <c r="D5" s="739"/>
      <c r="E5" s="739"/>
      <c r="F5" s="739"/>
      <c r="G5" s="739"/>
      <c r="H5" s="739"/>
      <c r="I5" s="739"/>
      <c r="J5" s="739"/>
      <c r="K5" s="739"/>
      <c r="L5" s="739"/>
      <c r="O5" s="591"/>
    </row>
    <row r="6" spans="1:17" ht="16.5" customHeight="1" thickBot="1" x14ac:dyDescent="0.25">
      <c r="B6" s="592" t="s">
        <v>333</v>
      </c>
      <c r="C6" s="592" t="s">
        <v>334</v>
      </c>
      <c r="D6" s="214"/>
      <c r="E6" s="740" t="s">
        <v>335</v>
      </c>
      <c r="F6" s="741"/>
      <c r="G6" s="741"/>
      <c r="H6" s="742"/>
      <c r="I6" s="738" t="s">
        <v>336</v>
      </c>
      <c r="J6" s="736"/>
      <c r="K6" s="736"/>
      <c r="L6" s="736"/>
    </row>
    <row r="7" spans="1:17" ht="16.5" customHeight="1" thickBot="1" x14ac:dyDescent="0.25">
      <c r="B7" s="593"/>
      <c r="C7" s="593"/>
      <c r="D7" s="436" t="s">
        <v>337</v>
      </c>
      <c r="E7" s="448">
        <v>2024</v>
      </c>
      <c r="F7" s="436">
        <v>2025</v>
      </c>
      <c r="G7" s="436">
        <v>2026</v>
      </c>
      <c r="H7" s="435">
        <v>2027</v>
      </c>
      <c r="I7" s="448">
        <v>2024</v>
      </c>
      <c r="J7" s="436">
        <v>2025</v>
      </c>
      <c r="K7" s="436">
        <v>2026</v>
      </c>
      <c r="L7" s="435">
        <v>2027</v>
      </c>
    </row>
    <row r="8" spans="1:17" ht="16.5" customHeight="1" x14ac:dyDescent="0.2">
      <c r="B8" s="128">
        <v>1</v>
      </c>
      <c r="C8" s="138" t="s">
        <v>1016</v>
      </c>
      <c r="D8" s="128" t="s">
        <v>338</v>
      </c>
      <c r="E8" s="594">
        <v>131.42891805398</v>
      </c>
      <c r="F8" s="302">
        <v>140.36367969285291</v>
      </c>
      <c r="G8" s="302">
        <v>146.95717300683503</v>
      </c>
      <c r="H8" s="595">
        <v>152.67844092153308</v>
      </c>
      <c r="I8" s="596">
        <v>131.2043720036784</v>
      </c>
      <c r="J8" s="600">
        <v>139.90135611560947</v>
      </c>
      <c r="K8" s="600">
        <v>147.3051748841948</v>
      </c>
      <c r="L8" s="600">
        <v>152.14839182928742</v>
      </c>
      <c r="N8" s="685"/>
      <c r="O8" s="226"/>
      <c r="P8" s="226"/>
      <c r="Q8" s="226"/>
    </row>
    <row r="9" spans="1:17" ht="16.5" customHeight="1" x14ac:dyDescent="0.2">
      <c r="B9" s="128">
        <v>2</v>
      </c>
      <c r="C9" s="138" t="s">
        <v>339</v>
      </c>
      <c r="D9" s="128" t="s">
        <v>311</v>
      </c>
      <c r="E9" s="594">
        <v>1.9592356125100574</v>
      </c>
      <c r="F9" s="302">
        <v>3.0675846128280337</v>
      </c>
      <c r="G9" s="302">
        <v>2.2293335304470308</v>
      </c>
      <c r="H9" s="595">
        <v>1.645643166236832</v>
      </c>
      <c r="I9" s="596">
        <v>2.3001611800970156</v>
      </c>
      <c r="J9" s="596">
        <v>2.2237888482639301</v>
      </c>
      <c r="K9" s="596">
        <v>2.3581013003481921</v>
      </c>
      <c r="L9" s="596">
        <v>1.0444682263513361</v>
      </c>
    </row>
    <row r="10" spans="1:17" ht="16.5" customHeight="1" x14ac:dyDescent="0.2">
      <c r="B10" s="128">
        <v>3</v>
      </c>
      <c r="C10" s="497" t="s">
        <v>340</v>
      </c>
      <c r="D10" s="128" t="s">
        <v>311</v>
      </c>
      <c r="E10" s="597">
        <v>2.2552117245767</v>
      </c>
      <c r="F10" s="598">
        <v>2.2333536638067697</v>
      </c>
      <c r="G10" s="598">
        <v>1.8905245035901741</v>
      </c>
      <c r="H10" s="599">
        <v>1.6714894609960007</v>
      </c>
      <c r="I10" s="596">
        <v>2.9285632062673761</v>
      </c>
      <c r="J10" s="600">
        <v>1.4276818118596157</v>
      </c>
      <c r="K10" s="600">
        <v>1.8586474706086431</v>
      </c>
      <c r="L10" s="600">
        <v>2.2870097464442019</v>
      </c>
    </row>
    <row r="11" spans="1:17" ht="16.5" customHeight="1" x14ac:dyDescent="0.2">
      <c r="B11" s="128">
        <v>4</v>
      </c>
      <c r="C11" s="497" t="s">
        <v>341</v>
      </c>
      <c r="D11" s="128" t="s">
        <v>311</v>
      </c>
      <c r="E11" s="597">
        <v>1.9299492696436271</v>
      </c>
      <c r="F11" s="598">
        <v>1.1897157234012523</v>
      </c>
      <c r="G11" s="598">
        <v>0.80145489110614587</v>
      </c>
      <c r="H11" s="599">
        <v>-0.54330107094544555</v>
      </c>
      <c r="I11" s="596">
        <v>3.5771204379397847</v>
      </c>
      <c r="J11" s="596">
        <v>0.10214568431361482</v>
      </c>
      <c r="K11" s="596">
        <v>-0.44561468549270122</v>
      </c>
      <c r="L11" s="596">
        <v>-0.22296202121065978</v>
      </c>
    </row>
    <row r="12" spans="1:17" ht="16.5" customHeight="1" x14ac:dyDescent="0.2">
      <c r="B12" s="128">
        <v>5</v>
      </c>
      <c r="C12" s="497" t="s">
        <v>342</v>
      </c>
      <c r="D12" s="128" t="s">
        <v>311</v>
      </c>
      <c r="E12" s="597">
        <v>-1.5673558462867776</v>
      </c>
      <c r="F12" s="598">
        <v>10.761802023911549</v>
      </c>
      <c r="G12" s="598">
        <v>-1.411469036121149</v>
      </c>
      <c r="H12" s="599">
        <v>-3.8394191336083128</v>
      </c>
      <c r="I12" s="596">
        <v>-0.26622763590998799</v>
      </c>
      <c r="J12" s="600">
        <v>10.596546037200971</v>
      </c>
      <c r="K12" s="600">
        <v>0.35785681400926084</v>
      </c>
      <c r="L12" s="600">
        <v>-4.8900467807164834</v>
      </c>
    </row>
    <row r="13" spans="1:17" ht="16.5" customHeight="1" x14ac:dyDescent="0.2">
      <c r="B13" s="128">
        <v>6</v>
      </c>
      <c r="C13" s="497" t="s">
        <v>343</v>
      </c>
      <c r="D13" s="128" t="s">
        <v>311</v>
      </c>
      <c r="E13" s="597">
        <v>2.7727504149922089</v>
      </c>
      <c r="F13" s="598">
        <v>3.1194367862004579</v>
      </c>
      <c r="G13" s="598">
        <v>4.4577857628242734</v>
      </c>
      <c r="H13" s="599">
        <v>4.4996741192630862</v>
      </c>
      <c r="I13" s="596">
        <v>1.7728814749465638</v>
      </c>
      <c r="J13" s="600">
        <v>3.7391625243427651</v>
      </c>
      <c r="K13" s="600">
        <v>4.3264587220484207</v>
      </c>
      <c r="L13" s="600">
        <v>4.5713886091827138</v>
      </c>
    </row>
    <row r="14" spans="1:17" ht="16.5" customHeight="1" x14ac:dyDescent="0.2">
      <c r="B14" s="128">
        <v>7</v>
      </c>
      <c r="C14" s="497" t="s">
        <v>344</v>
      </c>
      <c r="D14" s="128" t="s">
        <v>311</v>
      </c>
      <c r="E14" s="597">
        <v>6.3456605153852319</v>
      </c>
      <c r="F14" s="598">
        <v>4.7454230170216771</v>
      </c>
      <c r="G14" s="598">
        <v>3.1321680625864268</v>
      </c>
      <c r="H14" s="599">
        <v>2.94372594245218</v>
      </c>
      <c r="I14" s="596">
        <v>4.7669842639754156</v>
      </c>
      <c r="J14" s="600">
        <v>6.6961099784689448</v>
      </c>
      <c r="K14" s="600">
        <v>3.0236364370956226</v>
      </c>
      <c r="L14" s="600">
        <v>3.7381962959730952</v>
      </c>
    </row>
    <row r="15" spans="1:17" ht="16.5" customHeight="1" x14ac:dyDescent="0.2">
      <c r="B15" s="128">
        <v>8</v>
      </c>
      <c r="C15" s="138" t="s">
        <v>345</v>
      </c>
      <c r="D15" s="128" t="s">
        <v>311</v>
      </c>
      <c r="E15" s="597">
        <v>-0.34471568117525608</v>
      </c>
      <c r="F15" s="598">
        <v>0.73599545046849624</v>
      </c>
      <c r="G15" s="598">
        <v>0.97425154639403377</v>
      </c>
      <c r="H15" s="599">
        <v>0.79488612879268228</v>
      </c>
      <c r="I15" s="596">
        <v>-0.5335595221386602</v>
      </c>
      <c r="J15" s="600">
        <v>-0.56420527405601772</v>
      </c>
      <c r="K15" s="600">
        <v>-0.45075095264367482</v>
      </c>
      <c r="L15" s="600">
        <v>-1.2902342245665777</v>
      </c>
      <c r="O15" s="601"/>
    </row>
    <row r="16" spans="1:17" ht="16.5" customHeight="1" x14ac:dyDescent="0.2">
      <c r="B16" s="128">
        <v>9</v>
      </c>
      <c r="C16" s="138" t="s">
        <v>346</v>
      </c>
      <c r="D16" s="128" t="s">
        <v>311</v>
      </c>
      <c r="E16" s="597">
        <v>6.2937062937062915</v>
      </c>
      <c r="F16" s="598">
        <v>5.5263157894736903</v>
      </c>
      <c r="G16" s="598">
        <v>4.3640897755610863</v>
      </c>
      <c r="H16" s="599">
        <v>4.0023894862604603</v>
      </c>
      <c r="I16" s="596">
        <v>6.8531468531468631</v>
      </c>
      <c r="J16" s="600">
        <v>5.8900523560209361</v>
      </c>
      <c r="K16" s="600">
        <v>5.1915945611866521</v>
      </c>
      <c r="L16" s="600">
        <v>4.8766157461809678</v>
      </c>
    </row>
    <row r="17" spans="2:12" ht="16.5" customHeight="1" x14ac:dyDescent="0.2">
      <c r="B17" s="128">
        <v>10</v>
      </c>
      <c r="C17" s="138" t="s">
        <v>347</v>
      </c>
      <c r="D17" s="128" t="s">
        <v>311</v>
      </c>
      <c r="E17" s="597">
        <v>0.18410012437879431</v>
      </c>
      <c r="F17" s="598">
        <v>0.21336775142286601</v>
      </c>
      <c r="G17" s="598">
        <v>2.5334267869148164E-2</v>
      </c>
      <c r="H17" s="599">
        <v>-0.2852558211225209</v>
      </c>
      <c r="I17" s="596">
        <v>0.34158155341021956</v>
      </c>
      <c r="J17" s="600">
        <v>-0.19000148810671691</v>
      </c>
      <c r="K17" s="600">
        <v>-0.21572048340079419</v>
      </c>
      <c r="L17" s="600">
        <v>-0.29705088783475997</v>
      </c>
    </row>
    <row r="18" spans="2:12" ht="16.5" customHeight="1" x14ac:dyDescent="0.2">
      <c r="B18" s="128">
        <v>11</v>
      </c>
      <c r="C18" s="497" t="s">
        <v>348</v>
      </c>
      <c r="D18" s="128" t="s">
        <v>311</v>
      </c>
      <c r="E18" s="597">
        <v>0.15913084186538473</v>
      </c>
      <c r="F18" s="598">
        <v>0.70805494608694453</v>
      </c>
      <c r="G18" s="598">
        <v>0.53064066381913744</v>
      </c>
      <c r="H18" s="599">
        <v>7.7396310356170339E-2</v>
      </c>
      <c r="I18" s="596">
        <v>-0.10283914223184754</v>
      </c>
      <c r="J18" s="600">
        <v>0.41603349228873654</v>
      </c>
      <c r="K18" s="600">
        <v>0.2028282484552113</v>
      </c>
      <c r="L18" s="600">
        <v>5.1574843241097845E-2</v>
      </c>
    </row>
    <row r="19" spans="2:12" ht="16.5" customHeight="1" x14ac:dyDescent="0.2">
      <c r="B19" s="128">
        <v>12</v>
      </c>
      <c r="C19" s="497" t="s">
        <v>349</v>
      </c>
      <c r="D19" s="128" t="s">
        <v>311</v>
      </c>
      <c r="E19" s="597">
        <v>5.5314170368251752</v>
      </c>
      <c r="F19" s="598">
        <v>5.2388811419198751</v>
      </c>
      <c r="G19" s="598">
        <v>5.0618558289974684</v>
      </c>
      <c r="H19" s="599">
        <v>4.9679591397263678</v>
      </c>
      <c r="I19" s="596">
        <v>5.3703423443079039</v>
      </c>
      <c r="J19" s="600">
        <v>5.2576510825392049</v>
      </c>
      <c r="K19" s="600">
        <v>5.121620443361933</v>
      </c>
      <c r="L19" s="600">
        <v>4.9896499349845884</v>
      </c>
    </row>
    <row r="20" spans="2:12" ht="16.5" customHeight="1" x14ac:dyDescent="0.2">
      <c r="B20" s="128">
        <v>13</v>
      </c>
      <c r="C20" s="497" t="s">
        <v>350</v>
      </c>
      <c r="D20" s="128" t="s">
        <v>311</v>
      </c>
      <c r="E20" s="597">
        <v>5.9351036553276684</v>
      </c>
      <c r="F20" s="598">
        <v>5.6234801137694443</v>
      </c>
      <c r="G20" s="598">
        <v>5.4330509277074972</v>
      </c>
      <c r="H20" s="599">
        <v>5.3290181304462374</v>
      </c>
      <c r="I20" s="596">
        <v>5.9926434619087541</v>
      </c>
      <c r="J20" s="600">
        <v>5.8689048871934393</v>
      </c>
      <c r="K20" s="600">
        <v>5.7212868501825964</v>
      </c>
      <c r="L20" s="600">
        <v>5.5551765308326697</v>
      </c>
    </row>
    <row r="21" spans="2:12" ht="16.5" customHeight="1" x14ac:dyDescent="0.2">
      <c r="B21" s="128">
        <v>14</v>
      </c>
      <c r="C21" s="497" t="s">
        <v>351</v>
      </c>
      <c r="D21" s="128" t="s">
        <v>311</v>
      </c>
      <c r="E21" s="597">
        <v>3.2295068853954279</v>
      </c>
      <c r="F21" s="598">
        <v>4.4066826092004519</v>
      </c>
      <c r="G21" s="598">
        <v>2.4335588824360377</v>
      </c>
      <c r="H21" s="599">
        <v>2.3694617217125513</v>
      </c>
      <c r="I21" s="596">
        <v>2.9702129126655707</v>
      </c>
      <c r="J21" s="600">
        <v>5.5802231956637804</v>
      </c>
      <c r="K21" s="600">
        <v>2.8180924125518203</v>
      </c>
      <c r="L21" s="600">
        <v>2.2618401380916531</v>
      </c>
    </row>
    <row r="22" spans="2:12" ht="15.75" customHeight="1" thickBot="1" x14ac:dyDescent="0.25">
      <c r="B22" s="602">
        <v>15</v>
      </c>
      <c r="C22" s="444" t="s">
        <v>352</v>
      </c>
      <c r="D22" s="602" t="s">
        <v>311</v>
      </c>
      <c r="E22" s="603">
        <v>-3.1819277072321297</v>
      </c>
      <c r="F22" s="604">
        <v>-3.8728427772387488</v>
      </c>
      <c r="G22" s="604">
        <v>-3.186290072150765</v>
      </c>
      <c r="H22" s="605">
        <v>-2.4539563274879082</v>
      </c>
      <c r="I22" s="418">
        <v>-2.0407854906337937</v>
      </c>
      <c r="J22" s="606">
        <v>-3.5151536361536015</v>
      </c>
      <c r="K22" s="606">
        <v>-2.8472367555687246</v>
      </c>
      <c r="L22" s="606">
        <v>-2.4689609441924594</v>
      </c>
    </row>
    <row r="23" spans="2:12" ht="15.75" customHeight="1" x14ac:dyDescent="0.2">
      <c r="B23" s="743" t="s">
        <v>1015</v>
      </c>
      <c r="C23" s="743"/>
      <c r="D23" s="743"/>
      <c r="E23" s="214"/>
      <c r="J23" s="744" t="s">
        <v>0</v>
      </c>
      <c r="K23" s="744"/>
      <c r="L23" s="744"/>
    </row>
    <row r="24" spans="2:12" ht="15.75" customHeight="1" x14ac:dyDescent="0.2">
      <c r="B24" s="607"/>
      <c r="C24" s="607"/>
      <c r="D24" s="607"/>
      <c r="E24" s="214"/>
      <c r="J24" s="608"/>
      <c r="K24" s="608"/>
      <c r="L24" s="608"/>
    </row>
    <row r="25" spans="2:12" ht="15.75" customHeight="1" thickBot="1" x14ac:dyDescent="0.25">
      <c r="B25" s="739" t="s">
        <v>1047</v>
      </c>
      <c r="C25" s="739"/>
      <c r="D25" s="739"/>
      <c r="E25" s="739"/>
      <c r="F25" s="739"/>
      <c r="G25" s="739"/>
      <c r="H25" s="739"/>
      <c r="I25" s="739"/>
      <c r="J25" s="739"/>
      <c r="K25" s="739"/>
      <c r="L25" s="739"/>
    </row>
    <row r="26" spans="2:12" ht="15.75" customHeight="1" thickBot="1" x14ac:dyDescent="0.25">
      <c r="B26" s="592" t="s">
        <v>353</v>
      </c>
      <c r="C26" s="592" t="s">
        <v>354</v>
      </c>
      <c r="D26" s="214"/>
      <c r="E26" s="735" t="s">
        <v>355</v>
      </c>
      <c r="F26" s="736"/>
      <c r="G26" s="736"/>
      <c r="H26" s="737"/>
      <c r="I26" s="738" t="s">
        <v>356</v>
      </c>
      <c r="J26" s="736"/>
      <c r="K26" s="736"/>
      <c r="L26" s="736"/>
    </row>
    <row r="27" spans="2:12" ht="15.75" customHeight="1" thickBot="1" x14ac:dyDescent="0.25">
      <c r="B27" s="593"/>
      <c r="C27" s="593"/>
      <c r="D27" s="436" t="s">
        <v>357</v>
      </c>
      <c r="E27" s="448">
        <f>E7</f>
        <v>2024</v>
      </c>
      <c r="F27" s="436">
        <f t="shared" ref="F27:L27" si="0">F7</f>
        <v>2025</v>
      </c>
      <c r="G27" s="436">
        <f t="shared" si="0"/>
        <v>2026</v>
      </c>
      <c r="H27" s="435">
        <f t="shared" si="0"/>
        <v>2027</v>
      </c>
      <c r="I27" s="609">
        <f t="shared" si="0"/>
        <v>2024</v>
      </c>
      <c r="J27" s="609">
        <f t="shared" si="0"/>
        <v>2025</v>
      </c>
      <c r="K27" s="609">
        <f t="shared" si="0"/>
        <v>2026</v>
      </c>
      <c r="L27" s="609">
        <f t="shared" si="0"/>
        <v>2027</v>
      </c>
    </row>
    <row r="28" spans="2:12" ht="15.75" customHeight="1" x14ac:dyDescent="0.2">
      <c r="B28" s="128">
        <v>1</v>
      </c>
      <c r="C28" s="138" t="s">
        <v>1018</v>
      </c>
      <c r="D28" s="128" t="s">
        <v>359</v>
      </c>
      <c r="E28" s="594">
        <f t="shared" ref="E28:L42" si="1">E8</f>
        <v>131.42891805398</v>
      </c>
      <c r="F28" s="302">
        <f t="shared" si="1"/>
        <v>140.36367969285291</v>
      </c>
      <c r="G28" s="302">
        <f t="shared" si="1"/>
        <v>146.95717300683503</v>
      </c>
      <c r="H28" s="595">
        <f t="shared" si="1"/>
        <v>152.67844092153308</v>
      </c>
      <c r="I28" s="302">
        <f t="shared" si="1"/>
        <v>131.2043720036784</v>
      </c>
      <c r="J28" s="302">
        <f t="shared" si="1"/>
        <v>139.90135611560947</v>
      </c>
      <c r="K28" s="302">
        <f t="shared" si="1"/>
        <v>147.3051748841948</v>
      </c>
      <c r="L28" s="302">
        <f t="shared" si="1"/>
        <v>152.14839182928742</v>
      </c>
    </row>
    <row r="29" spans="2:12" ht="15.75" customHeight="1" x14ac:dyDescent="0.2">
      <c r="B29" s="128">
        <v>2</v>
      </c>
      <c r="C29" s="138" t="s">
        <v>360</v>
      </c>
      <c r="D29" s="128" t="s">
        <v>311</v>
      </c>
      <c r="E29" s="594">
        <f t="shared" si="1"/>
        <v>1.9592356125100574</v>
      </c>
      <c r="F29" s="302">
        <f t="shared" si="1"/>
        <v>3.0675846128280337</v>
      </c>
      <c r="G29" s="302">
        <f t="shared" si="1"/>
        <v>2.2293335304470308</v>
      </c>
      <c r="H29" s="595">
        <f t="shared" si="1"/>
        <v>1.645643166236832</v>
      </c>
      <c r="I29" s="302">
        <f t="shared" si="1"/>
        <v>2.3001611800970156</v>
      </c>
      <c r="J29" s="302">
        <f t="shared" si="1"/>
        <v>2.2237888482639301</v>
      </c>
      <c r="K29" s="302">
        <f t="shared" si="1"/>
        <v>2.3581013003481921</v>
      </c>
      <c r="L29" s="302">
        <f t="shared" si="1"/>
        <v>1.0444682263513361</v>
      </c>
    </row>
    <row r="30" spans="2:12" ht="15.75" customHeight="1" x14ac:dyDescent="0.2">
      <c r="B30" s="128">
        <v>3</v>
      </c>
      <c r="C30" s="138" t="s">
        <v>361</v>
      </c>
      <c r="D30" s="128" t="s">
        <v>311</v>
      </c>
      <c r="E30" s="594">
        <f t="shared" si="1"/>
        <v>2.2552117245767</v>
      </c>
      <c r="F30" s="302">
        <f t="shared" si="1"/>
        <v>2.2333536638067697</v>
      </c>
      <c r="G30" s="302">
        <f t="shared" si="1"/>
        <v>1.8905245035901741</v>
      </c>
      <c r="H30" s="595">
        <f t="shared" si="1"/>
        <v>1.6714894609960007</v>
      </c>
      <c r="I30" s="596">
        <f t="shared" si="1"/>
        <v>2.9285632062673761</v>
      </c>
      <c r="J30" s="600">
        <f t="shared" si="1"/>
        <v>1.4276818118596157</v>
      </c>
      <c r="K30" s="600">
        <f t="shared" si="1"/>
        <v>1.8586474706086431</v>
      </c>
      <c r="L30" s="600">
        <f t="shared" si="1"/>
        <v>2.2870097464442019</v>
      </c>
    </row>
    <row r="31" spans="2:12" ht="15.75" customHeight="1" x14ac:dyDescent="0.2">
      <c r="B31" s="128">
        <v>4</v>
      </c>
      <c r="C31" s="138" t="s">
        <v>362</v>
      </c>
      <c r="D31" s="128" t="s">
        <v>311</v>
      </c>
      <c r="E31" s="594">
        <f t="shared" si="1"/>
        <v>1.9299492696436271</v>
      </c>
      <c r="F31" s="302">
        <f t="shared" si="1"/>
        <v>1.1897157234012523</v>
      </c>
      <c r="G31" s="302">
        <f t="shared" si="1"/>
        <v>0.80145489110614587</v>
      </c>
      <c r="H31" s="595">
        <f t="shared" si="1"/>
        <v>-0.54330107094544555</v>
      </c>
      <c r="I31" s="596">
        <f t="shared" si="1"/>
        <v>3.5771204379397847</v>
      </c>
      <c r="J31" s="600">
        <f t="shared" si="1"/>
        <v>0.10214568431361482</v>
      </c>
      <c r="K31" s="600">
        <f t="shared" si="1"/>
        <v>-0.44561468549270122</v>
      </c>
      <c r="L31" s="600">
        <f t="shared" si="1"/>
        <v>-0.22296202121065978</v>
      </c>
    </row>
    <row r="32" spans="2:12" ht="15.75" customHeight="1" x14ac:dyDescent="0.2">
      <c r="B32" s="128">
        <v>5</v>
      </c>
      <c r="C32" s="138" t="s">
        <v>363</v>
      </c>
      <c r="D32" s="128" t="s">
        <v>311</v>
      </c>
      <c r="E32" s="594">
        <f t="shared" si="1"/>
        <v>-1.5673558462867776</v>
      </c>
      <c r="F32" s="302">
        <f t="shared" si="1"/>
        <v>10.761802023911549</v>
      </c>
      <c r="G32" s="302">
        <f t="shared" si="1"/>
        <v>-1.411469036121149</v>
      </c>
      <c r="H32" s="595">
        <f t="shared" si="1"/>
        <v>-3.8394191336083128</v>
      </c>
      <c r="I32" s="596">
        <f t="shared" si="1"/>
        <v>-0.26622763590998799</v>
      </c>
      <c r="J32" s="600">
        <f t="shared" si="1"/>
        <v>10.596546037200971</v>
      </c>
      <c r="K32" s="600">
        <f t="shared" si="1"/>
        <v>0.35785681400926084</v>
      </c>
      <c r="L32" s="600">
        <f t="shared" si="1"/>
        <v>-4.8900467807164834</v>
      </c>
    </row>
    <row r="33" spans="2:14" ht="15.75" customHeight="1" x14ac:dyDescent="0.2">
      <c r="B33" s="128">
        <v>6</v>
      </c>
      <c r="C33" s="138" t="s">
        <v>364</v>
      </c>
      <c r="D33" s="128" t="s">
        <v>311</v>
      </c>
      <c r="E33" s="594">
        <f t="shared" si="1"/>
        <v>2.7727504149922089</v>
      </c>
      <c r="F33" s="302">
        <f t="shared" si="1"/>
        <v>3.1194367862004579</v>
      </c>
      <c r="G33" s="302">
        <f t="shared" si="1"/>
        <v>4.4577857628242734</v>
      </c>
      <c r="H33" s="595">
        <f t="shared" si="1"/>
        <v>4.4996741192630862</v>
      </c>
      <c r="I33" s="596">
        <f t="shared" si="1"/>
        <v>1.7728814749465638</v>
      </c>
      <c r="J33" s="600">
        <f t="shared" si="1"/>
        <v>3.7391625243427651</v>
      </c>
      <c r="K33" s="600">
        <f t="shared" si="1"/>
        <v>4.3264587220484207</v>
      </c>
      <c r="L33" s="600">
        <f t="shared" si="1"/>
        <v>4.5713886091827138</v>
      </c>
    </row>
    <row r="34" spans="2:14" ht="15.75" customHeight="1" x14ac:dyDescent="0.2">
      <c r="B34" s="128">
        <v>7</v>
      </c>
      <c r="C34" s="138" t="s">
        <v>365</v>
      </c>
      <c r="D34" s="128" t="s">
        <v>311</v>
      </c>
      <c r="E34" s="594">
        <f t="shared" si="1"/>
        <v>6.3456605153852319</v>
      </c>
      <c r="F34" s="302">
        <f t="shared" si="1"/>
        <v>4.7454230170216771</v>
      </c>
      <c r="G34" s="302">
        <f t="shared" si="1"/>
        <v>3.1321680625864268</v>
      </c>
      <c r="H34" s="595">
        <f t="shared" si="1"/>
        <v>2.94372594245218</v>
      </c>
      <c r="I34" s="596">
        <f t="shared" si="1"/>
        <v>4.7669842639754156</v>
      </c>
      <c r="J34" s="600">
        <f t="shared" si="1"/>
        <v>6.6961099784689448</v>
      </c>
      <c r="K34" s="600">
        <f t="shared" si="1"/>
        <v>3.0236364370956226</v>
      </c>
      <c r="L34" s="600">
        <f t="shared" si="1"/>
        <v>3.7381962959730952</v>
      </c>
    </row>
    <row r="35" spans="2:14" ht="15.75" customHeight="1" x14ac:dyDescent="0.2">
      <c r="B35" s="128">
        <v>8</v>
      </c>
      <c r="C35" s="138" t="s">
        <v>366</v>
      </c>
      <c r="D35" s="128" t="s">
        <v>311</v>
      </c>
      <c r="E35" s="594">
        <f t="shared" si="1"/>
        <v>-0.34471568117525608</v>
      </c>
      <c r="F35" s="302">
        <f t="shared" si="1"/>
        <v>0.73599545046849624</v>
      </c>
      <c r="G35" s="302">
        <f t="shared" si="1"/>
        <v>0.97425154639403377</v>
      </c>
      <c r="H35" s="595">
        <f t="shared" si="1"/>
        <v>0.79488612879268228</v>
      </c>
      <c r="I35" s="596">
        <f t="shared" si="1"/>
        <v>-0.5335595221386602</v>
      </c>
      <c r="J35" s="600">
        <f t="shared" si="1"/>
        <v>-0.56420527405601772</v>
      </c>
      <c r="K35" s="600">
        <f t="shared" si="1"/>
        <v>-0.45075095264367482</v>
      </c>
      <c r="L35" s="600">
        <f t="shared" si="1"/>
        <v>-1.2902342245665777</v>
      </c>
    </row>
    <row r="36" spans="2:14" ht="15.75" customHeight="1" x14ac:dyDescent="0.2">
      <c r="B36" s="128">
        <v>9</v>
      </c>
      <c r="C36" s="138" t="s">
        <v>367</v>
      </c>
      <c r="D36" s="128" t="s">
        <v>311</v>
      </c>
      <c r="E36" s="594">
        <f t="shared" si="1"/>
        <v>6.2937062937062915</v>
      </c>
      <c r="F36" s="302">
        <f t="shared" si="1"/>
        <v>5.5263157894736903</v>
      </c>
      <c r="G36" s="302">
        <f t="shared" si="1"/>
        <v>4.3640897755610863</v>
      </c>
      <c r="H36" s="595">
        <f t="shared" si="1"/>
        <v>4.0023894862604603</v>
      </c>
      <c r="I36" s="596">
        <f t="shared" si="1"/>
        <v>6.8531468531468631</v>
      </c>
      <c r="J36" s="600">
        <f t="shared" si="1"/>
        <v>5.8900523560209361</v>
      </c>
      <c r="K36" s="600">
        <f t="shared" si="1"/>
        <v>5.1915945611866521</v>
      </c>
      <c r="L36" s="600">
        <f t="shared" si="1"/>
        <v>4.8766157461809678</v>
      </c>
    </row>
    <row r="37" spans="2:14" ht="15.75" customHeight="1" x14ac:dyDescent="0.2">
      <c r="B37" s="128">
        <v>10</v>
      </c>
      <c r="C37" s="138" t="s">
        <v>368</v>
      </c>
      <c r="D37" s="128" t="s">
        <v>311</v>
      </c>
      <c r="E37" s="594">
        <f t="shared" si="1"/>
        <v>0.18410012437879431</v>
      </c>
      <c r="F37" s="302">
        <f t="shared" si="1"/>
        <v>0.21336775142286601</v>
      </c>
      <c r="G37" s="302">
        <f t="shared" si="1"/>
        <v>2.5334267869148164E-2</v>
      </c>
      <c r="H37" s="595">
        <f t="shared" si="1"/>
        <v>-0.2852558211225209</v>
      </c>
      <c r="I37" s="596">
        <f t="shared" si="1"/>
        <v>0.34158155341021956</v>
      </c>
      <c r="J37" s="600">
        <f t="shared" si="1"/>
        <v>-0.19000148810671691</v>
      </c>
      <c r="K37" s="600">
        <f t="shared" si="1"/>
        <v>-0.21572048340079419</v>
      </c>
      <c r="L37" s="600">
        <f t="shared" si="1"/>
        <v>-0.29705088783475997</v>
      </c>
    </row>
    <row r="38" spans="2:14" ht="15.75" customHeight="1" x14ac:dyDescent="0.2">
      <c r="B38" s="128">
        <v>11</v>
      </c>
      <c r="C38" s="497" t="s">
        <v>369</v>
      </c>
      <c r="D38" s="128" t="s">
        <v>311</v>
      </c>
      <c r="E38" s="594">
        <f t="shared" si="1"/>
        <v>0.15913084186538473</v>
      </c>
      <c r="F38" s="302">
        <f t="shared" si="1"/>
        <v>0.70805494608694453</v>
      </c>
      <c r="G38" s="302">
        <f t="shared" si="1"/>
        <v>0.53064066381913744</v>
      </c>
      <c r="H38" s="595">
        <f t="shared" si="1"/>
        <v>7.7396310356170339E-2</v>
      </c>
      <c r="I38" s="596">
        <f t="shared" si="1"/>
        <v>-0.10283914223184754</v>
      </c>
      <c r="J38" s="600">
        <f t="shared" si="1"/>
        <v>0.41603349228873654</v>
      </c>
      <c r="K38" s="600">
        <f t="shared" si="1"/>
        <v>0.2028282484552113</v>
      </c>
      <c r="L38" s="600">
        <f t="shared" si="1"/>
        <v>5.1574843241097845E-2</v>
      </c>
    </row>
    <row r="39" spans="2:14" ht="15.75" customHeight="1" x14ac:dyDescent="0.2">
      <c r="B39" s="128">
        <v>12</v>
      </c>
      <c r="C39" s="497" t="s">
        <v>370</v>
      </c>
      <c r="D39" s="128" t="s">
        <v>311</v>
      </c>
      <c r="E39" s="594">
        <f t="shared" si="1"/>
        <v>5.5314170368251752</v>
      </c>
      <c r="F39" s="302">
        <f t="shared" si="1"/>
        <v>5.2388811419198751</v>
      </c>
      <c r="G39" s="302">
        <f t="shared" si="1"/>
        <v>5.0618558289974684</v>
      </c>
      <c r="H39" s="595">
        <f t="shared" si="1"/>
        <v>4.9679591397263678</v>
      </c>
      <c r="I39" s="596">
        <f t="shared" si="1"/>
        <v>5.3703423443079039</v>
      </c>
      <c r="J39" s="600">
        <f t="shared" si="1"/>
        <v>5.2576510825392049</v>
      </c>
      <c r="K39" s="600">
        <f t="shared" si="1"/>
        <v>5.121620443361933</v>
      </c>
      <c r="L39" s="600">
        <f t="shared" si="1"/>
        <v>4.9896499349845884</v>
      </c>
    </row>
    <row r="40" spans="2:14" ht="15.75" customHeight="1" x14ac:dyDescent="0.2">
      <c r="B40" s="128">
        <v>13</v>
      </c>
      <c r="C40" s="497" t="s">
        <v>371</v>
      </c>
      <c r="D40" s="128" t="s">
        <v>311</v>
      </c>
      <c r="E40" s="594">
        <f t="shared" si="1"/>
        <v>5.9351036553276684</v>
      </c>
      <c r="F40" s="302">
        <f t="shared" si="1"/>
        <v>5.6234801137694443</v>
      </c>
      <c r="G40" s="302">
        <f t="shared" si="1"/>
        <v>5.4330509277074972</v>
      </c>
      <c r="H40" s="595">
        <f t="shared" si="1"/>
        <v>5.3290181304462374</v>
      </c>
      <c r="I40" s="596">
        <f t="shared" si="1"/>
        <v>5.9926434619087541</v>
      </c>
      <c r="J40" s="600">
        <f t="shared" si="1"/>
        <v>5.8689048871934393</v>
      </c>
      <c r="K40" s="600">
        <f t="shared" si="1"/>
        <v>5.7212868501825964</v>
      </c>
      <c r="L40" s="600">
        <f t="shared" si="1"/>
        <v>5.5551765308326697</v>
      </c>
    </row>
    <row r="41" spans="2:14" ht="15.75" customHeight="1" x14ac:dyDescent="0.2">
      <c r="B41" s="128">
        <v>14</v>
      </c>
      <c r="C41" s="497" t="s">
        <v>372</v>
      </c>
      <c r="D41" s="128" t="s">
        <v>311</v>
      </c>
      <c r="E41" s="594">
        <f t="shared" si="1"/>
        <v>3.2295068853954279</v>
      </c>
      <c r="F41" s="302">
        <f t="shared" si="1"/>
        <v>4.4066826092004519</v>
      </c>
      <c r="G41" s="302">
        <f t="shared" si="1"/>
        <v>2.4335588824360377</v>
      </c>
      <c r="H41" s="595">
        <f t="shared" si="1"/>
        <v>2.3694617217125513</v>
      </c>
      <c r="I41" s="596">
        <f t="shared" si="1"/>
        <v>2.9702129126655707</v>
      </c>
      <c r="J41" s="600">
        <f t="shared" si="1"/>
        <v>5.5802231956637804</v>
      </c>
      <c r="K41" s="600">
        <f t="shared" si="1"/>
        <v>2.8180924125518203</v>
      </c>
      <c r="L41" s="600">
        <f t="shared" si="1"/>
        <v>2.2618401380916531</v>
      </c>
    </row>
    <row r="42" spans="2:14" ht="15.75" customHeight="1" thickBot="1" x14ac:dyDescent="0.25">
      <c r="B42" s="602">
        <v>15</v>
      </c>
      <c r="C42" s="444" t="s">
        <v>373</v>
      </c>
      <c r="D42" s="602" t="s">
        <v>311</v>
      </c>
      <c r="E42" s="610">
        <f t="shared" si="1"/>
        <v>-3.1819277072321297</v>
      </c>
      <c r="F42" s="611">
        <f t="shared" si="1"/>
        <v>-3.8728427772387488</v>
      </c>
      <c r="G42" s="611">
        <f t="shared" si="1"/>
        <v>-3.186290072150765</v>
      </c>
      <c r="H42" s="612">
        <f t="shared" si="1"/>
        <v>-2.4539563274879082</v>
      </c>
      <c r="I42" s="611">
        <f t="shared" si="1"/>
        <v>-2.0407854906337937</v>
      </c>
      <c r="J42" s="613">
        <f t="shared" si="1"/>
        <v>-3.5151536361536015</v>
      </c>
      <c r="K42" s="613">
        <f t="shared" si="1"/>
        <v>-2.8472367555687246</v>
      </c>
      <c r="L42" s="613">
        <f t="shared" si="1"/>
        <v>-2.4689609441924594</v>
      </c>
      <c r="M42" s="216"/>
      <c r="N42" s="216"/>
    </row>
    <row r="43" spans="2:14" ht="15.75" customHeight="1" x14ac:dyDescent="0.2">
      <c r="B43" s="209" t="s">
        <v>1017</v>
      </c>
      <c r="L43" s="614" t="s">
        <v>374</v>
      </c>
      <c r="M43" s="615"/>
      <c r="N43" s="615"/>
    </row>
  </sheetData>
  <mergeCells count="8">
    <mergeCell ref="E26:H26"/>
    <mergeCell ref="I26:L26"/>
    <mergeCell ref="B5:L5"/>
    <mergeCell ref="E6:H6"/>
    <mergeCell ref="I6:L6"/>
    <mergeCell ref="B23:D23"/>
    <mergeCell ref="J23:L23"/>
    <mergeCell ref="B25:L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D53"/>
  <sheetViews>
    <sheetView showGridLines="0" zoomScaleNormal="100" workbookViewId="0"/>
  </sheetViews>
  <sheetFormatPr defaultColWidth="9.42578125" defaultRowHeight="13.5" x14ac:dyDescent="0.25"/>
  <cols>
    <col min="1" max="1" width="34.5703125" style="10" customWidth="1"/>
    <col min="2" max="7" width="7.5703125" style="10" customWidth="1"/>
    <col min="8" max="8" width="2" style="10" customWidth="1"/>
    <col min="9" max="9" width="2.5703125" style="10" customWidth="1"/>
    <col min="10" max="10" width="36.42578125" style="10" customWidth="1"/>
    <col min="11" max="16" width="8.42578125" style="10" customWidth="1"/>
    <col min="17" max="16384" width="9.42578125" style="10"/>
  </cols>
  <sheetData>
    <row r="3" spans="1:16" ht="14.25" thickBot="1" x14ac:dyDescent="0.3">
      <c r="J3" s="110" t="s">
        <v>508</v>
      </c>
      <c r="K3" s="102"/>
      <c r="L3" s="102"/>
      <c r="M3" s="102"/>
      <c r="N3" s="102"/>
      <c r="O3" s="102"/>
      <c r="P3" s="102"/>
    </row>
    <row r="4" spans="1:16" x14ac:dyDescent="0.25">
      <c r="A4" s="94"/>
    </row>
    <row r="5" spans="1:16" ht="14.25" thickBot="1" x14ac:dyDescent="0.3">
      <c r="A5" s="110" t="s">
        <v>506</v>
      </c>
      <c r="B5" s="102"/>
      <c r="C5" s="102"/>
      <c r="D5" s="102"/>
      <c r="H5" s="11"/>
      <c r="I5" s="11"/>
    </row>
    <row r="20" spans="1:30" ht="14.25" thickBot="1" x14ac:dyDescent="0.3">
      <c r="A20" s="707" t="s">
        <v>227</v>
      </c>
      <c r="B20" s="707"/>
      <c r="C20" s="707"/>
      <c r="D20" s="707"/>
      <c r="E20" s="707"/>
      <c r="F20" s="707"/>
      <c r="G20" s="707"/>
      <c r="H20" s="710"/>
      <c r="I20" s="710"/>
      <c r="P20" s="124" t="s">
        <v>257</v>
      </c>
    </row>
    <row r="21" spans="1:30" ht="14.25" thickBot="1" x14ac:dyDescent="0.3">
      <c r="A21" s="111"/>
      <c r="B21" s="112">
        <v>2023</v>
      </c>
      <c r="C21" s="112">
        <v>2024</v>
      </c>
      <c r="D21" s="112">
        <v>2025</v>
      </c>
      <c r="E21" s="112">
        <v>2026</v>
      </c>
      <c r="F21" s="112">
        <v>2027</v>
      </c>
      <c r="H21" s="11"/>
      <c r="I21" s="11"/>
      <c r="J21" s="708" t="s">
        <v>1077</v>
      </c>
      <c r="K21" s="708"/>
      <c r="L21" s="708"/>
      <c r="M21" s="708"/>
      <c r="N21" s="708"/>
      <c r="O21" s="708"/>
      <c r="P21" s="709"/>
    </row>
    <row r="22" spans="1:30" ht="15.75" thickBot="1" x14ac:dyDescent="0.3">
      <c r="A22" s="115" t="s">
        <v>1065</v>
      </c>
      <c r="B22" s="99">
        <v>-4.8934746579132851</v>
      </c>
      <c r="C22" s="99">
        <v>-5.7853712374767481</v>
      </c>
      <c r="D22" s="99">
        <v>-4.72</v>
      </c>
      <c r="E22" s="99">
        <v>-4.16</v>
      </c>
      <c r="F22" s="99">
        <v>-4.87</v>
      </c>
      <c r="J22" s="113"/>
      <c r="K22" s="114">
        <v>2023</v>
      </c>
      <c r="L22" s="114">
        <v>2024</v>
      </c>
      <c r="M22" s="114">
        <v>2025</v>
      </c>
      <c r="N22" s="114">
        <v>2026</v>
      </c>
      <c r="O22" s="114">
        <v>2027</v>
      </c>
      <c r="P22" s="154"/>
      <c r="Q22"/>
      <c r="R22"/>
      <c r="S22"/>
      <c r="T22"/>
      <c r="U22"/>
      <c r="V22"/>
      <c r="W22"/>
      <c r="X22"/>
      <c r="Y22"/>
      <c r="Z22"/>
      <c r="AA22"/>
      <c r="AB22"/>
      <c r="AC22"/>
    </row>
    <row r="23" spans="1:30" ht="15" x14ac:dyDescent="0.25">
      <c r="A23" s="115" t="s">
        <v>1064</v>
      </c>
      <c r="C23" s="156"/>
      <c r="D23" s="99">
        <f>D22</f>
        <v>-4.72</v>
      </c>
      <c r="E23" s="99">
        <v>-3.72</v>
      </c>
      <c r="F23" s="99">
        <v>-3</v>
      </c>
      <c r="H23" s="132"/>
      <c r="J23" s="115" t="s">
        <v>1065</v>
      </c>
      <c r="K23" s="127">
        <v>56.044684106407637</v>
      </c>
      <c r="L23" s="127">
        <v>58.886239114790449</v>
      </c>
      <c r="M23" s="127">
        <v>59.563716918638733</v>
      </c>
      <c r="N23" s="127">
        <v>61.719800685787277</v>
      </c>
      <c r="O23" s="127">
        <v>65.776323112199179</v>
      </c>
      <c r="P23" s="9" t="s">
        <v>574</v>
      </c>
      <c r="Q23"/>
      <c r="R23"/>
      <c r="S23"/>
      <c r="T23"/>
      <c r="U23"/>
      <c r="V23"/>
      <c r="W23"/>
      <c r="X23"/>
      <c r="Y23"/>
      <c r="Z23"/>
      <c r="AA23"/>
      <c r="AB23"/>
      <c r="AC23"/>
    </row>
    <row r="24" spans="1:30" ht="15.75" thickBot="1" x14ac:dyDescent="0.3">
      <c r="A24" s="12"/>
      <c r="B24" s="132"/>
      <c r="C24" s="132"/>
      <c r="D24" s="132"/>
      <c r="E24" s="132"/>
      <c r="F24" s="162" t="s">
        <v>257</v>
      </c>
      <c r="J24" s="691" t="s">
        <v>1064</v>
      </c>
      <c r="K24" s="690"/>
      <c r="L24" s="690"/>
      <c r="M24" s="690">
        <v>59.551286731767902</v>
      </c>
      <c r="N24" s="690">
        <v>60.350269709305316</v>
      </c>
      <c r="O24" s="690">
        <v>60.506868796181436</v>
      </c>
      <c r="P24" s="117" t="s">
        <v>575</v>
      </c>
      <c r="Q24"/>
      <c r="R24"/>
      <c r="S24"/>
      <c r="T24"/>
      <c r="U24"/>
      <c r="V24"/>
      <c r="W24"/>
      <c r="X24"/>
      <c r="Y24"/>
      <c r="Z24"/>
      <c r="AA24"/>
      <c r="AB24"/>
      <c r="AC24"/>
    </row>
    <row r="25" spans="1:30" ht="15" x14ac:dyDescent="0.25">
      <c r="A25" s="12"/>
      <c r="B25" s="96"/>
      <c r="C25" s="119"/>
      <c r="D25" s="96"/>
      <c r="E25" s="96"/>
      <c r="F25" s="96"/>
      <c r="G25" s="162"/>
      <c r="O25" s="124" t="s">
        <v>257</v>
      </c>
      <c r="P25"/>
      <c r="Q25"/>
      <c r="R25"/>
      <c r="S25"/>
      <c r="T25"/>
      <c r="U25"/>
      <c r="V25"/>
      <c r="W25"/>
      <c r="X25"/>
      <c r="Y25"/>
      <c r="Z25"/>
      <c r="AA25"/>
      <c r="AB25"/>
      <c r="AC25"/>
    </row>
    <row r="27" spans="1:30" ht="15.75" thickBot="1" x14ac:dyDescent="0.3">
      <c r="A27" s="110" t="s">
        <v>507</v>
      </c>
      <c r="B27" s="102"/>
      <c r="C27" s="102"/>
      <c r="D27" s="102"/>
      <c r="E27" s="120"/>
      <c r="F27" s="120"/>
      <c r="G27" s="120"/>
      <c r="J27"/>
      <c r="K27"/>
      <c r="L27"/>
      <c r="M27"/>
      <c r="N27"/>
      <c r="O27"/>
      <c r="P27"/>
      <c r="Q27"/>
      <c r="R27"/>
      <c r="S27"/>
      <c r="T27"/>
      <c r="U27"/>
      <c r="V27"/>
      <c r="W27"/>
      <c r="X27"/>
      <c r="Y27"/>
      <c r="Z27"/>
      <c r="AA27"/>
      <c r="AB27"/>
      <c r="AC27"/>
      <c r="AD27"/>
    </row>
    <row r="28" spans="1:30" x14ac:dyDescent="0.25">
      <c r="A28" s="108"/>
      <c r="B28" s="120"/>
      <c r="C28" s="121"/>
      <c r="D28" s="120"/>
      <c r="E28" s="120"/>
      <c r="F28" s="120"/>
      <c r="G28" s="120"/>
      <c r="H28" s="162"/>
      <c r="K28" s="95"/>
      <c r="L28" s="95"/>
      <c r="M28" s="118"/>
      <c r="N28" s="118"/>
      <c r="O28" s="118"/>
      <c r="P28" s="118"/>
    </row>
    <row r="29" spans="1:30" x14ac:dyDescent="0.25">
      <c r="A29" s="108"/>
      <c r="B29" s="120"/>
      <c r="C29" s="121"/>
      <c r="D29" s="120"/>
      <c r="E29" s="120"/>
      <c r="F29" s="120"/>
      <c r="G29" s="120"/>
      <c r="H29" s="162"/>
    </row>
    <row r="30" spans="1:30" x14ac:dyDescent="0.25">
      <c r="A30" s="108"/>
      <c r="B30" s="120"/>
      <c r="C30" s="121"/>
      <c r="D30" s="120"/>
      <c r="E30" s="120"/>
      <c r="F30" s="120"/>
      <c r="G30" s="120"/>
      <c r="J30" s="122"/>
      <c r="K30" s="123"/>
      <c r="L30" s="123"/>
      <c r="M30" s="123"/>
      <c r="N30" s="123"/>
      <c r="P30" s="124"/>
    </row>
    <row r="31" spans="1:30" ht="14.25" thickBot="1" x14ac:dyDescent="0.3">
      <c r="A31" s="108"/>
      <c r="B31" s="120"/>
      <c r="C31" s="121"/>
      <c r="D31" s="120"/>
      <c r="E31" s="120"/>
      <c r="F31" s="120"/>
      <c r="G31" s="120"/>
      <c r="J31" s="110" t="s">
        <v>509</v>
      </c>
      <c r="K31" s="102"/>
      <c r="L31" s="102"/>
      <c r="M31" s="102"/>
      <c r="N31" s="102"/>
      <c r="O31" s="102"/>
      <c r="P31" s="102"/>
    </row>
    <row r="32" spans="1:30" x14ac:dyDescent="0.25">
      <c r="A32" s="108"/>
      <c r="B32" s="120"/>
      <c r="C32" s="121"/>
      <c r="D32" s="120"/>
      <c r="E32" s="120"/>
      <c r="F32" s="120"/>
      <c r="G32" s="120"/>
    </row>
    <row r="33" spans="1:16" x14ac:dyDescent="0.25">
      <c r="A33" s="108"/>
      <c r="B33" s="120"/>
      <c r="C33" s="121"/>
      <c r="D33" s="120"/>
      <c r="E33" s="120"/>
      <c r="F33" s="120"/>
      <c r="G33" s="120"/>
      <c r="J33" s="122"/>
      <c r="K33" s="123"/>
      <c r="L33" s="123"/>
      <c r="M33" s="123"/>
      <c r="N33" s="123"/>
      <c r="O33" s="123"/>
      <c r="P33" s="123"/>
    </row>
    <row r="34" spans="1:16" x14ac:dyDescent="0.25">
      <c r="A34" s="108"/>
      <c r="B34" s="120"/>
      <c r="C34" s="121"/>
      <c r="D34" s="120"/>
      <c r="E34" s="120"/>
      <c r="F34" s="120"/>
      <c r="G34" s="120"/>
      <c r="J34" s="122"/>
      <c r="K34" s="123"/>
      <c r="L34" s="123"/>
      <c r="M34" s="123"/>
      <c r="N34" s="123"/>
      <c r="O34" s="123"/>
      <c r="P34" s="123"/>
    </row>
    <row r="35" spans="1:16" x14ac:dyDescent="0.25">
      <c r="A35" s="108"/>
      <c r="B35" s="120"/>
      <c r="C35" s="121"/>
      <c r="D35" s="120"/>
      <c r="E35" s="120"/>
      <c r="F35" s="120"/>
      <c r="G35" s="120"/>
      <c r="J35" s="122"/>
      <c r="K35" s="123"/>
      <c r="L35" s="123"/>
      <c r="M35" s="123"/>
      <c r="N35" s="123"/>
      <c r="O35" s="123"/>
      <c r="P35" s="123"/>
    </row>
    <row r="36" spans="1:16" x14ac:dyDescent="0.25">
      <c r="A36" s="108"/>
      <c r="B36" s="120"/>
      <c r="C36" s="121"/>
      <c r="D36" s="120"/>
      <c r="E36" s="120"/>
      <c r="F36" s="120"/>
      <c r="G36" s="120"/>
      <c r="J36" s="122"/>
      <c r="K36" s="123"/>
      <c r="L36" s="123"/>
      <c r="M36" s="123"/>
      <c r="N36" s="123"/>
      <c r="O36" s="123"/>
      <c r="P36" s="123"/>
    </row>
    <row r="37" spans="1:16" x14ac:dyDescent="0.25">
      <c r="A37" s="108"/>
      <c r="B37" s="120"/>
      <c r="C37" s="121"/>
      <c r="D37" s="120"/>
      <c r="E37" s="120"/>
      <c r="F37" s="120"/>
      <c r="G37" s="120"/>
      <c r="J37" s="122"/>
      <c r="K37" s="123"/>
      <c r="L37" s="123"/>
      <c r="M37" s="123"/>
      <c r="N37" s="123"/>
      <c r="O37" s="123"/>
      <c r="P37" s="123"/>
    </row>
    <row r="38" spans="1:16" x14ac:dyDescent="0.25">
      <c r="A38" s="108"/>
      <c r="B38" s="120"/>
      <c r="C38" s="121"/>
      <c r="D38" s="120"/>
      <c r="E38" s="120"/>
      <c r="F38" s="120"/>
      <c r="G38" s="120"/>
      <c r="J38" s="122"/>
      <c r="K38" s="123"/>
      <c r="L38" s="123"/>
      <c r="M38" s="123"/>
      <c r="N38" s="123"/>
      <c r="O38" s="123"/>
      <c r="P38" s="123"/>
    </row>
    <row r="39" spans="1:16" x14ac:dyDescent="0.25">
      <c r="A39" s="108"/>
      <c r="B39" s="120"/>
      <c r="C39" s="121"/>
      <c r="D39" s="120"/>
      <c r="E39" s="120"/>
      <c r="F39" s="120"/>
      <c r="G39" s="120"/>
      <c r="J39" s="122"/>
      <c r="K39" s="123"/>
      <c r="L39" s="123"/>
      <c r="M39" s="123"/>
      <c r="N39" s="123"/>
      <c r="O39" s="123"/>
      <c r="P39" s="123"/>
    </row>
    <row r="40" spans="1:16" x14ac:dyDescent="0.25">
      <c r="A40" s="108"/>
      <c r="B40" s="120"/>
      <c r="C40" s="120"/>
      <c r="D40" s="120"/>
      <c r="E40" s="120"/>
      <c r="F40" s="120"/>
      <c r="G40" s="120"/>
      <c r="J40" s="122"/>
      <c r="K40" s="123"/>
      <c r="L40" s="123"/>
      <c r="M40" s="123"/>
      <c r="N40" s="123"/>
      <c r="O40" s="123"/>
      <c r="P40" s="123"/>
    </row>
    <row r="41" spans="1:16" x14ac:dyDescent="0.25">
      <c r="A41" s="108"/>
      <c r="B41" s="120"/>
      <c r="C41" s="120"/>
      <c r="D41" s="120"/>
      <c r="E41" s="120"/>
      <c r="F41" s="120"/>
      <c r="G41" s="120"/>
      <c r="J41" s="122"/>
      <c r="K41" s="123"/>
      <c r="L41" s="123"/>
      <c r="M41" s="123"/>
      <c r="N41" s="123"/>
      <c r="O41" s="123"/>
      <c r="P41" s="123"/>
    </row>
    <row r="42" spans="1:16" x14ac:dyDescent="0.25">
      <c r="A42" s="108"/>
      <c r="B42" s="120"/>
      <c r="C42" s="120"/>
      <c r="D42" s="120"/>
      <c r="E42" s="120"/>
      <c r="F42" s="120"/>
      <c r="G42" s="120"/>
      <c r="J42" s="122"/>
      <c r="K42" s="123"/>
      <c r="L42" s="123"/>
      <c r="M42" s="123"/>
      <c r="N42" s="123"/>
      <c r="O42" s="123"/>
      <c r="P42" s="123"/>
    </row>
    <row r="43" spans="1:16" ht="14.25" thickBot="1" x14ac:dyDescent="0.3">
      <c r="A43" s="110" t="s">
        <v>258</v>
      </c>
      <c r="B43" s="125"/>
      <c r="C43" s="125"/>
      <c r="D43" s="125"/>
      <c r="E43" s="125"/>
      <c r="F43" s="125"/>
      <c r="G43" s="134"/>
      <c r="J43" s="122"/>
      <c r="K43" s="123"/>
      <c r="L43" s="123"/>
      <c r="M43" s="123"/>
      <c r="N43" s="123"/>
      <c r="O43" s="123"/>
      <c r="P43" s="123"/>
    </row>
    <row r="44" spans="1:16" ht="14.25" thickBot="1" x14ac:dyDescent="0.3">
      <c r="A44" s="111"/>
      <c r="B44" s="126">
        <f t="shared" ref="B44:F45" si="0">B21</f>
        <v>2023</v>
      </c>
      <c r="C44" s="126">
        <f t="shared" si="0"/>
        <v>2024</v>
      </c>
      <c r="D44" s="126">
        <f t="shared" si="0"/>
        <v>2025</v>
      </c>
      <c r="E44" s="126">
        <f t="shared" si="0"/>
        <v>2026</v>
      </c>
      <c r="F44" s="126">
        <f t="shared" si="0"/>
        <v>2027</v>
      </c>
      <c r="J44" s="122"/>
      <c r="K44" s="123"/>
      <c r="L44" s="123"/>
      <c r="M44" s="123"/>
      <c r="N44" s="123"/>
      <c r="O44" s="123"/>
      <c r="P44" s="123"/>
    </row>
    <row r="45" spans="1:16" x14ac:dyDescent="0.25">
      <c r="A45" s="115" t="s">
        <v>462</v>
      </c>
      <c r="B45" s="99">
        <f t="shared" si="0"/>
        <v>-4.8934746579132851</v>
      </c>
      <c r="C45" s="99">
        <f t="shared" si="0"/>
        <v>-5.7853712374767481</v>
      </c>
      <c r="D45" s="99">
        <f t="shared" si="0"/>
        <v>-4.72</v>
      </c>
      <c r="E45" s="99">
        <f t="shared" si="0"/>
        <v>-4.16</v>
      </c>
      <c r="F45" s="99">
        <f t="shared" si="0"/>
        <v>-4.87</v>
      </c>
      <c r="J45" s="122"/>
      <c r="K45" s="123"/>
      <c r="L45" s="123"/>
      <c r="M45" s="123"/>
      <c r="N45" s="123"/>
      <c r="O45" s="123"/>
      <c r="P45" s="123"/>
    </row>
    <row r="46" spans="1:16" ht="14.25" customHeight="1" x14ac:dyDescent="0.25">
      <c r="A46" s="97" t="s">
        <v>575</v>
      </c>
      <c r="B46" s="99"/>
      <c r="C46" s="99"/>
      <c r="D46" s="99">
        <f>D45</f>
        <v>-4.72</v>
      </c>
      <c r="E46" s="99">
        <f>E23</f>
        <v>-3.72</v>
      </c>
      <c r="F46" s="99">
        <f>F23</f>
        <v>-3</v>
      </c>
      <c r="J46" s="122"/>
      <c r="K46" s="123"/>
      <c r="L46" s="123"/>
      <c r="M46" s="123"/>
      <c r="N46" s="123"/>
      <c r="O46" s="123"/>
      <c r="P46" s="123"/>
    </row>
    <row r="47" spans="1:16" ht="15.75" customHeight="1" x14ac:dyDescent="0.25">
      <c r="A47" s="98"/>
      <c r="B47" s="99"/>
      <c r="C47" s="99"/>
      <c r="D47" s="99"/>
      <c r="E47" s="99"/>
      <c r="F47" s="99"/>
      <c r="G47" s="99"/>
      <c r="J47" s="122"/>
      <c r="K47" s="123"/>
      <c r="L47" s="123"/>
      <c r="M47" s="123"/>
      <c r="P47" s="124" t="s">
        <v>209</v>
      </c>
    </row>
    <row r="48" spans="1:16" x14ac:dyDescent="0.25">
      <c r="A48" s="116"/>
      <c r="B48" s="99"/>
      <c r="C48" s="99"/>
      <c r="D48" s="99"/>
      <c r="E48" s="99"/>
      <c r="F48" s="99"/>
      <c r="G48" s="135" t="s">
        <v>218</v>
      </c>
    </row>
    <row r="49" spans="1:8" x14ac:dyDescent="0.25">
      <c r="A49" s="12"/>
      <c r="B49" s="132"/>
      <c r="C49" s="132"/>
      <c r="D49" s="132"/>
      <c r="E49" s="132"/>
      <c r="F49" s="132"/>
      <c r="H49" s="11"/>
    </row>
    <row r="50" spans="1:8" x14ac:dyDescent="0.25">
      <c r="A50" s="12"/>
      <c r="B50" s="96"/>
      <c r="C50" s="119"/>
      <c r="D50" s="96"/>
      <c r="E50" s="96"/>
      <c r="F50" s="96"/>
      <c r="H50" s="11"/>
    </row>
    <row r="51" spans="1:8" x14ac:dyDescent="0.25">
      <c r="A51" s="12"/>
      <c r="B51" s="96"/>
      <c r="C51" s="119"/>
      <c r="D51" s="96"/>
      <c r="E51" s="135"/>
      <c r="F51" s="135"/>
      <c r="H51" s="11"/>
    </row>
    <row r="52" spans="1:8" x14ac:dyDescent="0.25">
      <c r="H52" s="11"/>
    </row>
    <row r="53" spans="1:8" x14ac:dyDescent="0.25">
      <c r="H53" s="11"/>
    </row>
  </sheetData>
  <mergeCells count="4">
    <mergeCell ref="A20:C20"/>
    <mergeCell ref="D20:F20"/>
    <mergeCell ref="J21:P21"/>
    <mergeCell ref="G20:I20"/>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32"/>
  <sheetViews>
    <sheetView showGridLines="0" zoomScaleNormal="100" workbookViewId="0"/>
  </sheetViews>
  <sheetFormatPr defaultColWidth="9.42578125" defaultRowHeight="12.75" x14ac:dyDescent="0.2"/>
  <cols>
    <col min="1" max="1" width="14.42578125" style="209" bestFit="1" customWidth="1"/>
    <col min="2" max="2" width="50.42578125" style="209" customWidth="1"/>
    <col min="3" max="3" width="6.5703125" style="209" bestFit="1" customWidth="1"/>
    <col min="4" max="4" width="11" style="209" bestFit="1" customWidth="1"/>
    <col min="5" max="6" width="7.5703125" style="209" customWidth="1"/>
    <col min="7" max="7" width="10.5703125" style="209" bestFit="1" customWidth="1"/>
    <col min="8" max="8" width="9.5703125" style="209" customWidth="1"/>
    <col min="9" max="16384" width="9.42578125" style="209"/>
  </cols>
  <sheetData>
    <row r="1" spans="1:8" x14ac:dyDescent="0.2">
      <c r="A1" s="289"/>
    </row>
    <row r="2" spans="1:8" x14ac:dyDescent="0.2">
      <c r="B2" s="616"/>
    </row>
    <row r="3" spans="1:8" x14ac:dyDescent="0.2">
      <c r="B3" s="616"/>
    </row>
    <row r="4" spans="1:8" x14ac:dyDescent="0.2">
      <c r="B4" s="616"/>
    </row>
    <row r="5" spans="1:8" ht="15.75" customHeight="1" x14ac:dyDescent="0.2">
      <c r="B5" s="745" t="s">
        <v>1048</v>
      </c>
      <c r="C5" s="745"/>
      <c r="D5" s="745"/>
      <c r="E5" s="745"/>
      <c r="F5" s="745"/>
      <c r="G5" s="745"/>
      <c r="H5" s="745"/>
    </row>
    <row r="6" spans="1:8" ht="15.75" customHeight="1" x14ac:dyDescent="0.2">
      <c r="B6" s="214"/>
      <c r="C6" s="141" t="s">
        <v>375</v>
      </c>
      <c r="D6" s="686" t="s">
        <v>880</v>
      </c>
      <c r="E6" s="686" t="s">
        <v>881</v>
      </c>
      <c r="F6" s="686" t="s">
        <v>225</v>
      </c>
      <c r="G6" s="686" t="s">
        <v>261</v>
      </c>
      <c r="H6" s="686" t="s">
        <v>882</v>
      </c>
    </row>
    <row r="7" spans="1:8" ht="15.75" customHeight="1" thickBot="1" x14ac:dyDescent="0.25">
      <c r="B7" s="214"/>
      <c r="C7" s="214"/>
      <c r="D7" s="109" t="s">
        <v>376</v>
      </c>
      <c r="E7" s="109" t="s">
        <v>376</v>
      </c>
      <c r="F7" s="109" t="s">
        <v>376</v>
      </c>
      <c r="G7" s="109" t="s">
        <v>376</v>
      </c>
      <c r="H7" s="109" t="s">
        <v>376</v>
      </c>
    </row>
    <row r="8" spans="1:8" ht="15.75" customHeight="1" x14ac:dyDescent="0.2">
      <c r="B8" s="617" t="s">
        <v>377</v>
      </c>
      <c r="C8" s="618" t="s">
        <v>378</v>
      </c>
      <c r="D8" s="687"/>
      <c r="E8" s="687"/>
      <c r="F8" s="687"/>
      <c r="G8" s="687"/>
      <c r="H8" s="687"/>
    </row>
    <row r="9" spans="1:8" ht="15.75" customHeight="1" x14ac:dyDescent="0.2">
      <c r="B9" s="516" t="s">
        <v>379</v>
      </c>
      <c r="D9" s="109">
        <v>-4.8899999999999997</v>
      </c>
      <c r="E9" s="109">
        <v>-5.93</v>
      </c>
      <c r="F9" s="109">
        <v>-4.97</v>
      </c>
      <c r="G9" s="109">
        <v>-3.97</v>
      </c>
      <c r="H9" s="109">
        <v>-2.97</v>
      </c>
    </row>
    <row r="10" spans="1:8" ht="15.75" customHeight="1" x14ac:dyDescent="0.2">
      <c r="B10" s="516" t="s">
        <v>380</v>
      </c>
      <c r="D10" s="109">
        <v>-4.8899999999999997</v>
      </c>
      <c r="E10" s="109">
        <v>-5.79</v>
      </c>
      <c r="F10" s="109">
        <v>-4.72</v>
      </c>
      <c r="G10" s="109">
        <v>-3.72</v>
      </c>
      <c r="H10" s="688">
        <v>-3</v>
      </c>
    </row>
    <row r="11" spans="1:8" ht="15.75" customHeight="1" thickBot="1" x14ac:dyDescent="0.25">
      <c r="B11" s="143" t="s">
        <v>381</v>
      </c>
      <c r="C11" s="384"/>
      <c r="D11" s="161">
        <v>0</v>
      </c>
      <c r="E11" s="161">
        <v>0.14000000000000001</v>
      </c>
      <c r="F11" s="161">
        <v>0.25</v>
      </c>
      <c r="G11" s="161">
        <v>0.25</v>
      </c>
      <c r="H11" s="161">
        <v>-0.03</v>
      </c>
    </row>
    <row r="12" spans="1:8" ht="15.75" customHeight="1" x14ac:dyDescent="0.2">
      <c r="B12" s="426" t="s">
        <v>1019</v>
      </c>
      <c r="H12" s="621" t="s">
        <v>0</v>
      </c>
    </row>
    <row r="13" spans="1:8" ht="15.75" customHeight="1" x14ac:dyDescent="0.2"/>
    <row r="14" spans="1:8" ht="15.75" customHeight="1" x14ac:dyDescent="0.2"/>
    <row r="15" spans="1:8" ht="15.75" customHeight="1" x14ac:dyDescent="0.2"/>
    <row r="16" spans="1:8" x14ac:dyDescent="0.2">
      <c r="B16" s="745" t="s">
        <v>1049</v>
      </c>
      <c r="C16" s="745"/>
      <c r="D16" s="745"/>
      <c r="E16" s="745"/>
      <c r="F16" s="745"/>
      <c r="G16" s="745"/>
      <c r="H16" s="745"/>
    </row>
    <row r="17" spans="2:13" x14ac:dyDescent="0.2">
      <c r="B17" s="214"/>
      <c r="C17" s="141" t="s">
        <v>382</v>
      </c>
      <c r="D17" s="141">
        <v>2022</v>
      </c>
      <c r="E17" s="141" t="s">
        <v>383</v>
      </c>
      <c r="F17" s="141" t="s">
        <v>513</v>
      </c>
      <c r="G17" s="141" t="s">
        <v>512</v>
      </c>
      <c r="H17" s="141" t="s">
        <v>514</v>
      </c>
    </row>
    <row r="18" spans="2:13" ht="13.5" thickBot="1" x14ac:dyDescent="0.25">
      <c r="B18" s="214"/>
      <c r="C18" s="214"/>
      <c r="D18" s="128" t="s">
        <v>384</v>
      </c>
      <c r="E18" s="128" t="s">
        <v>384</v>
      </c>
      <c r="F18" s="128" t="s">
        <v>384</v>
      </c>
      <c r="G18" s="128" t="s">
        <v>384</v>
      </c>
      <c r="H18" s="128" t="s">
        <v>384</v>
      </c>
    </row>
    <row r="19" spans="2:13" x14ac:dyDescent="0.2">
      <c r="B19" s="617" t="s">
        <v>385</v>
      </c>
      <c r="C19" s="618" t="s">
        <v>378</v>
      </c>
      <c r="D19" s="617"/>
      <c r="E19" s="617"/>
      <c r="F19" s="617"/>
      <c r="G19" s="617"/>
      <c r="H19" s="617"/>
    </row>
    <row r="20" spans="2:13" x14ac:dyDescent="0.2">
      <c r="B20" s="516" t="s">
        <v>386</v>
      </c>
      <c r="D20" s="619">
        <f>D9</f>
        <v>-4.8899999999999997</v>
      </c>
      <c r="E20" s="619">
        <f t="shared" ref="E20:H20" si="0">E9</f>
        <v>-5.93</v>
      </c>
      <c r="F20" s="619">
        <f t="shared" si="0"/>
        <v>-4.97</v>
      </c>
      <c r="G20" s="619">
        <f t="shared" si="0"/>
        <v>-3.97</v>
      </c>
      <c r="H20" s="619">
        <f t="shared" si="0"/>
        <v>-2.97</v>
      </c>
      <c r="I20" s="622"/>
      <c r="J20" s="622"/>
      <c r="K20" s="622"/>
      <c r="L20" s="622"/>
    </row>
    <row r="21" spans="2:13" x14ac:dyDescent="0.2">
      <c r="B21" s="516" t="s">
        <v>387</v>
      </c>
      <c r="D21" s="619">
        <f t="shared" ref="D21:H22" si="1">D10</f>
        <v>-4.8899999999999997</v>
      </c>
      <c r="E21" s="619">
        <f t="shared" si="1"/>
        <v>-5.79</v>
      </c>
      <c r="F21" s="619">
        <f t="shared" si="1"/>
        <v>-4.72</v>
      </c>
      <c r="G21" s="619">
        <f t="shared" si="1"/>
        <v>-3.72</v>
      </c>
      <c r="H21" s="619">
        <f t="shared" si="1"/>
        <v>-3</v>
      </c>
    </row>
    <row r="22" spans="2:13" ht="13.5" thickBot="1" x14ac:dyDescent="0.25">
      <c r="B22" s="143" t="s">
        <v>388</v>
      </c>
      <c r="C22" s="384"/>
      <c r="D22" s="620">
        <f t="shared" si="1"/>
        <v>0</v>
      </c>
      <c r="E22" s="620">
        <f t="shared" si="1"/>
        <v>0.14000000000000001</v>
      </c>
      <c r="F22" s="620">
        <f t="shared" si="1"/>
        <v>0.25</v>
      </c>
      <c r="G22" s="620">
        <f t="shared" si="1"/>
        <v>0.25</v>
      </c>
      <c r="H22" s="620">
        <f t="shared" si="1"/>
        <v>-0.03</v>
      </c>
    </row>
    <row r="23" spans="2:13" x14ac:dyDescent="0.2">
      <c r="H23" s="621" t="s">
        <v>209</v>
      </c>
    </row>
    <row r="32" spans="2:13" x14ac:dyDescent="0.2">
      <c r="H32" s="623"/>
      <c r="I32" s="624"/>
      <c r="J32" s="625"/>
      <c r="K32" s="625"/>
      <c r="L32" s="391"/>
      <c r="M32" s="391"/>
    </row>
  </sheetData>
  <mergeCells count="2">
    <mergeCell ref="B5:H5"/>
    <mergeCell ref="B16:H16"/>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4:E18"/>
  <sheetViews>
    <sheetView showGridLines="0" workbookViewId="0"/>
  </sheetViews>
  <sheetFormatPr defaultColWidth="9.42578125" defaultRowHeight="12.75" x14ac:dyDescent="0.2"/>
  <cols>
    <col min="1" max="1" width="14.42578125" style="209" bestFit="1" customWidth="1"/>
    <col min="2" max="2" width="54.42578125" style="209" customWidth="1"/>
    <col min="3" max="3" width="29" style="209" bestFit="1" customWidth="1"/>
    <col min="4" max="16384" width="9.42578125" style="209"/>
  </cols>
  <sheetData>
    <row r="4" spans="1:5" x14ac:dyDescent="0.2">
      <c r="A4" s="289"/>
    </row>
    <row r="5" spans="1:5" ht="13.5" thickBot="1" x14ac:dyDescent="0.25">
      <c r="B5" s="746" t="s">
        <v>1050</v>
      </c>
      <c r="C5" s="746"/>
    </row>
    <row r="6" spans="1:5" ht="13.5" thickBot="1" x14ac:dyDescent="0.25">
      <c r="B6" s="626" t="s">
        <v>389</v>
      </c>
      <c r="C6" s="381" t="s">
        <v>390</v>
      </c>
    </row>
    <row r="7" spans="1:5" x14ac:dyDescent="0.2">
      <c r="B7" s="627" t="s">
        <v>598</v>
      </c>
      <c r="C7" s="139" t="s">
        <v>391</v>
      </c>
    </row>
    <row r="8" spans="1:5" x14ac:dyDescent="0.2">
      <c r="B8" s="627" t="s">
        <v>597</v>
      </c>
      <c r="C8" s="139" t="s">
        <v>596</v>
      </c>
    </row>
    <row r="9" spans="1:5" x14ac:dyDescent="0.2">
      <c r="B9" s="627"/>
      <c r="C9" s="139"/>
    </row>
    <row r="10" spans="1:5" x14ac:dyDescent="0.2">
      <c r="C10" s="608" t="s">
        <v>540</v>
      </c>
      <c r="D10" s="615"/>
      <c r="E10" s="615"/>
    </row>
    <row r="13" spans="1:5" ht="13.5" thickBot="1" x14ac:dyDescent="0.25">
      <c r="B13" s="746" t="s">
        <v>1051</v>
      </c>
      <c r="C13" s="746"/>
    </row>
    <row r="14" spans="1:5" ht="13.5" thickBot="1" x14ac:dyDescent="0.25">
      <c r="B14" s="626" t="s">
        <v>392</v>
      </c>
      <c r="C14" s="381" t="s">
        <v>393</v>
      </c>
    </row>
    <row r="15" spans="1:5" x14ac:dyDescent="0.2">
      <c r="B15" s="627" t="s">
        <v>598</v>
      </c>
      <c r="C15" s="139" t="s">
        <v>394</v>
      </c>
    </row>
    <row r="16" spans="1:5" x14ac:dyDescent="0.2">
      <c r="B16" s="627" t="s">
        <v>597</v>
      </c>
      <c r="C16" s="139" t="s">
        <v>599</v>
      </c>
    </row>
    <row r="18" spans="3:3" x14ac:dyDescent="0.2">
      <c r="C18" s="628" t="s">
        <v>416</v>
      </c>
    </row>
  </sheetData>
  <mergeCells count="2">
    <mergeCell ref="B5:C5"/>
    <mergeCell ref="B13:C13"/>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31"/>
  <sheetViews>
    <sheetView showGridLines="0" workbookViewId="0"/>
  </sheetViews>
  <sheetFormatPr defaultColWidth="9.42578125" defaultRowHeight="12.75" x14ac:dyDescent="0.2"/>
  <cols>
    <col min="1" max="1" width="14.42578125" style="209" bestFit="1" customWidth="1"/>
    <col min="2" max="2" width="38.42578125" style="209" customWidth="1"/>
    <col min="3" max="16384" width="9.42578125" style="209"/>
  </cols>
  <sheetData>
    <row r="1" spans="1:11" x14ac:dyDescent="0.2">
      <c r="A1" s="289"/>
    </row>
    <row r="5" spans="1:11" ht="13.5" thickBot="1" x14ac:dyDescent="0.25">
      <c r="B5" s="746" t="s">
        <v>1053</v>
      </c>
      <c r="C5" s="746"/>
      <c r="D5" s="746"/>
      <c r="E5" s="746"/>
      <c r="F5" s="746"/>
      <c r="G5" s="746"/>
      <c r="H5" s="746"/>
      <c r="I5" s="746"/>
      <c r="J5" s="746"/>
      <c r="K5" s="746"/>
    </row>
    <row r="6" spans="1:11" ht="13.5" thickBot="1" x14ac:dyDescent="0.25">
      <c r="B6" s="629"/>
      <c r="C6" s="630">
        <v>2023</v>
      </c>
      <c r="D6" s="735">
        <v>2024</v>
      </c>
      <c r="E6" s="736"/>
      <c r="F6" s="736">
        <v>2025</v>
      </c>
      <c r="G6" s="736"/>
      <c r="H6" s="747">
        <v>2026</v>
      </c>
      <c r="I6" s="747"/>
      <c r="J6" s="747">
        <v>2027</v>
      </c>
      <c r="K6" s="747"/>
    </row>
    <row r="7" spans="1:11" ht="13.5" thickBot="1" x14ac:dyDescent="0.25">
      <c r="B7" s="631" t="s">
        <v>395</v>
      </c>
      <c r="C7" s="630"/>
      <c r="D7" s="585" t="s">
        <v>396</v>
      </c>
      <c r="E7" s="585" t="s">
        <v>397</v>
      </c>
      <c r="F7" s="585" t="s">
        <v>396</v>
      </c>
      <c r="G7" s="585" t="s">
        <v>397</v>
      </c>
      <c r="H7" s="381" t="s">
        <v>396</v>
      </c>
      <c r="I7" s="381" t="s">
        <v>397</v>
      </c>
      <c r="J7" s="381" t="s">
        <v>396</v>
      </c>
      <c r="K7" s="381" t="s">
        <v>397</v>
      </c>
    </row>
    <row r="8" spans="1:11" x14ac:dyDescent="0.2">
      <c r="B8" s="632" t="s">
        <v>398</v>
      </c>
      <c r="C8" s="595">
        <v>1.5964549711513953</v>
      </c>
      <c r="D8" s="302">
        <v>2.187199007883565</v>
      </c>
      <c r="E8" s="302">
        <v>2.3001611800970156</v>
      </c>
      <c r="F8" s="302">
        <v>2.3580945486929203</v>
      </c>
      <c r="G8" s="302">
        <v>2.2237888482639301</v>
      </c>
      <c r="H8" s="302">
        <v>2.5</v>
      </c>
      <c r="I8" s="298">
        <v>2.3581013003481921</v>
      </c>
      <c r="J8" s="298">
        <v>2.10954281212405</v>
      </c>
      <c r="K8" s="298">
        <v>1.0444682263513361</v>
      </c>
    </row>
    <row r="9" spans="1:11" x14ac:dyDescent="0.2">
      <c r="B9" s="632" t="s">
        <v>399</v>
      </c>
      <c r="C9" s="633">
        <v>122.81279500000001</v>
      </c>
      <c r="D9" s="634">
        <v>131.3718434175</v>
      </c>
      <c r="E9" s="634">
        <v>131.2043720036784</v>
      </c>
      <c r="F9" s="634">
        <v>139.71709999999999</v>
      </c>
      <c r="G9" s="634">
        <v>139.90135611560947</v>
      </c>
      <c r="H9" s="634">
        <v>146.09664306176677</v>
      </c>
      <c r="I9" s="635">
        <v>147.3051748841948</v>
      </c>
      <c r="J9" s="635">
        <v>152.56359566347533</v>
      </c>
      <c r="K9" s="635">
        <v>152.14839182928742</v>
      </c>
    </row>
    <row r="10" spans="1:11" x14ac:dyDescent="0.2">
      <c r="B10" s="636" t="s">
        <v>400</v>
      </c>
      <c r="C10" s="595">
        <v>-3.1553352132190127</v>
      </c>
      <c r="D10" s="302">
        <v>3</v>
      </c>
      <c r="E10" s="302">
        <v>2.9285632062673761</v>
      </c>
      <c r="F10" s="302">
        <v>2.0744919981800649</v>
      </c>
      <c r="G10" s="302">
        <v>1.4276818118596157</v>
      </c>
      <c r="H10" s="302">
        <v>2.2999999999999998</v>
      </c>
      <c r="I10" s="298">
        <v>1.8586474706086431</v>
      </c>
      <c r="J10" s="298">
        <v>2.3752970492581387</v>
      </c>
      <c r="K10" s="298">
        <v>2.2870097464442019</v>
      </c>
    </row>
    <row r="11" spans="1:11" x14ac:dyDescent="0.2">
      <c r="B11" s="636" t="s">
        <v>401</v>
      </c>
      <c r="C11" s="595">
        <v>6.7780646334303141</v>
      </c>
      <c r="D11" s="302">
        <v>5.6</v>
      </c>
      <c r="E11" s="302">
        <v>5.9877666520466999</v>
      </c>
      <c r="F11" s="302">
        <v>5.5599999999999881</v>
      </c>
      <c r="G11" s="302">
        <v>6.9328111372065626</v>
      </c>
      <c r="H11" s="302">
        <v>5.1087915007830702</v>
      </c>
      <c r="I11" s="298">
        <v>4.7205416662398747</v>
      </c>
      <c r="J11" s="298">
        <v>4.700053584341827</v>
      </c>
      <c r="K11" s="298">
        <v>4.5646449711718384</v>
      </c>
    </row>
    <row r="12" spans="1:11" x14ac:dyDescent="0.2">
      <c r="B12" s="636" t="s">
        <v>402</v>
      </c>
      <c r="C12" s="595">
        <v>-0.72398190045248612</v>
      </c>
      <c r="D12" s="302">
        <v>4.4790652385588992</v>
      </c>
      <c r="E12" s="302">
        <v>3.9745855545317399</v>
      </c>
      <c r="F12" s="302">
        <v>1.9351892747031001</v>
      </c>
      <c r="G12" s="298">
        <v>0.4621241498745432</v>
      </c>
      <c r="H12" s="302">
        <v>2.44140625</v>
      </c>
      <c r="I12" s="298">
        <v>2.4625840960410761</v>
      </c>
      <c r="J12" s="298">
        <v>2.5393299102860332</v>
      </c>
      <c r="K12" s="298">
        <v>2.6247269938931117</v>
      </c>
    </row>
    <row r="13" spans="1:11" x14ac:dyDescent="0.2">
      <c r="B13" s="636" t="s">
        <v>403</v>
      </c>
      <c r="C13" s="595">
        <v>9.6999999999999993</v>
      </c>
      <c r="D13" s="302">
        <v>7.2329532239509007</v>
      </c>
      <c r="E13" s="302">
        <v>6.8531468531468631</v>
      </c>
      <c r="F13" s="302">
        <v>5.7814138931736707</v>
      </c>
      <c r="G13" s="302">
        <v>5.8900523560209361</v>
      </c>
      <c r="H13" s="302">
        <v>5.2614927392570063</v>
      </c>
      <c r="I13" s="298">
        <v>5.1915945611866521</v>
      </c>
      <c r="J13" s="298">
        <v>5</v>
      </c>
      <c r="K13" s="298">
        <v>4.8766157461809678</v>
      </c>
    </row>
    <row r="14" spans="1:11" x14ac:dyDescent="0.2">
      <c r="B14" s="636" t="s">
        <v>404</v>
      </c>
      <c r="C14" s="595">
        <v>0.17920363104744208</v>
      </c>
      <c r="D14" s="302">
        <v>-0.1</v>
      </c>
      <c r="E14" s="302">
        <v>-0.1426039598853901</v>
      </c>
      <c r="F14" s="302">
        <v>0.1</v>
      </c>
      <c r="G14" s="302">
        <v>0.40741440926586048</v>
      </c>
      <c r="H14" s="302">
        <v>0.3</v>
      </c>
      <c r="I14" s="298">
        <v>0.20136855076038351</v>
      </c>
      <c r="J14" s="298">
        <v>0.15000000000000002</v>
      </c>
      <c r="K14" s="298">
        <v>4.6136696104404074E-2</v>
      </c>
    </row>
    <row r="15" spans="1:11" ht="13.5" thickBot="1" x14ac:dyDescent="0.25">
      <c r="B15" s="636" t="s">
        <v>405</v>
      </c>
      <c r="C15" s="595">
        <v>10.5</v>
      </c>
      <c r="D15" s="302">
        <v>2.7745201025976569</v>
      </c>
      <c r="E15" s="302">
        <v>2.7685239457919231</v>
      </c>
      <c r="F15" s="302">
        <v>3.7055832020620638</v>
      </c>
      <c r="G15" s="302">
        <v>5.4029598239917043</v>
      </c>
      <c r="H15" s="302">
        <v>2.5315581314156903</v>
      </c>
      <c r="I15" s="298">
        <v>2.6634214715760107</v>
      </c>
      <c r="J15" s="298">
        <v>2.2809751846118149</v>
      </c>
      <c r="K15" s="298">
        <v>2.1942945119082902</v>
      </c>
    </row>
    <row r="16" spans="1:11" ht="12.75" customHeight="1" x14ac:dyDescent="0.2">
      <c r="B16" s="682" t="s">
        <v>1052</v>
      </c>
      <c r="C16" s="614"/>
      <c r="D16" s="614"/>
      <c r="E16" s="614"/>
      <c r="F16" s="614"/>
      <c r="G16" s="614"/>
      <c r="H16" s="614"/>
      <c r="I16" s="614"/>
      <c r="J16" s="614"/>
      <c r="K16" s="681" t="s">
        <v>540</v>
      </c>
    </row>
    <row r="18" spans="2:13" ht="13.5" thickBot="1" x14ac:dyDescent="0.25">
      <c r="B18" s="746" t="s">
        <v>1054</v>
      </c>
      <c r="C18" s="746"/>
      <c r="D18" s="746"/>
      <c r="E18" s="746"/>
      <c r="F18" s="746"/>
      <c r="G18" s="746"/>
      <c r="H18" s="746"/>
      <c r="I18" s="746"/>
      <c r="J18" s="746"/>
      <c r="K18" s="746"/>
    </row>
    <row r="19" spans="2:13" ht="13.5" thickBot="1" x14ac:dyDescent="0.25">
      <c r="B19" s="629"/>
      <c r="C19" s="630">
        <f>C6</f>
        <v>2023</v>
      </c>
      <c r="D19" s="735">
        <f>D6</f>
        <v>2024</v>
      </c>
      <c r="E19" s="736"/>
      <c r="F19" s="736">
        <f>F6</f>
        <v>2025</v>
      </c>
      <c r="G19" s="736"/>
      <c r="H19" s="747">
        <f>H6</f>
        <v>2026</v>
      </c>
      <c r="I19" s="747"/>
      <c r="J19" s="747">
        <f>J6</f>
        <v>2027</v>
      </c>
      <c r="K19" s="747"/>
      <c r="M19" s="138"/>
    </row>
    <row r="20" spans="2:13" ht="13.5" thickBot="1" x14ac:dyDescent="0.25">
      <c r="B20" s="631" t="s">
        <v>406</v>
      </c>
      <c r="C20" s="630"/>
      <c r="D20" s="585" t="s">
        <v>407</v>
      </c>
      <c r="E20" s="585" t="s">
        <v>408</v>
      </c>
      <c r="F20" s="585" t="s">
        <v>407</v>
      </c>
      <c r="G20" s="585" t="s">
        <v>408</v>
      </c>
      <c r="H20" s="585" t="s">
        <v>407</v>
      </c>
      <c r="I20" s="585" t="s">
        <v>408</v>
      </c>
      <c r="J20" s="585" t="s">
        <v>407</v>
      </c>
      <c r="K20" s="585" t="s">
        <v>408</v>
      </c>
      <c r="M20" s="138"/>
    </row>
    <row r="21" spans="2:13" x14ac:dyDescent="0.2">
      <c r="B21" s="632" t="s">
        <v>409</v>
      </c>
      <c r="C21" s="595">
        <f t="shared" ref="C21:K28" si="0">C8</f>
        <v>1.5964549711513953</v>
      </c>
      <c r="D21" s="302">
        <f t="shared" si="0"/>
        <v>2.187199007883565</v>
      </c>
      <c r="E21" s="302">
        <f t="shared" si="0"/>
        <v>2.3001611800970156</v>
      </c>
      <c r="F21" s="302">
        <f t="shared" si="0"/>
        <v>2.3580945486929203</v>
      </c>
      <c r="G21" s="302">
        <f t="shared" si="0"/>
        <v>2.2237888482639301</v>
      </c>
      <c r="H21" s="302">
        <f t="shared" si="0"/>
        <v>2.5</v>
      </c>
      <c r="I21" s="298">
        <f t="shared" si="0"/>
        <v>2.3581013003481921</v>
      </c>
      <c r="J21" s="298">
        <f t="shared" si="0"/>
        <v>2.10954281212405</v>
      </c>
      <c r="K21" s="298">
        <f t="shared" si="0"/>
        <v>1.0444682263513361</v>
      </c>
      <c r="M21" s="138"/>
    </row>
    <row r="22" spans="2:13" x14ac:dyDescent="0.2">
      <c r="B22" s="632" t="s">
        <v>358</v>
      </c>
      <c r="C22" s="595">
        <f t="shared" si="0"/>
        <v>122.81279500000001</v>
      </c>
      <c r="D22" s="302">
        <f t="shared" si="0"/>
        <v>131.3718434175</v>
      </c>
      <c r="E22" s="302">
        <f t="shared" si="0"/>
        <v>131.2043720036784</v>
      </c>
      <c r="F22" s="302">
        <f t="shared" si="0"/>
        <v>139.71709999999999</v>
      </c>
      <c r="G22" s="302">
        <f t="shared" si="0"/>
        <v>139.90135611560947</v>
      </c>
      <c r="H22" s="302">
        <f t="shared" si="0"/>
        <v>146.09664306176677</v>
      </c>
      <c r="I22" s="298">
        <f t="shared" si="0"/>
        <v>147.3051748841948</v>
      </c>
      <c r="J22" s="298">
        <f t="shared" si="0"/>
        <v>152.56359566347533</v>
      </c>
      <c r="K22" s="298">
        <f t="shared" si="0"/>
        <v>152.14839182928742</v>
      </c>
      <c r="M22" s="138"/>
    </row>
    <row r="23" spans="2:13" x14ac:dyDescent="0.2">
      <c r="B23" s="636" t="s">
        <v>410</v>
      </c>
      <c r="C23" s="595">
        <f t="shared" si="0"/>
        <v>-3.1553352132190127</v>
      </c>
      <c r="D23" s="302">
        <f t="shared" si="0"/>
        <v>3</v>
      </c>
      <c r="E23" s="302">
        <f t="shared" si="0"/>
        <v>2.9285632062673761</v>
      </c>
      <c r="F23" s="302">
        <f t="shared" si="0"/>
        <v>2.0744919981800649</v>
      </c>
      <c r="G23" s="302">
        <f t="shared" si="0"/>
        <v>1.4276818118596157</v>
      </c>
      <c r="H23" s="302">
        <f t="shared" si="0"/>
        <v>2.2999999999999998</v>
      </c>
      <c r="I23" s="298">
        <f t="shared" si="0"/>
        <v>1.8586474706086431</v>
      </c>
      <c r="J23" s="298">
        <f t="shared" si="0"/>
        <v>2.3752970492581387</v>
      </c>
      <c r="K23" s="298">
        <f t="shared" si="0"/>
        <v>2.2870097464442019</v>
      </c>
      <c r="M23" s="138"/>
    </row>
    <row r="24" spans="2:13" x14ac:dyDescent="0.2">
      <c r="B24" s="636" t="s">
        <v>411</v>
      </c>
      <c r="C24" s="595">
        <f t="shared" si="0"/>
        <v>6.7780646334303141</v>
      </c>
      <c r="D24" s="302">
        <f t="shared" si="0"/>
        <v>5.6</v>
      </c>
      <c r="E24" s="302">
        <f t="shared" si="0"/>
        <v>5.9877666520466999</v>
      </c>
      <c r="F24" s="302">
        <f t="shared" si="0"/>
        <v>5.5599999999999881</v>
      </c>
      <c r="G24" s="302">
        <f t="shared" si="0"/>
        <v>6.9328111372065626</v>
      </c>
      <c r="H24" s="302">
        <f t="shared" si="0"/>
        <v>5.1087915007830702</v>
      </c>
      <c r="I24" s="298">
        <f t="shared" si="0"/>
        <v>4.7205416662398747</v>
      </c>
      <c r="J24" s="298">
        <f t="shared" si="0"/>
        <v>4.700053584341827</v>
      </c>
      <c r="K24" s="298">
        <f t="shared" si="0"/>
        <v>4.5646449711718384</v>
      </c>
      <c r="M24" s="138"/>
    </row>
    <row r="25" spans="2:13" x14ac:dyDescent="0.2">
      <c r="B25" s="636" t="s">
        <v>412</v>
      </c>
      <c r="C25" s="595">
        <f t="shared" si="0"/>
        <v>-0.72398190045248612</v>
      </c>
      <c r="D25" s="302">
        <f t="shared" si="0"/>
        <v>4.4790652385588992</v>
      </c>
      <c r="E25" s="302">
        <f t="shared" si="0"/>
        <v>3.9745855545317399</v>
      </c>
      <c r="F25" s="302">
        <f t="shared" si="0"/>
        <v>1.9351892747031001</v>
      </c>
      <c r="G25" s="298">
        <f t="shared" si="0"/>
        <v>0.4621241498745432</v>
      </c>
      <c r="H25" s="302">
        <f t="shared" si="0"/>
        <v>2.44140625</v>
      </c>
      <c r="I25" s="298">
        <f t="shared" si="0"/>
        <v>2.4625840960410761</v>
      </c>
      <c r="J25" s="298">
        <f t="shared" si="0"/>
        <v>2.5393299102860332</v>
      </c>
      <c r="K25" s="298">
        <f t="shared" si="0"/>
        <v>2.6247269938931117</v>
      </c>
      <c r="M25" s="138"/>
    </row>
    <row r="26" spans="2:13" x14ac:dyDescent="0.2">
      <c r="B26" s="636" t="s">
        <v>413</v>
      </c>
      <c r="C26" s="595">
        <f t="shared" si="0"/>
        <v>9.6999999999999993</v>
      </c>
      <c r="D26" s="302">
        <f t="shared" si="0"/>
        <v>7.2329532239509007</v>
      </c>
      <c r="E26" s="302">
        <f t="shared" si="0"/>
        <v>6.8531468531468631</v>
      </c>
      <c r="F26" s="302">
        <f t="shared" si="0"/>
        <v>5.7814138931736707</v>
      </c>
      <c r="G26" s="302">
        <f t="shared" si="0"/>
        <v>5.8900523560209361</v>
      </c>
      <c r="H26" s="302">
        <f t="shared" si="0"/>
        <v>5.2614927392570063</v>
      </c>
      <c r="I26" s="298">
        <f t="shared" si="0"/>
        <v>5.1915945611866521</v>
      </c>
      <c r="J26" s="298">
        <f t="shared" si="0"/>
        <v>5</v>
      </c>
      <c r="K26" s="298">
        <f t="shared" si="0"/>
        <v>4.8766157461809678</v>
      </c>
      <c r="M26" s="138"/>
    </row>
    <row r="27" spans="2:13" x14ac:dyDescent="0.2">
      <c r="B27" s="636" t="s">
        <v>414</v>
      </c>
      <c r="C27" s="595">
        <f t="shared" si="0"/>
        <v>0.17920363104744208</v>
      </c>
      <c r="D27" s="302">
        <f t="shared" si="0"/>
        <v>-0.1</v>
      </c>
      <c r="E27" s="302">
        <f t="shared" si="0"/>
        <v>-0.1426039598853901</v>
      </c>
      <c r="F27" s="302">
        <f t="shared" si="0"/>
        <v>0.1</v>
      </c>
      <c r="G27" s="302">
        <f t="shared" si="0"/>
        <v>0.40741440926586048</v>
      </c>
      <c r="H27" s="302">
        <f t="shared" si="0"/>
        <v>0.3</v>
      </c>
      <c r="I27" s="298">
        <f t="shared" si="0"/>
        <v>0.20136855076038351</v>
      </c>
      <c r="J27" s="298">
        <f t="shared" si="0"/>
        <v>0.15000000000000002</v>
      </c>
      <c r="K27" s="298">
        <f t="shared" si="0"/>
        <v>4.6136696104404074E-2</v>
      </c>
      <c r="M27" s="138"/>
    </row>
    <row r="28" spans="2:13" ht="13.5" thickBot="1" x14ac:dyDescent="0.25">
      <c r="B28" s="636" t="s">
        <v>415</v>
      </c>
      <c r="C28" s="595">
        <f t="shared" si="0"/>
        <v>10.5</v>
      </c>
      <c r="D28" s="302">
        <f t="shared" si="0"/>
        <v>2.7745201025976569</v>
      </c>
      <c r="E28" s="302">
        <f t="shared" si="0"/>
        <v>2.7685239457919231</v>
      </c>
      <c r="F28" s="302">
        <f t="shared" si="0"/>
        <v>3.7055832020620638</v>
      </c>
      <c r="G28" s="302">
        <f t="shared" si="0"/>
        <v>5.4029598239917043</v>
      </c>
      <c r="H28" s="302">
        <f t="shared" si="0"/>
        <v>2.5315581314156903</v>
      </c>
      <c r="I28" s="298">
        <f t="shared" si="0"/>
        <v>2.6634214715760107</v>
      </c>
      <c r="J28" s="298">
        <f t="shared" si="0"/>
        <v>2.2809751846118149</v>
      </c>
      <c r="K28" s="298">
        <f t="shared" si="0"/>
        <v>2.1942945119082902</v>
      </c>
      <c r="M28" s="138"/>
    </row>
    <row r="29" spans="2:13" x14ac:dyDescent="0.2">
      <c r="B29" s="744" t="s">
        <v>1020</v>
      </c>
      <c r="C29" s="744"/>
      <c r="D29" s="744"/>
      <c r="E29" s="744"/>
      <c r="F29" s="744"/>
      <c r="G29" s="744"/>
      <c r="H29" s="744"/>
      <c r="I29" s="744"/>
      <c r="J29" s="744"/>
      <c r="K29" s="744"/>
      <c r="M29" s="138"/>
    </row>
    <row r="30" spans="2:13" x14ac:dyDescent="0.2">
      <c r="M30" s="138"/>
    </row>
    <row r="31" spans="2:13" x14ac:dyDescent="0.2">
      <c r="M31" s="191"/>
    </row>
  </sheetData>
  <mergeCells count="11">
    <mergeCell ref="B29:K29"/>
    <mergeCell ref="B5:K5"/>
    <mergeCell ref="D6:E6"/>
    <mergeCell ref="F6:G6"/>
    <mergeCell ref="H6:I6"/>
    <mergeCell ref="J6:K6"/>
    <mergeCell ref="B18:K18"/>
    <mergeCell ref="D19:E19"/>
    <mergeCell ref="F19:G19"/>
    <mergeCell ref="H19:I19"/>
    <mergeCell ref="J19:K1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50"/>
  <sheetViews>
    <sheetView showGridLines="0" zoomScaleNormal="100" workbookViewId="0"/>
  </sheetViews>
  <sheetFormatPr defaultColWidth="8.5703125" defaultRowHeight="12.75" x14ac:dyDescent="0.2"/>
  <cols>
    <col min="1" max="1" width="14.42578125" style="209" bestFit="1" customWidth="1"/>
    <col min="2" max="12" width="8.5703125" style="209"/>
    <col min="13" max="13" width="15.5703125" style="209" customWidth="1"/>
    <col min="14" max="14" width="11" style="209" customWidth="1"/>
    <col min="15" max="20" width="7.5703125" style="209" customWidth="1"/>
    <col min="21" max="16384" width="8.5703125" style="209"/>
  </cols>
  <sheetData>
    <row r="1" spans="1:22" x14ac:dyDescent="0.2">
      <c r="A1" s="289"/>
    </row>
    <row r="3" spans="1:22" x14ac:dyDescent="0.2">
      <c r="C3" s="290"/>
    </row>
    <row r="4" spans="1:22" x14ac:dyDescent="0.2">
      <c r="C4" s="290"/>
      <c r="M4" s="263" t="s">
        <v>417</v>
      </c>
      <c r="N4" s="263" t="s">
        <v>418</v>
      </c>
      <c r="O4" s="216"/>
      <c r="P4" s="216"/>
      <c r="Q4" s="216"/>
      <c r="R4" s="216"/>
      <c r="S4" s="216"/>
      <c r="T4" s="216"/>
    </row>
    <row r="5" spans="1:22" x14ac:dyDescent="0.2">
      <c r="C5" s="290"/>
    </row>
    <row r="6" spans="1:22" x14ac:dyDescent="0.2">
      <c r="B6" s="711" t="s">
        <v>1040</v>
      </c>
      <c r="C6" s="712"/>
      <c r="D6" s="712"/>
      <c r="E6" s="712"/>
      <c r="F6" s="712"/>
      <c r="G6" s="712"/>
      <c r="H6" s="712"/>
      <c r="I6" s="712"/>
      <c r="J6" s="712"/>
      <c r="M6" s="243"/>
      <c r="N6" s="243"/>
    </row>
    <row r="7" spans="1:22" x14ac:dyDescent="0.2">
      <c r="B7" s="243"/>
      <c r="C7" s="290"/>
      <c r="M7" s="369"/>
      <c r="N7" s="369"/>
      <c r="O7" s="369">
        <v>2020</v>
      </c>
      <c r="P7" s="369">
        <v>2021</v>
      </c>
      <c r="Q7" s="369">
        <v>2022</v>
      </c>
      <c r="R7" s="369">
        <v>2023</v>
      </c>
      <c r="S7" s="369">
        <v>2024</v>
      </c>
      <c r="T7" s="369">
        <v>2025</v>
      </c>
      <c r="U7" s="369">
        <v>2026</v>
      </c>
      <c r="V7" s="369">
        <v>2027</v>
      </c>
    </row>
    <row r="8" spans="1:22" x14ac:dyDescent="0.2">
      <c r="B8" s="243"/>
      <c r="C8" s="290"/>
      <c r="M8" s="243" t="s">
        <v>419</v>
      </c>
      <c r="N8" s="243" t="s">
        <v>420</v>
      </c>
      <c r="O8" s="291">
        <v>0.62358837227702835</v>
      </c>
      <c r="P8" s="291">
        <v>5.4566147343907101</v>
      </c>
      <c r="Q8" s="291">
        <v>11.239179465439845</v>
      </c>
      <c r="R8" s="291">
        <v>8.3809097312818395</v>
      </c>
      <c r="S8" s="291">
        <v>5.7765857798914411</v>
      </c>
      <c r="T8" s="291">
        <v>5.2185704794026844</v>
      </c>
      <c r="U8" s="291">
        <v>4.6746729297638314</v>
      </c>
      <c r="V8" s="291">
        <v>4.2802140546747731</v>
      </c>
    </row>
    <row r="9" spans="1:22" x14ac:dyDescent="0.2">
      <c r="B9" s="243"/>
      <c r="C9" s="290"/>
      <c r="M9" s="243" t="s">
        <v>421</v>
      </c>
      <c r="N9" s="243" t="s">
        <v>422</v>
      </c>
      <c r="O9" s="291">
        <v>0</v>
      </c>
      <c r="P9" s="291">
        <v>0</v>
      </c>
      <c r="Q9" s="291">
        <v>0</v>
      </c>
      <c r="R9" s="291">
        <v>0</v>
      </c>
      <c r="S9" s="291">
        <v>0.37461039018928943</v>
      </c>
      <c r="T9" s="291">
        <v>0.10222510472910962</v>
      </c>
      <c r="U9" s="291">
        <v>0.25369581951594355</v>
      </c>
      <c r="V9" s="291">
        <v>0.20808380054974851</v>
      </c>
    </row>
    <row r="10" spans="1:22" x14ac:dyDescent="0.2">
      <c r="C10" s="290"/>
      <c r="M10" s="243" t="s">
        <v>423</v>
      </c>
      <c r="N10" s="243" t="s">
        <v>424</v>
      </c>
      <c r="O10" s="291">
        <v>0</v>
      </c>
      <c r="P10" s="291">
        <v>0</v>
      </c>
      <c r="Q10" s="291">
        <v>0</v>
      </c>
      <c r="R10" s="291">
        <v>0</v>
      </c>
      <c r="S10" s="291">
        <v>0.2242671819501183</v>
      </c>
      <c r="T10" s="291">
        <v>0.23164852582013484</v>
      </c>
      <c r="U10" s="291">
        <v>0.15037995954846828</v>
      </c>
      <c r="V10" s="291">
        <v>0.2771087313304994</v>
      </c>
    </row>
    <row r="11" spans="1:22" x14ac:dyDescent="0.2">
      <c r="C11" s="290"/>
      <c r="M11" s="243" t="s">
        <v>425</v>
      </c>
      <c r="N11" s="209" t="s">
        <v>426</v>
      </c>
      <c r="O11" s="291">
        <v>0</v>
      </c>
      <c r="P11" s="291">
        <v>0</v>
      </c>
      <c r="Q11" s="291">
        <v>0</v>
      </c>
      <c r="R11" s="291">
        <v>0</v>
      </c>
      <c r="S11" s="291">
        <v>0.45992696757901186</v>
      </c>
      <c r="T11" s="291">
        <v>0.32863234892526805</v>
      </c>
      <c r="U11" s="291">
        <v>0.29834386606514673</v>
      </c>
      <c r="V11" s="291">
        <v>0.35183034275238079</v>
      </c>
    </row>
    <row r="12" spans="1:22" x14ac:dyDescent="0.2">
      <c r="C12" s="290"/>
      <c r="M12" s="243" t="s">
        <v>427</v>
      </c>
      <c r="N12" s="209" t="s">
        <v>576</v>
      </c>
      <c r="O12" s="291">
        <v>0.62358837227702835</v>
      </c>
      <c r="P12" s="291">
        <v>5.4566147343907145</v>
      </c>
      <c r="Q12" s="291">
        <v>11.239179465439845</v>
      </c>
      <c r="R12" s="291">
        <v>8.3809097312818395</v>
      </c>
      <c r="S12" s="291">
        <v>6.171691605995048</v>
      </c>
      <c r="T12" s="291">
        <v>6.0822149754171875</v>
      </c>
      <c r="U12" s="291">
        <v>4.9204581721869536</v>
      </c>
      <c r="V12" s="291">
        <v>4.3604732692116466</v>
      </c>
    </row>
    <row r="13" spans="1:22" x14ac:dyDescent="0.2">
      <c r="C13" s="290"/>
      <c r="M13" s="243" t="s">
        <v>428</v>
      </c>
      <c r="N13" s="209" t="s">
        <v>429</v>
      </c>
      <c r="O13" s="291">
        <v>0.62358837227702835</v>
      </c>
      <c r="P13" s="291">
        <v>5.4566147343907145</v>
      </c>
      <c r="Q13" s="291">
        <v>11.239179465439845</v>
      </c>
      <c r="R13" s="291">
        <v>8.3809097312818395</v>
      </c>
      <c r="S13" s="291">
        <v>6.3754633520308488</v>
      </c>
      <c r="T13" s="291">
        <v>5.5524441099519288</v>
      </c>
      <c r="U13" s="291">
        <v>5.0787487088282433</v>
      </c>
      <c r="V13" s="291">
        <v>4.765406586555021</v>
      </c>
    </row>
    <row r="14" spans="1:22" x14ac:dyDescent="0.2">
      <c r="M14" s="243"/>
      <c r="O14" s="291"/>
      <c r="P14" s="291"/>
      <c r="Q14" s="291"/>
      <c r="R14" s="291"/>
      <c r="S14" s="291"/>
      <c r="T14" s="291"/>
    </row>
    <row r="24" spans="2:12" x14ac:dyDescent="0.2">
      <c r="L24" s="209" t="s">
        <v>1041</v>
      </c>
    </row>
    <row r="25" spans="2:12" x14ac:dyDescent="0.2">
      <c r="L25" s="209" t="s">
        <v>1042</v>
      </c>
    </row>
    <row r="27" spans="2:12" x14ac:dyDescent="0.2">
      <c r="J27" s="377" t="s">
        <v>0</v>
      </c>
    </row>
    <row r="29" spans="2:12" x14ac:dyDescent="0.2">
      <c r="B29" s="308" t="s">
        <v>1045</v>
      </c>
    </row>
    <row r="47" spans="12:12" x14ac:dyDescent="0.2">
      <c r="L47" s="209" t="s">
        <v>1044</v>
      </c>
    </row>
    <row r="48" spans="12:12" x14ac:dyDescent="0.2">
      <c r="L48" s="209" t="s">
        <v>1043</v>
      </c>
    </row>
    <row r="50" spans="10:10" x14ac:dyDescent="0.2">
      <c r="J50" s="377" t="s">
        <v>209</v>
      </c>
    </row>
  </sheetData>
  <mergeCells count="1">
    <mergeCell ref="B6:J6"/>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4:C16"/>
  <sheetViews>
    <sheetView showGridLines="0" workbookViewId="0"/>
  </sheetViews>
  <sheetFormatPr defaultColWidth="9.42578125" defaultRowHeight="12.75" x14ac:dyDescent="0.2"/>
  <cols>
    <col min="1" max="1" width="14.42578125" style="209" bestFit="1" customWidth="1"/>
    <col min="2" max="2" width="62.42578125" style="209" customWidth="1"/>
    <col min="3" max="3" width="27.5703125" style="209" customWidth="1"/>
    <col min="4" max="16384" width="9.42578125" style="209"/>
  </cols>
  <sheetData>
    <row r="4" spans="1:3" x14ac:dyDescent="0.2">
      <c r="A4" s="289"/>
    </row>
    <row r="5" spans="1:3" ht="13.5" thickBot="1" x14ac:dyDescent="0.25">
      <c r="B5" s="746" t="s">
        <v>1055</v>
      </c>
      <c r="C5" s="746"/>
    </row>
    <row r="6" spans="1:3" ht="13.5" thickBot="1" x14ac:dyDescent="0.25">
      <c r="B6" s="637" t="s">
        <v>389</v>
      </c>
      <c r="C6" s="638" t="s">
        <v>390</v>
      </c>
    </row>
    <row r="7" spans="1:3" x14ac:dyDescent="0.2">
      <c r="B7" s="639" t="s">
        <v>803</v>
      </c>
      <c r="C7" s="640" t="s">
        <v>391</v>
      </c>
    </row>
    <row r="8" spans="1:3" ht="13.5" thickBot="1" x14ac:dyDescent="0.25">
      <c r="B8" s="641" t="s">
        <v>801</v>
      </c>
      <c r="C8" s="642" t="s">
        <v>802</v>
      </c>
    </row>
    <row r="9" spans="1:3" x14ac:dyDescent="0.2">
      <c r="C9" s="643" t="s">
        <v>1021</v>
      </c>
    </row>
    <row r="12" spans="1:3" ht="13.5" thickBot="1" x14ac:dyDescent="0.25">
      <c r="B12" s="746" t="s">
        <v>1056</v>
      </c>
      <c r="C12" s="746"/>
    </row>
    <row r="13" spans="1:3" ht="13.5" thickBot="1" x14ac:dyDescent="0.25">
      <c r="B13" s="637" t="s">
        <v>430</v>
      </c>
      <c r="C13" s="638" t="s">
        <v>393</v>
      </c>
    </row>
    <row r="14" spans="1:3" x14ac:dyDescent="0.2">
      <c r="B14" s="639" t="s">
        <v>803</v>
      </c>
      <c r="C14" s="640" t="s">
        <v>394</v>
      </c>
    </row>
    <row r="15" spans="1:3" ht="13.5" thickBot="1" x14ac:dyDescent="0.25">
      <c r="B15" s="641" t="s">
        <v>801</v>
      </c>
      <c r="C15" s="642" t="s">
        <v>804</v>
      </c>
    </row>
    <row r="16" spans="1:3" x14ac:dyDescent="0.2">
      <c r="C16" s="643" t="s">
        <v>1057</v>
      </c>
    </row>
  </sheetData>
  <mergeCells count="2">
    <mergeCell ref="B5:C5"/>
    <mergeCell ref="B12:C12"/>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árok14"/>
  <dimension ref="A4:J29"/>
  <sheetViews>
    <sheetView showGridLines="0" zoomScaleNormal="100" workbookViewId="0"/>
  </sheetViews>
  <sheetFormatPr defaultColWidth="9.42578125" defaultRowHeight="12.75" x14ac:dyDescent="0.2"/>
  <cols>
    <col min="1" max="1" width="14.42578125" style="209" bestFit="1" customWidth="1"/>
    <col min="2" max="2" width="54.5703125" style="209" bestFit="1" customWidth="1"/>
    <col min="3" max="3" width="63.140625" style="209" bestFit="1" customWidth="1"/>
    <col min="4" max="10" width="10.42578125" style="209" customWidth="1"/>
    <col min="11" max="16384" width="9.42578125" style="209"/>
  </cols>
  <sheetData>
    <row r="4" spans="1:10" x14ac:dyDescent="0.2">
      <c r="A4" s="289"/>
    </row>
    <row r="5" spans="1:10" x14ac:dyDescent="0.2">
      <c r="B5" s="724" t="s">
        <v>1060</v>
      </c>
      <c r="C5" s="724"/>
      <c r="D5" s="724"/>
      <c r="E5" s="724"/>
      <c r="F5" s="724"/>
      <c r="G5" s="724"/>
      <c r="H5" s="724"/>
      <c r="I5" s="724"/>
    </row>
    <row r="6" spans="1:10" x14ac:dyDescent="0.2">
      <c r="B6" s="430" t="s">
        <v>1061</v>
      </c>
      <c r="C6" s="583"/>
      <c r="D6" s="583"/>
      <c r="E6" s="583"/>
      <c r="F6" s="583"/>
      <c r="G6" s="583"/>
      <c r="H6" s="583"/>
      <c r="I6" s="583"/>
    </row>
    <row r="7" spans="1:10" ht="13.5" thickBot="1" x14ac:dyDescent="0.25">
      <c r="B7" s="644"/>
      <c r="C7" s="644"/>
      <c r="D7" s="645">
        <v>2021</v>
      </c>
      <c r="E7" s="645">
        <v>2022</v>
      </c>
      <c r="F7" s="645">
        <v>2023</v>
      </c>
      <c r="G7" s="645" t="s">
        <v>1069</v>
      </c>
      <c r="H7" s="645" t="s">
        <v>1058</v>
      </c>
      <c r="I7" s="645" t="s">
        <v>1059</v>
      </c>
      <c r="J7" s="645" t="s">
        <v>1070</v>
      </c>
    </row>
    <row r="8" spans="1:10" ht="13.5" thickBot="1" x14ac:dyDescent="0.25">
      <c r="B8" s="646" t="s">
        <v>2</v>
      </c>
      <c r="C8" s="646" t="s">
        <v>176</v>
      </c>
      <c r="D8" s="647">
        <v>55091</v>
      </c>
      <c r="E8" s="647">
        <v>61346</v>
      </c>
      <c r="F8" s="647">
        <v>63499</v>
      </c>
      <c r="G8" s="647">
        <v>68830</v>
      </c>
      <c r="H8" s="647">
        <v>77260</v>
      </c>
      <c r="I8" s="647">
        <v>83330</v>
      </c>
      <c r="J8" s="647">
        <v>90916</v>
      </c>
    </row>
    <row r="9" spans="1:10" x14ac:dyDescent="0.2">
      <c r="B9" s="648" t="s">
        <v>3</v>
      </c>
      <c r="C9" s="666" t="s">
        <v>177</v>
      </c>
      <c r="D9" s="649">
        <v>6255</v>
      </c>
      <c r="E9" s="649">
        <v>2153</v>
      </c>
      <c r="F9" s="649">
        <v>5331</v>
      </c>
      <c r="G9" s="649">
        <v>8430</v>
      </c>
      <c r="H9" s="649">
        <v>6069</v>
      </c>
      <c r="I9" s="649">
        <v>7586</v>
      </c>
      <c r="J9" s="649">
        <v>9161</v>
      </c>
    </row>
    <row r="10" spans="1:10" x14ac:dyDescent="0.2">
      <c r="B10" s="515" t="s">
        <v>160</v>
      </c>
      <c r="C10" s="515" t="s">
        <v>178</v>
      </c>
      <c r="D10" s="650">
        <v>7014</v>
      </c>
      <c r="E10" s="650">
        <v>4525</v>
      </c>
      <c r="F10" s="650">
        <v>7675</v>
      </c>
      <c r="G10" s="650">
        <v>5801</v>
      </c>
      <c r="H10" s="650">
        <v>6375</v>
      </c>
      <c r="I10" s="650">
        <v>6135</v>
      </c>
      <c r="J10" s="650">
        <v>7367</v>
      </c>
    </row>
    <row r="11" spans="1:10" x14ac:dyDescent="0.2">
      <c r="B11" s="515" t="s">
        <v>161</v>
      </c>
      <c r="C11" s="515" t="s">
        <v>179</v>
      </c>
      <c r="D11" s="651">
        <v>-2365</v>
      </c>
      <c r="E11" s="651">
        <v>-1150</v>
      </c>
      <c r="F11" s="651">
        <v>-2587</v>
      </c>
      <c r="G11" s="651">
        <v>1898</v>
      </c>
      <c r="H11" s="651">
        <v>-964</v>
      </c>
      <c r="I11" s="651">
        <v>467</v>
      </c>
      <c r="J11" s="651">
        <v>1393</v>
      </c>
    </row>
    <row r="12" spans="1:10" x14ac:dyDescent="0.2">
      <c r="B12" s="515" t="s">
        <v>162</v>
      </c>
      <c r="C12" s="515" t="s">
        <v>182</v>
      </c>
      <c r="D12" s="651">
        <v>-152</v>
      </c>
      <c r="E12" s="651">
        <v>116</v>
      </c>
      <c r="F12" s="651">
        <v>201</v>
      </c>
      <c r="G12" s="651">
        <v>49</v>
      </c>
      <c r="H12" s="651">
        <v>143</v>
      </c>
      <c r="I12" s="651">
        <v>181</v>
      </c>
      <c r="J12" s="651">
        <v>196</v>
      </c>
    </row>
    <row r="13" spans="1:10" x14ac:dyDescent="0.2">
      <c r="B13" s="652" t="s">
        <v>28</v>
      </c>
      <c r="C13" s="652" t="s">
        <v>183</v>
      </c>
      <c r="D13" s="651">
        <v>-140</v>
      </c>
      <c r="E13" s="651">
        <v>-62</v>
      </c>
      <c r="F13" s="651">
        <v>-9</v>
      </c>
      <c r="G13" s="651">
        <v>-59</v>
      </c>
      <c r="H13" s="651">
        <v>68</v>
      </c>
      <c r="I13" s="651">
        <v>102</v>
      </c>
      <c r="J13" s="651">
        <v>102</v>
      </c>
    </row>
    <row r="14" spans="1:10" x14ac:dyDescent="0.2">
      <c r="B14" s="652" t="s">
        <v>20</v>
      </c>
      <c r="C14" s="652" t="s">
        <v>184</v>
      </c>
      <c r="D14" s="651">
        <v>-6</v>
      </c>
      <c r="E14" s="651">
        <v>41</v>
      </c>
      <c r="F14" s="651">
        <v>-10</v>
      </c>
      <c r="G14" s="651">
        <v>5</v>
      </c>
      <c r="H14" s="651">
        <v>31</v>
      </c>
      <c r="I14" s="651">
        <v>35</v>
      </c>
      <c r="J14" s="651">
        <v>27</v>
      </c>
    </row>
    <row r="15" spans="1:10" x14ac:dyDescent="0.2">
      <c r="B15" s="652" t="s">
        <v>163</v>
      </c>
      <c r="C15" s="652" t="s">
        <v>185</v>
      </c>
      <c r="D15" s="651">
        <v>18</v>
      </c>
      <c r="E15" s="651">
        <v>149</v>
      </c>
      <c r="F15" s="651">
        <v>252</v>
      </c>
      <c r="G15" s="651">
        <v>17</v>
      </c>
      <c r="H15" s="651">
        <v>3</v>
      </c>
      <c r="I15" s="651">
        <v>2</v>
      </c>
      <c r="J15" s="651">
        <v>2</v>
      </c>
    </row>
    <row r="16" spans="1:10" x14ac:dyDescent="0.2">
      <c r="B16" s="652" t="s">
        <v>541</v>
      </c>
      <c r="C16" s="652" t="s">
        <v>547</v>
      </c>
      <c r="D16" s="651">
        <v>-2</v>
      </c>
      <c r="E16" s="651">
        <v>14</v>
      </c>
      <c r="F16" s="651">
        <v>-1</v>
      </c>
      <c r="G16" s="651">
        <v>100</v>
      </c>
      <c r="H16" s="651">
        <v>50</v>
      </c>
      <c r="I16" s="651">
        <v>50</v>
      </c>
      <c r="J16" s="651">
        <v>50</v>
      </c>
    </row>
    <row r="17" spans="2:10" x14ac:dyDescent="0.2">
      <c r="B17" s="515" t="s">
        <v>164</v>
      </c>
      <c r="C17" s="515" t="s">
        <v>180</v>
      </c>
      <c r="D17" s="651">
        <v>18</v>
      </c>
      <c r="E17" s="651">
        <v>542</v>
      </c>
      <c r="F17" s="651">
        <v>454</v>
      </c>
      <c r="G17" s="651">
        <v>706</v>
      </c>
      <c r="H17" s="651">
        <v>589</v>
      </c>
      <c r="I17" s="651">
        <v>837</v>
      </c>
      <c r="J17" s="651">
        <v>395</v>
      </c>
    </row>
    <row r="18" spans="2:10" x14ac:dyDescent="0.2">
      <c r="B18" s="515" t="s">
        <v>165</v>
      </c>
      <c r="C18" s="515" t="s">
        <v>181</v>
      </c>
      <c r="D18" s="651">
        <v>-2</v>
      </c>
      <c r="E18" s="651">
        <v>-11</v>
      </c>
      <c r="F18" s="651">
        <v>0</v>
      </c>
      <c r="G18" s="651">
        <v>-15</v>
      </c>
      <c r="H18" s="651">
        <v>-53</v>
      </c>
      <c r="I18" s="651">
        <v>-40</v>
      </c>
      <c r="J18" s="651">
        <v>-183</v>
      </c>
    </row>
    <row r="19" spans="2:10" ht="13.5" thickBot="1" x14ac:dyDescent="0.25">
      <c r="B19" s="644" t="s">
        <v>546</v>
      </c>
      <c r="C19" s="515" t="s">
        <v>1022</v>
      </c>
      <c r="D19" s="653" t="s">
        <v>1068</v>
      </c>
      <c r="E19" s="653">
        <v>-1869</v>
      </c>
      <c r="F19" s="653">
        <v>-413</v>
      </c>
      <c r="G19" s="653">
        <v>-7</v>
      </c>
      <c r="H19" s="653">
        <v>-20</v>
      </c>
      <c r="I19" s="653">
        <v>7</v>
      </c>
      <c r="J19" s="653">
        <v>-6</v>
      </c>
    </row>
    <row r="20" spans="2:10" x14ac:dyDescent="0.2">
      <c r="B20" s="648" t="s">
        <v>4</v>
      </c>
      <c r="C20" s="667" t="s">
        <v>186</v>
      </c>
      <c r="D20" s="654">
        <v>61346</v>
      </c>
      <c r="E20" s="654">
        <v>63499</v>
      </c>
      <c r="F20" s="654">
        <v>68830</v>
      </c>
      <c r="G20" s="654">
        <v>77260</v>
      </c>
      <c r="H20" s="654">
        <v>83330</v>
      </c>
      <c r="I20" s="654">
        <v>90916</v>
      </c>
      <c r="J20" s="654">
        <v>100077</v>
      </c>
    </row>
    <row r="21" spans="2:10" ht="13.5" thickBot="1" x14ac:dyDescent="0.25">
      <c r="B21" s="655" t="s">
        <v>1</v>
      </c>
      <c r="C21" s="668" t="s">
        <v>187</v>
      </c>
      <c r="D21" s="656">
        <v>61.2</v>
      </c>
      <c r="E21" s="656">
        <v>57.9</v>
      </c>
      <c r="F21" s="656">
        <v>56</v>
      </c>
      <c r="G21" s="656">
        <v>58.9</v>
      </c>
      <c r="H21" s="656">
        <v>59.6</v>
      </c>
      <c r="I21" s="656">
        <v>61.7</v>
      </c>
      <c r="J21" s="656">
        <v>65.8</v>
      </c>
    </row>
    <row r="22" spans="2:10" x14ac:dyDescent="0.2">
      <c r="B22" s="648" t="s">
        <v>542</v>
      </c>
      <c r="C22" s="669" t="s">
        <v>188</v>
      </c>
      <c r="D22" s="657">
        <v>0.1</v>
      </c>
      <c r="E22" s="657">
        <v>0.1</v>
      </c>
      <c r="F22" s="657">
        <v>0</v>
      </c>
      <c r="G22" s="657">
        <v>0.3</v>
      </c>
      <c r="H22" s="657">
        <v>-0.3</v>
      </c>
      <c r="I22" s="657">
        <v>-1.9</v>
      </c>
      <c r="J22" s="657">
        <v>-2.1</v>
      </c>
    </row>
    <row r="23" spans="2:10" x14ac:dyDescent="0.2">
      <c r="B23" s="515" t="s">
        <v>543</v>
      </c>
      <c r="C23" s="652" t="s">
        <v>189</v>
      </c>
      <c r="D23" s="658">
        <v>0</v>
      </c>
      <c r="E23" s="658">
        <v>0</v>
      </c>
      <c r="F23" s="658">
        <v>0</v>
      </c>
      <c r="G23" s="658">
        <v>0.1</v>
      </c>
      <c r="H23" s="658">
        <v>0.2</v>
      </c>
      <c r="I23" s="658">
        <v>-0.2</v>
      </c>
      <c r="J23" s="658">
        <v>0.2</v>
      </c>
    </row>
    <row r="24" spans="2:10" ht="13.5" thickBot="1" x14ac:dyDescent="0.25">
      <c r="B24" s="659" t="s">
        <v>544</v>
      </c>
      <c r="C24" s="670" t="s">
        <v>190</v>
      </c>
      <c r="D24" s="660">
        <v>0.1</v>
      </c>
      <c r="E24" s="660">
        <v>0.1</v>
      </c>
      <c r="F24" s="660">
        <v>0</v>
      </c>
      <c r="G24" s="660">
        <v>0.2</v>
      </c>
      <c r="H24" s="660">
        <v>-0.5</v>
      </c>
      <c r="I24" s="660">
        <v>-1.7</v>
      </c>
      <c r="J24" s="660">
        <v>-2.2999999999999998</v>
      </c>
    </row>
    <row r="25" spans="2:10" ht="13.5" thickBot="1" x14ac:dyDescent="0.25">
      <c r="B25" s="661" t="s">
        <v>545</v>
      </c>
      <c r="C25" s="671" t="s">
        <v>210</v>
      </c>
      <c r="D25" s="662">
        <v>0</v>
      </c>
      <c r="E25" s="662">
        <v>0</v>
      </c>
      <c r="F25" s="662">
        <v>-1</v>
      </c>
      <c r="G25" s="662">
        <v>0</v>
      </c>
      <c r="H25" s="662">
        <v>0</v>
      </c>
      <c r="I25" s="662">
        <v>0</v>
      </c>
      <c r="J25" s="662">
        <v>0</v>
      </c>
    </row>
    <row r="26" spans="2:10" x14ac:dyDescent="0.2">
      <c r="B26" s="748" t="s">
        <v>1066</v>
      </c>
      <c r="C26" s="749"/>
      <c r="D26" s="749"/>
      <c r="E26" s="749"/>
      <c r="F26" s="749"/>
      <c r="G26" s="749"/>
      <c r="H26" s="749"/>
      <c r="I26" s="663"/>
      <c r="J26" s="683" t="s">
        <v>0</v>
      </c>
    </row>
    <row r="27" spans="2:10" x14ac:dyDescent="0.2">
      <c r="B27" s="684" t="s">
        <v>1067</v>
      </c>
      <c r="C27" s="664"/>
      <c r="D27" s="664"/>
      <c r="E27" s="664"/>
      <c r="F27" s="664"/>
      <c r="G27" s="664"/>
      <c r="H27" s="664"/>
      <c r="I27" s="663"/>
      <c r="J27" s="683" t="s">
        <v>209</v>
      </c>
    </row>
    <row r="28" spans="2:10" x14ac:dyDescent="0.2">
      <c r="B28" s="750" t="s">
        <v>223</v>
      </c>
      <c r="C28" s="750"/>
      <c r="D28" s="750"/>
      <c r="E28" s="750"/>
      <c r="F28" s="750"/>
      <c r="G28" s="750"/>
      <c r="H28" s="750"/>
      <c r="I28" s="665"/>
    </row>
    <row r="29" spans="2:10" x14ac:dyDescent="0.2">
      <c r="B29" s="209" t="s">
        <v>224</v>
      </c>
    </row>
  </sheetData>
  <mergeCells count="3">
    <mergeCell ref="B26:H26"/>
    <mergeCell ref="B28:H28"/>
    <mergeCell ref="B5:I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árok40"/>
  <dimension ref="A4:I15"/>
  <sheetViews>
    <sheetView showGridLines="0" zoomScale="110" zoomScaleNormal="110" workbookViewId="0"/>
  </sheetViews>
  <sheetFormatPr defaultColWidth="9.42578125" defaultRowHeight="12.75" x14ac:dyDescent="0.2"/>
  <cols>
    <col min="1" max="1" width="7.5703125" style="209" customWidth="1"/>
    <col min="2" max="2" width="71" style="209" bestFit="1" customWidth="1"/>
    <col min="3" max="3" width="90.42578125" style="209" customWidth="1"/>
    <col min="4" max="8" width="9.42578125" style="209"/>
    <col min="9" max="9" width="9.5703125" style="209" customWidth="1"/>
    <col min="10" max="16384" width="9.42578125" style="209"/>
  </cols>
  <sheetData>
    <row r="4" spans="1:9" x14ac:dyDescent="0.2">
      <c r="A4" s="289"/>
    </row>
    <row r="5" spans="1:9" x14ac:dyDescent="0.2">
      <c r="B5" s="751" t="s">
        <v>548</v>
      </c>
      <c r="C5" s="751"/>
      <c r="D5" s="751"/>
      <c r="E5" s="751"/>
      <c r="F5" s="751"/>
      <c r="G5" s="751"/>
      <c r="H5" s="751"/>
    </row>
    <row r="6" spans="1:9" x14ac:dyDescent="0.2">
      <c r="B6" s="751" t="s">
        <v>549</v>
      </c>
      <c r="C6" s="751"/>
      <c r="D6" s="751"/>
      <c r="E6" s="751"/>
      <c r="F6" s="751"/>
      <c r="G6" s="751"/>
      <c r="H6" s="751"/>
    </row>
    <row r="7" spans="1:9" ht="13.5" thickBot="1" x14ac:dyDescent="0.25">
      <c r="B7" s="215"/>
      <c r="C7" s="215"/>
      <c r="D7" s="672">
        <v>2023</v>
      </c>
      <c r="E7" s="672">
        <v>2024</v>
      </c>
      <c r="F7" s="672">
        <v>2025</v>
      </c>
      <c r="G7" s="672">
        <v>2026</v>
      </c>
      <c r="H7" s="672">
        <v>2027</v>
      </c>
    </row>
    <row r="8" spans="1:9" x14ac:dyDescent="0.2">
      <c r="A8" s="138"/>
      <c r="B8" s="673" t="s">
        <v>552</v>
      </c>
      <c r="C8" s="673" t="s">
        <v>553</v>
      </c>
      <c r="D8" s="674">
        <v>-91</v>
      </c>
      <c r="E8" s="139" t="s">
        <v>207</v>
      </c>
      <c r="F8" s="139" t="s">
        <v>207</v>
      </c>
      <c r="G8" s="139" t="s">
        <v>207</v>
      </c>
      <c r="H8" s="139" t="s">
        <v>207</v>
      </c>
    </row>
    <row r="9" spans="1:9" x14ac:dyDescent="0.2">
      <c r="A9" s="138"/>
      <c r="B9" s="673" t="s">
        <v>551</v>
      </c>
      <c r="C9" s="673" t="s">
        <v>550</v>
      </c>
      <c r="D9" s="139">
        <v>-108</v>
      </c>
      <c r="E9" s="139">
        <v>-56</v>
      </c>
      <c r="F9" s="139">
        <v>-15</v>
      </c>
      <c r="G9" s="139" t="s">
        <v>207</v>
      </c>
      <c r="H9" s="139" t="s">
        <v>207</v>
      </c>
      <c r="I9" s="497"/>
    </row>
    <row r="10" spans="1:9" x14ac:dyDescent="0.2">
      <c r="A10" s="138"/>
      <c r="B10" s="675" t="s">
        <v>554</v>
      </c>
      <c r="C10" s="675" t="s">
        <v>555</v>
      </c>
      <c r="D10" s="128">
        <v>-2167</v>
      </c>
      <c r="E10" s="139">
        <v>-1155</v>
      </c>
      <c r="F10" s="139">
        <v>-235</v>
      </c>
      <c r="G10" s="139" t="s">
        <v>207</v>
      </c>
      <c r="H10" s="139" t="s">
        <v>207</v>
      </c>
    </row>
    <row r="11" spans="1:9" x14ac:dyDescent="0.2">
      <c r="A11" s="214"/>
      <c r="B11" s="676" t="s">
        <v>237</v>
      </c>
      <c r="C11" s="471" t="s">
        <v>284</v>
      </c>
      <c r="D11" s="128" t="s">
        <v>207</v>
      </c>
      <c r="E11" s="139">
        <v>193</v>
      </c>
      <c r="F11" s="139" t="s">
        <v>207</v>
      </c>
      <c r="G11" s="139" t="s">
        <v>207</v>
      </c>
      <c r="H11" s="139" t="s">
        <v>207</v>
      </c>
      <c r="I11" s="216"/>
    </row>
    <row r="12" spans="1:9" ht="13.5" thickBot="1" x14ac:dyDescent="0.25">
      <c r="A12" s="214"/>
      <c r="B12" s="677" t="s">
        <v>270</v>
      </c>
      <c r="C12" s="479" t="s">
        <v>280</v>
      </c>
      <c r="D12" s="602">
        <v>30</v>
      </c>
      <c r="E12" s="379">
        <v>6</v>
      </c>
      <c r="F12" s="379" t="s">
        <v>207</v>
      </c>
      <c r="G12" s="379" t="s">
        <v>207</v>
      </c>
      <c r="H12" s="379" t="s">
        <v>207</v>
      </c>
      <c r="I12" s="216"/>
    </row>
    <row r="13" spans="1:9" ht="13.5" thickBot="1" x14ac:dyDescent="0.25">
      <c r="B13" s="678" t="s">
        <v>215</v>
      </c>
      <c r="C13" s="678" t="s">
        <v>170</v>
      </c>
      <c r="D13" s="436">
        <v>-2336</v>
      </c>
      <c r="E13" s="609">
        <v>-986</v>
      </c>
      <c r="F13" s="609">
        <v>-250</v>
      </c>
      <c r="G13" s="609">
        <v>0</v>
      </c>
      <c r="H13" s="465">
        <v>0</v>
      </c>
    </row>
    <row r="14" spans="1:9" x14ac:dyDescent="0.2">
      <c r="H14" s="680" t="s">
        <v>0</v>
      </c>
    </row>
    <row r="15" spans="1:9" x14ac:dyDescent="0.2">
      <c r="H15" s="679" t="s">
        <v>209</v>
      </c>
    </row>
  </sheetData>
  <mergeCells count="2">
    <mergeCell ref="B6:H6"/>
    <mergeCell ref="B5:H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árok20"/>
  <dimension ref="A4:H110"/>
  <sheetViews>
    <sheetView showGridLines="0" zoomScaleNormal="100" workbookViewId="0"/>
  </sheetViews>
  <sheetFormatPr defaultColWidth="9.42578125" defaultRowHeight="12.75" x14ac:dyDescent="0.2"/>
  <cols>
    <col min="1" max="1" width="7.42578125" style="209" customWidth="1"/>
    <col min="2" max="2" width="83.7109375" style="209" customWidth="1"/>
    <col min="3" max="3" width="90.28515625" style="209" customWidth="1"/>
    <col min="4" max="16384" width="9.42578125" style="209"/>
  </cols>
  <sheetData>
    <row r="4" spans="1:8" x14ac:dyDescent="0.2">
      <c r="B4" s="289"/>
      <c r="C4" s="289"/>
    </row>
    <row r="5" spans="1:8" ht="13.5" thickBot="1" x14ac:dyDescent="0.25">
      <c r="B5" s="495" t="s">
        <v>556</v>
      </c>
      <c r="C5" s="308"/>
    </row>
    <row r="6" spans="1:8" ht="13.5" thickBot="1" x14ac:dyDescent="0.25">
      <c r="B6" s="496" t="s">
        <v>167</v>
      </c>
      <c r="C6" s="436"/>
      <c r="D6" s="436">
        <v>2023</v>
      </c>
      <c r="E6" s="436">
        <v>2024</v>
      </c>
      <c r="F6" s="436">
        <v>2025</v>
      </c>
      <c r="G6" s="436">
        <v>2026</v>
      </c>
      <c r="H6" s="436">
        <v>2027</v>
      </c>
    </row>
    <row r="7" spans="1:8" x14ac:dyDescent="0.2">
      <c r="A7" s="497"/>
      <c r="B7" s="498" t="s">
        <v>287</v>
      </c>
      <c r="C7" s="226" t="s">
        <v>325</v>
      </c>
      <c r="D7" s="464">
        <v>-13</v>
      </c>
      <c r="E7" s="464">
        <v>-14</v>
      </c>
      <c r="F7" s="464" t="s">
        <v>680</v>
      </c>
      <c r="G7" s="464" t="s">
        <v>680</v>
      </c>
      <c r="H7" s="464" t="s">
        <v>680</v>
      </c>
    </row>
    <row r="8" spans="1:8" x14ac:dyDescent="0.2">
      <c r="A8" s="497"/>
      <c r="B8" s="498" t="s">
        <v>742</v>
      </c>
      <c r="C8" s="226" t="s">
        <v>743</v>
      </c>
      <c r="D8" s="464">
        <v>-14.877999999999998</v>
      </c>
      <c r="E8" s="464" t="s">
        <v>680</v>
      </c>
      <c r="F8" s="464" t="s">
        <v>680</v>
      </c>
      <c r="G8" s="464" t="s">
        <v>680</v>
      </c>
      <c r="H8" s="464" t="s">
        <v>680</v>
      </c>
    </row>
    <row r="9" spans="1:8" x14ac:dyDescent="0.2">
      <c r="A9" s="497"/>
      <c r="B9" s="498" t="s">
        <v>239</v>
      </c>
      <c r="C9" s="226" t="s">
        <v>240</v>
      </c>
      <c r="D9" s="464">
        <v>-11.468359407720015</v>
      </c>
      <c r="E9" s="464" t="s">
        <v>680</v>
      </c>
      <c r="F9" s="464" t="s">
        <v>680</v>
      </c>
      <c r="G9" s="464" t="s">
        <v>680</v>
      </c>
      <c r="H9" s="464" t="s">
        <v>680</v>
      </c>
    </row>
    <row r="10" spans="1:8" x14ac:dyDescent="0.2">
      <c r="A10" s="497"/>
      <c r="B10" s="498" t="s">
        <v>238</v>
      </c>
      <c r="C10" s="226" t="s">
        <v>323</v>
      </c>
      <c r="D10" s="464">
        <v>23.1525</v>
      </c>
      <c r="E10" s="464">
        <v>3.307500000000001</v>
      </c>
      <c r="F10" s="464">
        <v>-9.9224999999999994</v>
      </c>
      <c r="G10" s="464">
        <v>-16.537500000000001</v>
      </c>
      <c r="H10" s="464" t="s">
        <v>680</v>
      </c>
    </row>
    <row r="11" spans="1:8" x14ac:dyDescent="0.2">
      <c r="A11" s="497"/>
      <c r="B11" s="498" t="s">
        <v>285</v>
      </c>
      <c r="C11" s="226" t="s">
        <v>322</v>
      </c>
      <c r="D11" s="464">
        <v>-10.974465142156024</v>
      </c>
      <c r="E11" s="464">
        <v>-21.577853348662835</v>
      </c>
      <c r="F11" s="464" t="s">
        <v>680</v>
      </c>
      <c r="G11" s="464" t="s">
        <v>680</v>
      </c>
      <c r="H11" s="464" t="s">
        <v>680</v>
      </c>
    </row>
    <row r="12" spans="1:8" x14ac:dyDescent="0.2">
      <c r="A12" s="497"/>
      <c r="B12" s="498" t="s">
        <v>744</v>
      </c>
      <c r="C12" s="226" t="s">
        <v>745</v>
      </c>
      <c r="D12" s="464">
        <v>19.922000000000001</v>
      </c>
      <c r="E12" s="464">
        <v>1.6650000000000009</v>
      </c>
      <c r="F12" s="464" t="s">
        <v>680</v>
      </c>
      <c r="G12" s="464" t="s">
        <v>680</v>
      </c>
      <c r="H12" s="464" t="s">
        <v>680</v>
      </c>
    </row>
    <row r="13" spans="1:8" x14ac:dyDescent="0.2">
      <c r="A13" s="497"/>
      <c r="B13" s="498" t="s">
        <v>433</v>
      </c>
      <c r="C13" s="226" t="s">
        <v>746</v>
      </c>
      <c r="D13" s="464">
        <v>20.305778275530315</v>
      </c>
      <c r="E13" s="464">
        <v>-5.7129060226408841</v>
      </c>
      <c r="F13" s="464" t="s">
        <v>680</v>
      </c>
      <c r="G13" s="464" t="s">
        <v>680</v>
      </c>
      <c r="H13" s="464" t="s">
        <v>680</v>
      </c>
    </row>
    <row r="14" spans="1:8" x14ac:dyDescent="0.2">
      <c r="A14" s="497"/>
      <c r="B14" s="498" t="s">
        <v>286</v>
      </c>
      <c r="C14" s="226" t="s">
        <v>747</v>
      </c>
      <c r="D14" s="464">
        <v>-34.836000000000006</v>
      </c>
      <c r="E14" s="464">
        <v>-41.309999999999995</v>
      </c>
      <c r="F14" s="464" t="s">
        <v>680</v>
      </c>
      <c r="G14" s="464" t="s">
        <v>680</v>
      </c>
      <c r="H14" s="464" t="s">
        <v>680</v>
      </c>
    </row>
    <row r="15" spans="1:8" x14ac:dyDescent="0.2">
      <c r="A15" s="497"/>
      <c r="B15" s="498" t="s">
        <v>748</v>
      </c>
      <c r="C15" s="226" t="s">
        <v>749</v>
      </c>
      <c r="D15" s="464">
        <v>29.647187931762598</v>
      </c>
      <c r="E15" s="464">
        <v>-24.029497931762599</v>
      </c>
      <c r="F15" s="464">
        <v>-5.6176899999999996</v>
      </c>
      <c r="G15" s="464" t="s">
        <v>680</v>
      </c>
      <c r="H15" s="464" t="s">
        <v>680</v>
      </c>
    </row>
    <row r="16" spans="1:8" x14ac:dyDescent="0.2">
      <c r="A16" s="497"/>
      <c r="B16" s="498" t="s">
        <v>750</v>
      </c>
      <c r="C16" s="226" t="s">
        <v>751</v>
      </c>
      <c r="D16" s="464" t="s">
        <v>680</v>
      </c>
      <c r="E16" s="464">
        <v>37.5</v>
      </c>
      <c r="F16" s="464">
        <v>12.5</v>
      </c>
      <c r="G16" s="464" t="s">
        <v>680</v>
      </c>
      <c r="H16" s="464" t="s">
        <v>680</v>
      </c>
    </row>
    <row r="17" spans="1:8" x14ac:dyDescent="0.2">
      <c r="A17" s="497"/>
      <c r="B17" s="498" t="s">
        <v>313</v>
      </c>
      <c r="C17" s="226" t="s">
        <v>752</v>
      </c>
      <c r="D17" s="464" t="s">
        <v>680</v>
      </c>
      <c r="E17" s="464">
        <v>33</v>
      </c>
      <c r="F17" s="464" t="s">
        <v>680</v>
      </c>
      <c r="G17" s="464" t="s">
        <v>680</v>
      </c>
      <c r="H17" s="464" t="s">
        <v>680</v>
      </c>
    </row>
    <row r="18" spans="1:8" x14ac:dyDescent="0.2">
      <c r="A18" s="497"/>
      <c r="B18" s="498" t="s">
        <v>753</v>
      </c>
      <c r="C18" s="226" t="s">
        <v>754</v>
      </c>
      <c r="D18" s="464">
        <v>152</v>
      </c>
      <c r="E18" s="464">
        <v>-68.682000000000002</v>
      </c>
      <c r="F18" s="464">
        <v>-43.317999999999998</v>
      </c>
      <c r="G18" s="464">
        <v>-20</v>
      </c>
      <c r="H18" s="464">
        <v>-19.8</v>
      </c>
    </row>
    <row r="19" spans="1:8" x14ac:dyDescent="0.2">
      <c r="A19" s="497"/>
      <c r="B19" s="498" t="s">
        <v>324</v>
      </c>
      <c r="C19" s="226" t="s">
        <v>755</v>
      </c>
      <c r="D19" s="464" t="s">
        <v>680</v>
      </c>
      <c r="E19" s="464" t="s">
        <v>680</v>
      </c>
      <c r="F19" s="464">
        <v>-14.967000000000001</v>
      </c>
      <c r="G19" s="464" t="s">
        <v>680</v>
      </c>
      <c r="H19" s="464" t="s">
        <v>680</v>
      </c>
    </row>
    <row r="20" spans="1:8" x14ac:dyDescent="0.2">
      <c r="A20" s="497"/>
      <c r="B20" s="498" t="s">
        <v>326</v>
      </c>
      <c r="C20" s="226" t="s">
        <v>756</v>
      </c>
      <c r="D20" s="464" t="s">
        <v>680</v>
      </c>
      <c r="E20" s="464">
        <v>330.97900000000004</v>
      </c>
      <c r="F20" s="464">
        <v>-48.340000000000032</v>
      </c>
      <c r="G20" s="464">
        <v>-34.799000000000035</v>
      </c>
      <c r="H20" s="464">
        <v>-44.700999999999965</v>
      </c>
    </row>
    <row r="21" spans="1:8" x14ac:dyDescent="0.2">
      <c r="A21" s="497"/>
      <c r="B21" s="498" t="s">
        <v>757</v>
      </c>
      <c r="C21" s="226" t="s">
        <v>758</v>
      </c>
      <c r="D21" s="464">
        <v>-410.35212298000005</v>
      </c>
      <c r="E21" s="464">
        <v>193.49707000000001</v>
      </c>
      <c r="F21" s="464">
        <v>-193.49707000000001</v>
      </c>
      <c r="G21" s="464" t="s">
        <v>680</v>
      </c>
      <c r="H21" s="464" t="s">
        <v>680</v>
      </c>
    </row>
    <row r="22" spans="1:8" x14ac:dyDescent="0.2">
      <c r="A22" s="497"/>
      <c r="B22" s="498" t="s">
        <v>759</v>
      </c>
      <c r="C22" s="226" t="s">
        <v>327</v>
      </c>
      <c r="D22" s="464" t="s">
        <v>680</v>
      </c>
      <c r="E22" s="464">
        <v>48.5</v>
      </c>
      <c r="F22" s="464" t="s">
        <v>680</v>
      </c>
      <c r="G22" s="464" t="s">
        <v>680</v>
      </c>
      <c r="H22" s="464" t="s">
        <v>680</v>
      </c>
    </row>
    <row r="23" spans="1:8" x14ac:dyDescent="0.2">
      <c r="A23" s="497"/>
      <c r="B23" s="498" t="s">
        <v>760</v>
      </c>
      <c r="C23" s="226" t="s">
        <v>761</v>
      </c>
      <c r="D23" s="464">
        <v>39.558000000000007</v>
      </c>
      <c r="E23" s="464">
        <v>43.443600000000004</v>
      </c>
      <c r="F23" s="464" t="s">
        <v>680</v>
      </c>
      <c r="G23" s="464" t="s">
        <v>680</v>
      </c>
      <c r="H23" s="464" t="s">
        <v>680</v>
      </c>
    </row>
    <row r="24" spans="1:8" x14ac:dyDescent="0.2">
      <c r="A24" s="497"/>
      <c r="B24" s="498" t="s">
        <v>762</v>
      </c>
      <c r="C24" s="226" t="s">
        <v>763</v>
      </c>
      <c r="D24" s="464" t="s">
        <v>680</v>
      </c>
      <c r="E24" s="464">
        <v>329.25217817450005</v>
      </c>
      <c r="F24" s="464" t="s">
        <v>680</v>
      </c>
      <c r="G24" s="464" t="s">
        <v>680</v>
      </c>
      <c r="H24" s="464" t="s">
        <v>680</v>
      </c>
    </row>
    <row r="25" spans="1:8" x14ac:dyDescent="0.2">
      <c r="A25" s="497"/>
      <c r="B25" s="498" t="s">
        <v>764</v>
      </c>
      <c r="C25" s="226" t="s">
        <v>765</v>
      </c>
      <c r="D25" s="464">
        <v>31.704000000000001</v>
      </c>
      <c r="E25" s="464">
        <v>113.887</v>
      </c>
      <c r="F25" s="464" t="s">
        <v>680</v>
      </c>
      <c r="G25" s="464" t="s">
        <v>680</v>
      </c>
      <c r="H25" s="464" t="s">
        <v>680</v>
      </c>
    </row>
    <row r="26" spans="1:8" x14ac:dyDescent="0.2">
      <c r="A26" s="497"/>
      <c r="B26" s="498" t="s">
        <v>766</v>
      </c>
      <c r="C26" s="226" t="s">
        <v>767</v>
      </c>
      <c r="D26" s="464">
        <v>36.463000000000001</v>
      </c>
      <c r="E26" s="464">
        <v>40.074852362716044</v>
      </c>
      <c r="F26" s="464" t="s">
        <v>680</v>
      </c>
      <c r="G26" s="464" t="s">
        <v>680</v>
      </c>
      <c r="H26" s="464" t="s">
        <v>680</v>
      </c>
    </row>
    <row r="27" spans="1:8" x14ac:dyDescent="0.2">
      <c r="A27" s="497"/>
      <c r="B27" s="498" t="s">
        <v>768</v>
      </c>
      <c r="C27" s="226" t="s">
        <v>769</v>
      </c>
      <c r="D27" s="464">
        <v>-24.477704999999997</v>
      </c>
      <c r="E27" s="464">
        <v>-10.799657999999997</v>
      </c>
      <c r="F27" s="464">
        <v>35.277362999999994</v>
      </c>
      <c r="G27" s="464" t="s">
        <v>680</v>
      </c>
      <c r="H27" s="464" t="s">
        <v>680</v>
      </c>
    </row>
    <row r="28" spans="1:8" x14ac:dyDescent="0.2">
      <c r="A28" s="497"/>
      <c r="B28" s="498" t="s">
        <v>770</v>
      </c>
      <c r="C28" s="226" t="s">
        <v>771</v>
      </c>
      <c r="D28" s="464" t="s">
        <v>680</v>
      </c>
      <c r="E28" s="464" t="s">
        <v>680</v>
      </c>
      <c r="F28" s="464">
        <v>78.182000000000002</v>
      </c>
      <c r="G28" s="464" t="s">
        <v>680</v>
      </c>
      <c r="H28" s="464" t="s">
        <v>680</v>
      </c>
    </row>
    <row r="29" spans="1:8" x14ac:dyDescent="0.2">
      <c r="A29" s="497"/>
      <c r="B29" s="498" t="s">
        <v>772</v>
      </c>
      <c r="C29" s="226" t="s">
        <v>773</v>
      </c>
      <c r="D29" s="464" t="s">
        <v>680</v>
      </c>
      <c r="E29" s="464">
        <v>82.930799999999991</v>
      </c>
      <c r="F29" s="464">
        <v>77.903999999999996</v>
      </c>
      <c r="G29" s="464">
        <v>114.6276</v>
      </c>
      <c r="H29" s="464">
        <v>51.280800000000006</v>
      </c>
    </row>
    <row r="30" spans="1:8" x14ac:dyDescent="0.2">
      <c r="A30" s="497"/>
      <c r="B30" s="498" t="s">
        <v>774</v>
      </c>
      <c r="C30" s="226" t="s">
        <v>775</v>
      </c>
      <c r="D30" s="464" t="s">
        <v>680</v>
      </c>
      <c r="E30" s="464">
        <v>-14.856953327415059</v>
      </c>
      <c r="F30" s="464">
        <v>14.856953327415059</v>
      </c>
      <c r="G30" s="464" t="s">
        <v>680</v>
      </c>
      <c r="H30" s="464" t="s">
        <v>680</v>
      </c>
    </row>
    <row r="31" spans="1:8" x14ac:dyDescent="0.2">
      <c r="A31" s="497"/>
      <c r="B31" s="498" t="s">
        <v>776</v>
      </c>
      <c r="C31" s="226" t="s">
        <v>777</v>
      </c>
      <c r="D31" s="464" t="s">
        <v>680</v>
      </c>
      <c r="E31" s="464" t="s">
        <v>680</v>
      </c>
      <c r="F31" s="464">
        <v>-4.8869999999999996</v>
      </c>
      <c r="G31" s="464" t="s">
        <v>680</v>
      </c>
      <c r="H31" s="464" t="s">
        <v>680</v>
      </c>
    </row>
    <row r="32" spans="1:8" x14ac:dyDescent="0.2">
      <c r="A32" s="497"/>
      <c r="B32" s="498" t="s">
        <v>778</v>
      </c>
      <c r="C32" s="226" t="s">
        <v>779</v>
      </c>
      <c r="D32" s="464" t="s">
        <v>680</v>
      </c>
      <c r="E32" s="464" t="s">
        <v>680</v>
      </c>
      <c r="F32" s="464">
        <v>517.11799999999994</v>
      </c>
      <c r="G32" s="464">
        <v>172.37266666666665</v>
      </c>
      <c r="H32" s="464" t="s">
        <v>680</v>
      </c>
    </row>
    <row r="33" spans="1:8" x14ac:dyDescent="0.2">
      <c r="A33" s="497"/>
      <c r="B33" s="498" t="s">
        <v>780</v>
      </c>
      <c r="C33" s="226" t="s">
        <v>781</v>
      </c>
      <c r="D33" s="464" t="s">
        <v>680</v>
      </c>
      <c r="E33" s="464" t="s">
        <v>680</v>
      </c>
      <c r="F33" s="464">
        <v>-10.786</v>
      </c>
      <c r="G33" s="464" t="s">
        <v>680</v>
      </c>
      <c r="H33" s="464" t="s">
        <v>680</v>
      </c>
    </row>
    <row r="34" spans="1:8" x14ac:dyDescent="0.2">
      <c r="A34" s="497"/>
      <c r="B34" s="498" t="s">
        <v>782</v>
      </c>
      <c r="C34" s="226" t="s">
        <v>783</v>
      </c>
      <c r="D34" s="464" t="s">
        <v>680</v>
      </c>
      <c r="E34" s="464" t="s">
        <v>680</v>
      </c>
      <c r="F34" s="464">
        <v>-27.928301992678961</v>
      </c>
      <c r="G34" s="464" t="s">
        <v>680</v>
      </c>
      <c r="H34" s="464" t="s">
        <v>680</v>
      </c>
    </row>
    <row r="35" spans="1:8" x14ac:dyDescent="0.2">
      <c r="A35" s="497"/>
      <c r="B35" s="498" t="s">
        <v>784</v>
      </c>
      <c r="C35" s="226" t="s">
        <v>432</v>
      </c>
      <c r="D35" s="464" t="s">
        <v>680</v>
      </c>
      <c r="E35" s="464">
        <v>371.34554651361134</v>
      </c>
      <c r="F35" s="464" t="s">
        <v>680</v>
      </c>
      <c r="G35" s="464" t="s">
        <v>680</v>
      </c>
      <c r="H35" s="464" t="s">
        <v>680</v>
      </c>
    </row>
    <row r="36" spans="1:8" x14ac:dyDescent="0.2">
      <c r="A36" s="497"/>
      <c r="B36" s="498" t="s">
        <v>785</v>
      </c>
      <c r="C36" s="226" t="s">
        <v>786</v>
      </c>
      <c r="D36" s="464" t="s">
        <v>680</v>
      </c>
      <c r="E36" s="464">
        <v>117.908</v>
      </c>
      <c r="F36" s="464">
        <v>-49</v>
      </c>
      <c r="G36" s="464" t="s">
        <v>680</v>
      </c>
      <c r="H36" s="464" t="s">
        <v>680</v>
      </c>
    </row>
    <row r="37" spans="1:8" x14ac:dyDescent="0.2">
      <c r="A37" s="497"/>
      <c r="B37" s="498" t="s">
        <v>787</v>
      </c>
      <c r="C37" s="226" t="s">
        <v>788</v>
      </c>
      <c r="D37" s="464" t="s">
        <v>680</v>
      </c>
      <c r="E37" s="464" t="s">
        <v>680</v>
      </c>
      <c r="F37" s="464">
        <v>61.4833</v>
      </c>
      <c r="G37" s="464" t="s">
        <v>680</v>
      </c>
      <c r="H37" s="464" t="s">
        <v>680</v>
      </c>
    </row>
    <row r="38" spans="1:8" x14ac:dyDescent="0.2">
      <c r="A38" s="497"/>
      <c r="B38" s="498" t="s">
        <v>789</v>
      </c>
      <c r="C38" s="226" t="s">
        <v>790</v>
      </c>
      <c r="D38" s="464" t="s">
        <v>680</v>
      </c>
      <c r="E38" s="464" t="s">
        <v>680</v>
      </c>
      <c r="F38" s="464">
        <v>5.2039352982999105</v>
      </c>
      <c r="G38" s="464">
        <v>-4</v>
      </c>
      <c r="H38" s="464" t="s">
        <v>680</v>
      </c>
    </row>
    <row r="39" spans="1:8" x14ac:dyDescent="0.2">
      <c r="A39" s="497"/>
      <c r="B39" s="498" t="s">
        <v>791</v>
      </c>
      <c r="C39" s="226" t="s">
        <v>792</v>
      </c>
      <c r="D39" s="464">
        <v>20.650731897102915</v>
      </c>
      <c r="E39" s="464">
        <v>-2.96</v>
      </c>
      <c r="F39" s="464">
        <v>89.227755000000002</v>
      </c>
      <c r="G39" s="464">
        <v>50.838269999999994</v>
      </c>
      <c r="H39" s="464" t="s">
        <v>680</v>
      </c>
    </row>
    <row r="40" spans="1:8" x14ac:dyDescent="0.2">
      <c r="A40" s="497"/>
      <c r="B40" s="498" t="s">
        <v>793</v>
      </c>
      <c r="C40" s="226" t="s">
        <v>794</v>
      </c>
      <c r="D40" s="464" t="s">
        <v>680</v>
      </c>
      <c r="E40" s="464">
        <v>-128.6308241123038</v>
      </c>
      <c r="F40" s="464" t="s">
        <v>680</v>
      </c>
      <c r="G40" s="464">
        <v>275</v>
      </c>
      <c r="H40" s="464" t="s">
        <v>680</v>
      </c>
    </row>
    <row r="41" spans="1:8" x14ac:dyDescent="0.2">
      <c r="A41" s="497"/>
      <c r="B41" s="498" t="s">
        <v>795</v>
      </c>
      <c r="C41" s="226" t="s">
        <v>796</v>
      </c>
      <c r="D41" s="464">
        <v>-149.25299999999999</v>
      </c>
      <c r="E41" s="464">
        <v>26.96</v>
      </c>
      <c r="F41" s="464">
        <v>755.99699999999996</v>
      </c>
      <c r="G41" s="464" t="s">
        <v>680</v>
      </c>
      <c r="H41" s="464" t="s">
        <v>680</v>
      </c>
    </row>
    <row r="42" spans="1:8" x14ac:dyDescent="0.2">
      <c r="A42" s="497"/>
      <c r="B42" s="498" t="s">
        <v>797</v>
      </c>
      <c r="C42" s="226" t="s">
        <v>798</v>
      </c>
      <c r="D42" s="464" t="s">
        <v>680</v>
      </c>
      <c r="E42" s="464" t="s">
        <v>680</v>
      </c>
      <c r="F42" s="464">
        <v>87.704000000000008</v>
      </c>
      <c r="G42" s="464" t="s">
        <v>680</v>
      </c>
      <c r="H42" s="464" t="s">
        <v>680</v>
      </c>
    </row>
    <row r="43" spans="1:8" ht="13.5" thickBot="1" x14ac:dyDescent="0.25">
      <c r="A43" s="497"/>
      <c r="B43" s="499" t="s">
        <v>799</v>
      </c>
      <c r="C43" s="500" t="s">
        <v>800</v>
      </c>
      <c r="D43" s="501" t="s">
        <v>680</v>
      </c>
      <c r="E43" s="501" t="s">
        <v>680</v>
      </c>
      <c r="F43" s="501">
        <v>488.80979482211671</v>
      </c>
      <c r="G43" s="501" t="s">
        <v>680</v>
      </c>
      <c r="H43" s="501" t="s">
        <v>680</v>
      </c>
    </row>
    <row r="44" spans="1:8" ht="13.5" thickBot="1" x14ac:dyDescent="0.25">
      <c r="B44" s="502" t="s">
        <v>29</v>
      </c>
      <c r="C44" s="502" t="s">
        <v>170</v>
      </c>
      <c r="D44" s="503">
        <f>SUM(D7:D43)</f>
        <v>-295.83645442548027</v>
      </c>
      <c r="E44" s="503">
        <f t="shared" ref="E44:H44" si="0">SUM(E7:E43)</f>
        <v>1441.6908543080422</v>
      </c>
      <c r="F44" s="503">
        <f t="shared" si="0"/>
        <v>1816.0005394551526</v>
      </c>
      <c r="G44" s="503">
        <f t="shared" si="0"/>
        <v>537.50203666666664</v>
      </c>
      <c r="H44" s="503">
        <f t="shared" si="0"/>
        <v>-13.220199999999956</v>
      </c>
    </row>
    <row r="45" spans="1:8" ht="38.25" x14ac:dyDescent="0.2">
      <c r="B45" s="504" t="s">
        <v>558</v>
      </c>
      <c r="C45" s="505" t="s">
        <v>559</v>
      </c>
      <c r="D45" s="506"/>
      <c r="E45" s="506"/>
      <c r="F45" s="584"/>
      <c r="G45" s="752" t="s">
        <v>562</v>
      </c>
      <c r="H45" s="752"/>
    </row>
    <row r="46" spans="1:8" x14ac:dyDescent="0.2">
      <c r="B46" s="507" t="s">
        <v>305</v>
      </c>
      <c r="C46" s="507" t="s">
        <v>306</v>
      </c>
      <c r="D46" s="506"/>
      <c r="E46" s="506"/>
      <c r="F46" s="584"/>
      <c r="G46" s="584"/>
      <c r="H46" s="508"/>
    </row>
    <row r="47" spans="1:8" x14ac:dyDescent="0.2">
      <c r="D47" s="506"/>
      <c r="E47" s="506"/>
      <c r="F47" s="584"/>
      <c r="G47" s="584"/>
      <c r="H47" s="508"/>
    </row>
    <row r="48" spans="1:8" x14ac:dyDescent="0.2">
      <c r="B48" s="509"/>
      <c r="C48" s="509"/>
      <c r="D48" s="506"/>
      <c r="E48" s="506"/>
      <c r="F48" s="584"/>
      <c r="G48" s="584"/>
      <c r="H48" s="584"/>
    </row>
    <row r="50" spans="2:8" ht="13.5" thickBot="1" x14ac:dyDescent="0.25">
      <c r="B50" s="495" t="s">
        <v>557</v>
      </c>
      <c r="C50" s="308"/>
    </row>
    <row r="51" spans="2:8" ht="13.5" thickBot="1" x14ac:dyDescent="0.25">
      <c r="B51" s="436" t="s">
        <v>167</v>
      </c>
      <c r="C51" s="436"/>
      <c r="D51" s="436">
        <v>2023</v>
      </c>
      <c r="E51" s="436">
        <v>2024</v>
      </c>
      <c r="F51" s="436">
        <v>2025</v>
      </c>
      <c r="G51" s="436">
        <v>2026</v>
      </c>
      <c r="H51" s="436">
        <v>2027</v>
      </c>
    </row>
    <row r="52" spans="2:8" x14ac:dyDescent="0.2">
      <c r="B52" s="209" t="s">
        <v>228</v>
      </c>
      <c r="C52" s="226" t="s">
        <v>679</v>
      </c>
      <c r="D52" s="510">
        <v>15.716342059099361</v>
      </c>
      <c r="E52" s="510">
        <v>-17.904241662001468</v>
      </c>
      <c r="F52" s="510" t="s">
        <v>680</v>
      </c>
      <c r="G52" s="510" t="s">
        <v>680</v>
      </c>
      <c r="H52" s="510" t="s">
        <v>680</v>
      </c>
    </row>
    <row r="53" spans="2:8" x14ac:dyDescent="0.2">
      <c r="B53" s="497" t="s">
        <v>681</v>
      </c>
      <c r="C53" s="226" t="s">
        <v>231</v>
      </c>
      <c r="D53" s="510">
        <v>-605.1790000000002</v>
      </c>
      <c r="E53" s="510">
        <v>-91</v>
      </c>
      <c r="F53" s="510" t="s">
        <v>680</v>
      </c>
      <c r="G53" s="510" t="s">
        <v>680</v>
      </c>
      <c r="H53" s="510" t="s">
        <v>680</v>
      </c>
    </row>
    <row r="54" spans="2:8" x14ac:dyDescent="0.2">
      <c r="B54" s="497" t="s">
        <v>288</v>
      </c>
      <c r="C54" s="226" t="s">
        <v>230</v>
      </c>
      <c r="D54" s="510">
        <v>-47.989261487994369</v>
      </c>
      <c r="E54" s="510">
        <v>1.210568927535931</v>
      </c>
      <c r="F54" s="510">
        <v>-7.3113965995879653</v>
      </c>
      <c r="G54" s="510">
        <v>-14.237726711412179</v>
      </c>
      <c r="H54" s="510" t="s">
        <v>680</v>
      </c>
    </row>
    <row r="55" spans="2:8" x14ac:dyDescent="0.2">
      <c r="B55" s="541" t="s">
        <v>682</v>
      </c>
      <c r="C55" s="542" t="s">
        <v>683</v>
      </c>
      <c r="D55" s="543">
        <v>24.832913999999995</v>
      </c>
      <c r="E55" s="543">
        <v>33.545465</v>
      </c>
      <c r="F55" s="543" t="s">
        <v>680</v>
      </c>
      <c r="G55" s="543" t="s">
        <v>680</v>
      </c>
      <c r="H55" s="543" t="s">
        <v>680</v>
      </c>
    </row>
    <row r="56" spans="2:8" x14ac:dyDescent="0.2">
      <c r="B56" s="541" t="s">
        <v>684</v>
      </c>
      <c r="C56" s="542" t="s">
        <v>685</v>
      </c>
      <c r="D56" s="543" t="s">
        <v>680</v>
      </c>
      <c r="E56" s="543">
        <v>-10</v>
      </c>
      <c r="F56" s="543" t="s">
        <v>680</v>
      </c>
      <c r="G56" s="543" t="s">
        <v>680</v>
      </c>
      <c r="H56" s="543" t="s">
        <v>680</v>
      </c>
    </row>
    <row r="57" spans="2:8" x14ac:dyDescent="0.2">
      <c r="B57" s="541" t="s">
        <v>289</v>
      </c>
      <c r="C57" s="542" t="s">
        <v>293</v>
      </c>
      <c r="D57" s="543">
        <v>-124.55287599999997</v>
      </c>
      <c r="E57" s="543">
        <v>651.14523999999994</v>
      </c>
      <c r="F57" s="543">
        <v>608.036879</v>
      </c>
      <c r="G57" s="543">
        <v>-553.59909700000003</v>
      </c>
      <c r="H57" s="543">
        <v>264.56698999999998</v>
      </c>
    </row>
    <row r="58" spans="2:8" x14ac:dyDescent="0.2">
      <c r="B58" s="541" t="s">
        <v>686</v>
      </c>
      <c r="C58" s="542" t="s">
        <v>292</v>
      </c>
      <c r="D58" s="543" t="s">
        <v>680</v>
      </c>
      <c r="E58" s="543" t="s">
        <v>680</v>
      </c>
      <c r="F58" s="543">
        <v>279.2</v>
      </c>
      <c r="G58" s="543" t="s">
        <v>680</v>
      </c>
      <c r="H58" s="543" t="s">
        <v>680</v>
      </c>
    </row>
    <row r="59" spans="2:8" x14ac:dyDescent="0.2">
      <c r="B59" s="541" t="s">
        <v>687</v>
      </c>
      <c r="C59" s="542" t="s">
        <v>232</v>
      </c>
      <c r="D59" s="543">
        <v>-20.267081040000004</v>
      </c>
      <c r="E59" s="543" t="s">
        <v>680</v>
      </c>
      <c r="F59" s="543" t="s">
        <v>680</v>
      </c>
      <c r="G59" s="543" t="s">
        <v>680</v>
      </c>
      <c r="H59" s="543" t="s">
        <v>680</v>
      </c>
    </row>
    <row r="60" spans="2:8" x14ac:dyDescent="0.2">
      <c r="B60" s="541" t="s">
        <v>688</v>
      </c>
      <c r="C60" s="542" t="s">
        <v>234</v>
      </c>
      <c r="D60" s="543">
        <v>215.321</v>
      </c>
      <c r="E60" s="543">
        <v>-52.23400000000003</v>
      </c>
      <c r="F60" s="543">
        <v>-41</v>
      </c>
      <c r="G60" s="543">
        <v>-15</v>
      </c>
      <c r="H60" s="543" t="s">
        <v>680</v>
      </c>
    </row>
    <row r="61" spans="2:8" x14ac:dyDescent="0.2">
      <c r="B61" s="541" t="s">
        <v>689</v>
      </c>
      <c r="C61" s="542" t="s">
        <v>690</v>
      </c>
      <c r="D61" s="543">
        <v>-112.289402</v>
      </c>
      <c r="E61" s="543" t="s">
        <v>680</v>
      </c>
      <c r="F61" s="543" t="s">
        <v>680</v>
      </c>
      <c r="G61" s="543" t="s">
        <v>680</v>
      </c>
      <c r="H61" s="543" t="s">
        <v>680</v>
      </c>
    </row>
    <row r="62" spans="2:8" x14ac:dyDescent="0.2">
      <c r="B62" s="541" t="s">
        <v>691</v>
      </c>
      <c r="C62" s="542" t="s">
        <v>233</v>
      </c>
      <c r="D62" s="543">
        <v>-29.438189999999999</v>
      </c>
      <c r="E62" s="543" t="s">
        <v>680</v>
      </c>
      <c r="F62" s="543" t="s">
        <v>680</v>
      </c>
      <c r="G62" s="543" t="s">
        <v>680</v>
      </c>
      <c r="H62" s="543" t="s">
        <v>680</v>
      </c>
    </row>
    <row r="63" spans="2:8" x14ac:dyDescent="0.2">
      <c r="B63" s="541" t="s">
        <v>692</v>
      </c>
      <c r="C63" s="544" t="s">
        <v>693</v>
      </c>
      <c r="D63" s="543">
        <v>24.3</v>
      </c>
      <c r="E63" s="543">
        <v>-14.8</v>
      </c>
      <c r="F63" s="543" t="s">
        <v>680</v>
      </c>
      <c r="G63" s="543" t="s">
        <v>680</v>
      </c>
      <c r="H63" s="543" t="s">
        <v>680</v>
      </c>
    </row>
    <row r="64" spans="2:8" x14ac:dyDescent="0.2">
      <c r="B64" s="541" t="s">
        <v>694</v>
      </c>
      <c r="C64" s="544" t="s">
        <v>695</v>
      </c>
      <c r="D64" s="543">
        <v>65.048207000000005</v>
      </c>
      <c r="E64" s="543">
        <v>5.0599710000000151</v>
      </c>
      <c r="F64" s="543" t="s">
        <v>680</v>
      </c>
      <c r="G64" s="543" t="s">
        <v>680</v>
      </c>
      <c r="H64" s="543" t="s">
        <v>680</v>
      </c>
    </row>
    <row r="65" spans="2:8" x14ac:dyDescent="0.2">
      <c r="B65" s="541" t="s">
        <v>696</v>
      </c>
      <c r="C65" s="544" t="s">
        <v>294</v>
      </c>
      <c r="D65" s="543">
        <v>14.253782000000001</v>
      </c>
      <c r="E65" s="543" t="s">
        <v>680</v>
      </c>
      <c r="F65" s="543" t="s">
        <v>680</v>
      </c>
      <c r="G65" s="543" t="s">
        <v>680</v>
      </c>
      <c r="H65" s="543" t="s">
        <v>680</v>
      </c>
    </row>
    <row r="66" spans="2:8" x14ac:dyDescent="0.2">
      <c r="B66" s="541" t="s">
        <v>697</v>
      </c>
      <c r="C66" s="544" t="s">
        <v>698</v>
      </c>
      <c r="D66" s="543">
        <v>54.092151006087818</v>
      </c>
      <c r="E66" s="543">
        <v>220.26602125647912</v>
      </c>
      <c r="F66" s="543" t="s">
        <v>680</v>
      </c>
      <c r="G66" s="543">
        <v>-274</v>
      </c>
      <c r="H66" s="543" t="s">
        <v>680</v>
      </c>
    </row>
    <row r="67" spans="2:8" x14ac:dyDescent="0.2">
      <c r="B67" s="541" t="s">
        <v>229</v>
      </c>
      <c r="C67" s="544" t="s">
        <v>236</v>
      </c>
      <c r="D67" s="543">
        <v>-208</v>
      </c>
      <c r="E67" s="543" t="s">
        <v>680</v>
      </c>
      <c r="F67" s="543" t="s">
        <v>680</v>
      </c>
      <c r="G67" s="543" t="s">
        <v>680</v>
      </c>
      <c r="H67" s="543" t="s">
        <v>680</v>
      </c>
    </row>
    <row r="68" spans="2:8" x14ac:dyDescent="0.2">
      <c r="B68" s="541" t="s">
        <v>259</v>
      </c>
      <c r="C68" s="544" t="s">
        <v>298</v>
      </c>
      <c r="D68" s="543">
        <v>20.3295165</v>
      </c>
      <c r="E68" s="543">
        <v>15.6704835</v>
      </c>
      <c r="F68" s="543" t="s">
        <v>680</v>
      </c>
      <c r="G68" s="543" t="s">
        <v>680</v>
      </c>
      <c r="H68" s="543" t="s">
        <v>680</v>
      </c>
    </row>
    <row r="69" spans="2:8" x14ac:dyDescent="0.2">
      <c r="B69" s="541" t="s">
        <v>699</v>
      </c>
      <c r="C69" s="544" t="s">
        <v>235</v>
      </c>
      <c r="D69" s="543">
        <v>226.61333500000001</v>
      </c>
      <c r="E69" s="543" t="s">
        <v>680</v>
      </c>
      <c r="F69" s="543" t="s">
        <v>680</v>
      </c>
      <c r="G69" s="543" t="s">
        <v>680</v>
      </c>
      <c r="H69" s="543" t="s">
        <v>680</v>
      </c>
    </row>
    <row r="70" spans="2:8" x14ac:dyDescent="0.2">
      <c r="B70" s="541" t="s">
        <v>700</v>
      </c>
      <c r="C70" s="544" t="s">
        <v>295</v>
      </c>
      <c r="D70" s="543">
        <v>2059.0999999999995</v>
      </c>
      <c r="E70" s="543">
        <v>-1031.3999999999999</v>
      </c>
      <c r="F70" s="543">
        <v>-920</v>
      </c>
      <c r="G70" s="543">
        <v>-235</v>
      </c>
      <c r="H70" s="543" t="s">
        <v>680</v>
      </c>
    </row>
    <row r="71" spans="2:8" x14ac:dyDescent="0.2">
      <c r="B71" s="541" t="s">
        <v>290</v>
      </c>
      <c r="C71" s="544" t="s">
        <v>701</v>
      </c>
      <c r="D71" s="543">
        <v>397.69661200000002</v>
      </c>
      <c r="E71" s="543">
        <v>-25.400000000000006</v>
      </c>
      <c r="F71" s="543" t="s">
        <v>680</v>
      </c>
      <c r="G71" s="543" t="s">
        <v>680</v>
      </c>
      <c r="H71" s="543" t="s">
        <v>680</v>
      </c>
    </row>
    <row r="72" spans="2:8" x14ac:dyDescent="0.2">
      <c r="B72" s="541" t="s">
        <v>702</v>
      </c>
      <c r="C72" s="544" t="s">
        <v>296</v>
      </c>
      <c r="D72" s="543">
        <v>44.109949</v>
      </c>
      <c r="E72" s="543">
        <v>-44.109949</v>
      </c>
      <c r="F72" s="543" t="s">
        <v>680</v>
      </c>
      <c r="G72" s="543" t="s">
        <v>680</v>
      </c>
      <c r="H72" s="543" t="s">
        <v>680</v>
      </c>
    </row>
    <row r="73" spans="2:8" x14ac:dyDescent="0.2">
      <c r="B73" s="541" t="s">
        <v>703</v>
      </c>
      <c r="C73" s="544" t="s">
        <v>704</v>
      </c>
      <c r="D73" s="543">
        <v>13.524921000000001</v>
      </c>
      <c r="E73" s="543" t="s">
        <v>680</v>
      </c>
      <c r="F73" s="543" t="s">
        <v>680</v>
      </c>
      <c r="G73" s="543" t="s">
        <v>680</v>
      </c>
      <c r="H73" s="543" t="s">
        <v>680</v>
      </c>
    </row>
    <row r="74" spans="2:8" x14ac:dyDescent="0.2">
      <c r="B74" s="541" t="s">
        <v>291</v>
      </c>
      <c r="C74" s="544" t="s">
        <v>705</v>
      </c>
      <c r="D74" s="543">
        <v>190</v>
      </c>
      <c r="E74" s="543" t="s">
        <v>680</v>
      </c>
      <c r="F74" s="543" t="s">
        <v>680</v>
      </c>
      <c r="G74" s="543" t="s">
        <v>680</v>
      </c>
      <c r="H74" s="543" t="s">
        <v>680</v>
      </c>
    </row>
    <row r="75" spans="2:8" x14ac:dyDescent="0.2">
      <c r="B75" s="541" t="s">
        <v>706</v>
      </c>
      <c r="C75" s="544" t="s">
        <v>707</v>
      </c>
      <c r="D75" s="543">
        <v>113.25132499999999</v>
      </c>
      <c r="E75" s="543">
        <v>79.330674999999999</v>
      </c>
      <c r="F75" s="543" t="s">
        <v>680</v>
      </c>
      <c r="G75" s="543" t="s">
        <v>680</v>
      </c>
      <c r="H75" s="543" t="s">
        <v>680</v>
      </c>
    </row>
    <row r="76" spans="2:8" x14ac:dyDescent="0.2">
      <c r="B76" s="541" t="s">
        <v>328</v>
      </c>
      <c r="C76" s="544" t="s">
        <v>708</v>
      </c>
      <c r="D76" s="543">
        <v>523.5658115</v>
      </c>
      <c r="E76" s="543">
        <v>-523.5658115</v>
      </c>
      <c r="F76" s="543" t="s">
        <v>680</v>
      </c>
      <c r="G76" s="543" t="s">
        <v>680</v>
      </c>
      <c r="H76" s="543" t="s">
        <v>680</v>
      </c>
    </row>
    <row r="77" spans="2:8" x14ac:dyDescent="0.2">
      <c r="B77" s="541" t="s">
        <v>709</v>
      </c>
      <c r="C77" s="542" t="s">
        <v>710</v>
      </c>
      <c r="D77" s="543">
        <v>13</v>
      </c>
      <c r="E77" s="543" t="s">
        <v>680</v>
      </c>
      <c r="F77" s="543" t="s">
        <v>680</v>
      </c>
      <c r="G77" s="543" t="s">
        <v>680</v>
      </c>
      <c r="H77" s="543" t="s">
        <v>680</v>
      </c>
    </row>
    <row r="78" spans="2:8" x14ac:dyDescent="0.2">
      <c r="B78" s="541" t="s">
        <v>711</v>
      </c>
      <c r="C78" s="542" t="s">
        <v>299</v>
      </c>
      <c r="D78" s="543">
        <v>35.436824999999999</v>
      </c>
      <c r="E78" s="543">
        <v>-35</v>
      </c>
      <c r="F78" s="543" t="s">
        <v>680</v>
      </c>
      <c r="G78" s="543" t="s">
        <v>680</v>
      </c>
      <c r="H78" s="543" t="s">
        <v>680</v>
      </c>
    </row>
    <row r="79" spans="2:8" x14ac:dyDescent="0.2">
      <c r="B79" s="541" t="s">
        <v>712</v>
      </c>
      <c r="C79" s="542" t="s">
        <v>300</v>
      </c>
      <c r="D79" s="543" t="s">
        <v>680</v>
      </c>
      <c r="E79" s="543">
        <v>115.890959</v>
      </c>
      <c r="F79" s="543">
        <v>115.82560000000001</v>
      </c>
      <c r="G79" s="543">
        <v>49.712326999999981</v>
      </c>
      <c r="H79" s="543" t="s">
        <v>680</v>
      </c>
    </row>
    <row r="80" spans="2:8" x14ac:dyDescent="0.2">
      <c r="B80" s="541" t="s">
        <v>713</v>
      </c>
      <c r="C80" s="542" t="s">
        <v>714</v>
      </c>
      <c r="D80" s="543">
        <v>2</v>
      </c>
      <c r="E80" s="543">
        <v>38</v>
      </c>
      <c r="F80" s="543" t="s">
        <v>680</v>
      </c>
      <c r="G80" s="543" t="s">
        <v>680</v>
      </c>
      <c r="H80" s="543" t="s">
        <v>680</v>
      </c>
    </row>
    <row r="81" spans="2:8" x14ac:dyDescent="0.2">
      <c r="B81" s="541" t="s">
        <v>715</v>
      </c>
      <c r="C81" s="194" t="s">
        <v>716</v>
      </c>
      <c r="D81" s="545" t="s">
        <v>680</v>
      </c>
      <c r="E81" s="545">
        <v>13.97064</v>
      </c>
      <c r="F81" s="545" t="s">
        <v>680</v>
      </c>
      <c r="G81" s="545" t="s">
        <v>680</v>
      </c>
      <c r="H81" s="545" t="s">
        <v>680</v>
      </c>
    </row>
    <row r="82" spans="2:8" x14ac:dyDescent="0.2">
      <c r="B82" s="541" t="s">
        <v>717</v>
      </c>
      <c r="C82" s="194" t="s">
        <v>718</v>
      </c>
      <c r="D82" s="545">
        <v>9.9756203186749808</v>
      </c>
      <c r="E82" s="545">
        <v>9.8243796813250199</v>
      </c>
      <c r="F82" s="545" t="s">
        <v>680</v>
      </c>
      <c r="G82" s="545" t="s">
        <v>680</v>
      </c>
      <c r="H82" s="545" t="s">
        <v>680</v>
      </c>
    </row>
    <row r="83" spans="2:8" x14ac:dyDescent="0.2">
      <c r="B83" s="541" t="s">
        <v>434</v>
      </c>
      <c r="C83" s="194" t="s">
        <v>297</v>
      </c>
      <c r="D83" s="545">
        <v>4.4968269999999997</v>
      </c>
      <c r="E83" s="545">
        <v>38.866962999999998</v>
      </c>
      <c r="F83" s="545" t="s">
        <v>680</v>
      </c>
      <c r="G83" s="545" t="s">
        <v>680</v>
      </c>
      <c r="H83" s="545" t="s">
        <v>680</v>
      </c>
    </row>
    <row r="84" spans="2:8" x14ac:dyDescent="0.2">
      <c r="B84" s="541" t="s">
        <v>719</v>
      </c>
      <c r="C84" s="546" t="s">
        <v>301</v>
      </c>
      <c r="D84" s="545" t="s">
        <v>680</v>
      </c>
      <c r="E84" s="545">
        <v>47.311450000000001</v>
      </c>
      <c r="F84" s="545">
        <v>20.264580000000002</v>
      </c>
      <c r="G84" s="545">
        <v>20.099999999999994</v>
      </c>
      <c r="H84" s="545">
        <v>-20.182289999999995</v>
      </c>
    </row>
    <row r="85" spans="2:8" x14ac:dyDescent="0.2">
      <c r="B85" s="541" t="s">
        <v>720</v>
      </c>
      <c r="C85" s="546" t="s">
        <v>302</v>
      </c>
      <c r="D85" s="545" t="s">
        <v>680</v>
      </c>
      <c r="E85" s="545">
        <v>50.2</v>
      </c>
      <c r="F85" s="545">
        <v>145.19283000000001</v>
      </c>
      <c r="G85" s="545">
        <v>146.08202899999998</v>
      </c>
      <c r="H85" s="545">
        <v>16.925140999999996</v>
      </c>
    </row>
    <row r="86" spans="2:8" x14ac:dyDescent="0.2">
      <c r="B86" s="541" t="s">
        <v>721</v>
      </c>
      <c r="C86" s="546" t="s">
        <v>722</v>
      </c>
      <c r="D86" s="545">
        <v>441.49067600000001</v>
      </c>
      <c r="E86" s="545">
        <v>-441.49067600000001</v>
      </c>
      <c r="F86" s="545" t="s">
        <v>680</v>
      </c>
      <c r="G86" s="545" t="s">
        <v>680</v>
      </c>
      <c r="H86" s="545" t="s">
        <v>680</v>
      </c>
    </row>
    <row r="87" spans="2:8" x14ac:dyDescent="0.2">
      <c r="B87" s="541" t="s">
        <v>990</v>
      </c>
      <c r="C87" s="546" t="s">
        <v>723</v>
      </c>
      <c r="D87" s="545" t="s">
        <v>680</v>
      </c>
      <c r="E87" s="545">
        <v>506.17178488640025</v>
      </c>
      <c r="F87" s="545" t="s">
        <v>680</v>
      </c>
      <c r="G87" s="545" t="s">
        <v>680</v>
      </c>
      <c r="H87" s="545" t="s">
        <v>680</v>
      </c>
    </row>
    <row r="88" spans="2:8" x14ac:dyDescent="0.2">
      <c r="B88" s="541" t="s">
        <v>724</v>
      </c>
      <c r="C88" s="546" t="s">
        <v>463</v>
      </c>
      <c r="D88" s="545" t="s">
        <v>680</v>
      </c>
      <c r="E88" s="545">
        <v>87.596999999999994</v>
      </c>
      <c r="F88" s="545">
        <v>-36.694999999999993</v>
      </c>
      <c r="G88" s="545" t="s">
        <v>680</v>
      </c>
      <c r="H88" s="545" t="s">
        <v>680</v>
      </c>
    </row>
    <row r="89" spans="2:8" x14ac:dyDescent="0.2">
      <c r="B89" s="541" t="s">
        <v>315</v>
      </c>
      <c r="C89" s="546" t="s">
        <v>329</v>
      </c>
      <c r="D89" s="545" t="s">
        <v>680</v>
      </c>
      <c r="E89" s="545">
        <v>-40</v>
      </c>
      <c r="F89" s="545" t="s">
        <v>680</v>
      </c>
      <c r="G89" s="545" t="s">
        <v>680</v>
      </c>
      <c r="H89" s="545" t="s">
        <v>680</v>
      </c>
    </row>
    <row r="90" spans="2:8" x14ac:dyDescent="0.2">
      <c r="B90" s="541" t="s">
        <v>725</v>
      </c>
      <c r="C90" s="546" t="s">
        <v>330</v>
      </c>
      <c r="D90" s="545" t="s">
        <v>680</v>
      </c>
      <c r="E90" s="545">
        <v>262.67021979354001</v>
      </c>
      <c r="F90" s="545" t="s">
        <v>680</v>
      </c>
      <c r="G90" s="545" t="s">
        <v>680</v>
      </c>
      <c r="H90" s="545" t="s">
        <v>680</v>
      </c>
    </row>
    <row r="91" spans="2:8" x14ac:dyDescent="0.2">
      <c r="B91" s="541" t="s">
        <v>726</v>
      </c>
      <c r="C91" s="546" t="s">
        <v>727</v>
      </c>
      <c r="D91" s="545" t="s">
        <v>680</v>
      </c>
      <c r="E91" s="545" t="s">
        <v>680</v>
      </c>
      <c r="F91" s="545">
        <v>-21.6</v>
      </c>
      <c r="G91" s="545" t="s">
        <v>680</v>
      </c>
      <c r="H91" s="545" t="s">
        <v>680</v>
      </c>
    </row>
    <row r="92" spans="2:8" x14ac:dyDescent="0.2">
      <c r="B92" s="541" t="s">
        <v>728</v>
      </c>
      <c r="C92" s="546" t="s">
        <v>729</v>
      </c>
      <c r="D92" s="545" t="s">
        <v>680</v>
      </c>
      <c r="E92" s="545" t="s">
        <v>680</v>
      </c>
      <c r="F92" s="545">
        <v>421.334</v>
      </c>
      <c r="G92" s="545" t="s">
        <v>680</v>
      </c>
      <c r="H92" s="545" t="s">
        <v>680</v>
      </c>
    </row>
    <row r="93" spans="2:8" x14ac:dyDescent="0.2">
      <c r="B93" s="541" t="s">
        <v>730</v>
      </c>
      <c r="C93" s="546" t="s">
        <v>731</v>
      </c>
      <c r="D93" s="545" t="s">
        <v>680</v>
      </c>
      <c r="E93" s="545" t="s">
        <v>680</v>
      </c>
      <c r="F93" s="545">
        <v>32.603999999999999</v>
      </c>
      <c r="G93" s="545" t="s">
        <v>680</v>
      </c>
      <c r="H93" s="545" t="s">
        <v>680</v>
      </c>
    </row>
    <row r="94" spans="2:8" x14ac:dyDescent="0.2">
      <c r="B94" s="541" t="s">
        <v>732</v>
      </c>
      <c r="C94" s="546" t="s">
        <v>733</v>
      </c>
      <c r="D94" s="545" t="s">
        <v>680</v>
      </c>
      <c r="E94" s="545">
        <v>47.352599999999995</v>
      </c>
      <c r="F94" s="545">
        <v>52.423307399999999</v>
      </c>
      <c r="G94" s="545" t="s">
        <v>680</v>
      </c>
      <c r="H94" s="545" t="s">
        <v>680</v>
      </c>
    </row>
    <row r="95" spans="2:8" x14ac:dyDescent="0.2">
      <c r="B95" s="541" t="s">
        <v>989</v>
      </c>
      <c r="C95" s="546" t="s">
        <v>991</v>
      </c>
      <c r="D95" s="545" t="s">
        <v>680</v>
      </c>
      <c r="E95" s="545">
        <v>-70.921640999999994</v>
      </c>
      <c r="F95" s="545">
        <v>-48.837999999999994</v>
      </c>
      <c r="G95" s="545">
        <v>-75</v>
      </c>
      <c r="H95" s="545"/>
    </row>
    <row r="96" spans="2:8" x14ac:dyDescent="0.2">
      <c r="B96" s="541" t="s">
        <v>988</v>
      </c>
      <c r="C96" s="546" t="s">
        <v>992</v>
      </c>
      <c r="D96" s="545" t="s">
        <v>680</v>
      </c>
      <c r="E96" s="545" t="s">
        <v>680</v>
      </c>
      <c r="F96" s="545">
        <v>53</v>
      </c>
      <c r="G96" s="545" t="s">
        <v>680</v>
      </c>
      <c r="H96" s="545" t="s">
        <v>680</v>
      </c>
    </row>
    <row r="97" spans="2:8" x14ac:dyDescent="0.2">
      <c r="B97" s="541" t="s">
        <v>987</v>
      </c>
      <c r="C97" s="546" t="s">
        <v>993</v>
      </c>
      <c r="D97" s="545">
        <v>46.599999999999994</v>
      </c>
      <c r="E97" s="545">
        <v>64.330951999999996</v>
      </c>
      <c r="F97" s="545">
        <v>137.93327099999999</v>
      </c>
      <c r="G97" s="545">
        <v>-87.899113000000028</v>
      </c>
      <c r="H97" s="545" t="s">
        <v>680</v>
      </c>
    </row>
    <row r="98" spans="2:8" x14ac:dyDescent="0.2">
      <c r="B98" s="541" t="s">
        <v>736</v>
      </c>
      <c r="C98" s="546" t="s">
        <v>737</v>
      </c>
      <c r="D98" s="545" t="s">
        <v>680</v>
      </c>
      <c r="E98" s="545" t="s">
        <v>680</v>
      </c>
      <c r="F98" s="545">
        <v>10.199999999999999</v>
      </c>
      <c r="G98" s="545" t="s">
        <v>680</v>
      </c>
      <c r="H98" s="545" t="s">
        <v>680</v>
      </c>
    </row>
    <row r="99" spans="2:8" x14ac:dyDescent="0.2">
      <c r="B99" s="541" t="s">
        <v>738</v>
      </c>
      <c r="C99" s="546" t="s">
        <v>739</v>
      </c>
      <c r="D99" s="545" t="s">
        <v>680</v>
      </c>
      <c r="E99" s="545" t="s">
        <v>680</v>
      </c>
      <c r="F99" s="545">
        <v>40</v>
      </c>
      <c r="G99" s="545" t="s">
        <v>680</v>
      </c>
      <c r="H99" s="545" t="s">
        <v>680</v>
      </c>
    </row>
    <row r="100" spans="2:8" x14ac:dyDescent="0.2">
      <c r="B100" s="541" t="s">
        <v>986</v>
      </c>
      <c r="C100" s="546" t="s">
        <v>994</v>
      </c>
      <c r="D100" s="545" t="s">
        <v>680</v>
      </c>
      <c r="E100" s="545" t="s">
        <v>680</v>
      </c>
      <c r="F100" s="545">
        <v>41.04486</v>
      </c>
      <c r="G100" s="545" t="s">
        <v>680</v>
      </c>
      <c r="H100" s="545" t="s">
        <v>680</v>
      </c>
    </row>
    <row r="101" spans="2:8" x14ac:dyDescent="0.2">
      <c r="B101" s="541" t="s">
        <v>899</v>
      </c>
      <c r="C101" s="546" t="s">
        <v>984</v>
      </c>
      <c r="D101" s="545" t="s">
        <v>680</v>
      </c>
      <c r="E101" s="545" t="s">
        <v>680</v>
      </c>
      <c r="F101" s="545">
        <v>111.07599999999999</v>
      </c>
      <c r="G101" s="545" t="s">
        <v>680</v>
      </c>
      <c r="H101" s="545" t="s">
        <v>680</v>
      </c>
    </row>
    <row r="102" spans="2:8" x14ac:dyDescent="0.2">
      <c r="B102" s="541" t="s">
        <v>900</v>
      </c>
      <c r="C102" s="546" t="s">
        <v>985</v>
      </c>
      <c r="D102" s="545" t="s">
        <v>680</v>
      </c>
      <c r="E102" s="545" t="s">
        <v>680</v>
      </c>
      <c r="F102" s="545">
        <v>51.077615999999999</v>
      </c>
      <c r="G102" s="545" t="s">
        <v>680</v>
      </c>
      <c r="H102" s="545" t="s">
        <v>680</v>
      </c>
    </row>
    <row r="103" spans="2:8" x14ac:dyDescent="0.2">
      <c r="B103" s="541" t="s">
        <v>740</v>
      </c>
      <c r="C103" s="546" t="s">
        <v>741</v>
      </c>
      <c r="D103" s="545" t="s">
        <v>680</v>
      </c>
      <c r="E103" s="545" t="s">
        <v>680</v>
      </c>
      <c r="F103" s="545">
        <v>-219.14307799999997</v>
      </c>
      <c r="G103" s="545" t="s">
        <v>680</v>
      </c>
      <c r="H103" s="545" t="s">
        <v>680</v>
      </c>
    </row>
    <row r="104" spans="2:8" x14ac:dyDescent="0.2">
      <c r="B104" s="541" t="s">
        <v>995</v>
      </c>
      <c r="C104" s="546" t="s">
        <v>996</v>
      </c>
      <c r="D104" s="545" t="s">
        <v>680</v>
      </c>
      <c r="E104" s="545">
        <v>53</v>
      </c>
      <c r="F104" s="545">
        <v>34</v>
      </c>
      <c r="G104" s="545" t="s">
        <v>680</v>
      </c>
      <c r="H104" s="545" t="s">
        <v>680</v>
      </c>
    </row>
    <row r="105" spans="2:8" x14ac:dyDescent="0.2">
      <c r="B105" s="546" t="s">
        <v>997</v>
      </c>
      <c r="C105" s="194" t="s">
        <v>998</v>
      </c>
      <c r="D105" s="545">
        <v>702.26295575000006</v>
      </c>
      <c r="E105" s="545" t="s">
        <v>680</v>
      </c>
      <c r="F105" s="545">
        <v>-540.34592650062018</v>
      </c>
      <c r="G105" s="545" t="s">
        <v>680</v>
      </c>
      <c r="H105" s="545" t="s">
        <v>680</v>
      </c>
    </row>
    <row r="106" spans="2:8" ht="13.5" thickBot="1" x14ac:dyDescent="0.25">
      <c r="B106" s="547" t="s">
        <v>999</v>
      </c>
      <c r="C106" s="548" t="s">
        <v>1000</v>
      </c>
      <c r="D106" s="549">
        <v>286.06799999999998</v>
      </c>
      <c r="E106" s="549" t="s">
        <v>680</v>
      </c>
      <c r="F106" s="549">
        <v>-351.51666852890054</v>
      </c>
      <c r="G106" s="549">
        <v>65</v>
      </c>
      <c r="H106" s="549" t="s">
        <v>680</v>
      </c>
    </row>
    <row r="107" spans="2:8" ht="13.5" thickBot="1" x14ac:dyDescent="0.25">
      <c r="B107" s="502" t="s">
        <v>29</v>
      </c>
      <c r="C107" s="502" t="s">
        <v>170</v>
      </c>
      <c r="D107" s="511">
        <f>SUM(D52:D106)</f>
        <v>4395.370959605867</v>
      </c>
      <c r="E107" s="511">
        <f>SUM(E52:E106)</f>
        <v>-56.41094611672105</v>
      </c>
      <c r="F107" s="511">
        <f>SUM(F52:F106)</f>
        <v>-33.237126229108469</v>
      </c>
      <c r="G107" s="511">
        <f>SUM(G52:G106)</f>
        <v>-973.84158071141223</v>
      </c>
      <c r="H107" s="511">
        <f t="shared" ref="H107" si="1">SUM(H52:H106)</f>
        <v>261.30984100000001</v>
      </c>
    </row>
    <row r="108" spans="2:8" ht="38.25" x14ac:dyDescent="0.2">
      <c r="B108" s="505" t="s">
        <v>560</v>
      </c>
      <c r="C108" s="505" t="s">
        <v>561</v>
      </c>
      <c r="D108" s="506"/>
      <c r="E108" s="506"/>
      <c r="F108" s="584"/>
      <c r="G108" s="752" t="s">
        <v>562</v>
      </c>
      <c r="H108" s="752"/>
    </row>
    <row r="109" spans="2:8" x14ac:dyDescent="0.2">
      <c r="B109" s="507" t="s">
        <v>305</v>
      </c>
      <c r="C109" s="507" t="s">
        <v>306</v>
      </c>
      <c r="D109" s="506"/>
      <c r="E109" s="506"/>
      <c r="F109" s="584"/>
      <c r="G109" s="584"/>
      <c r="H109" s="512"/>
    </row>
    <row r="110" spans="2:8" x14ac:dyDescent="0.2">
      <c r="D110" s="506"/>
      <c r="E110" s="506"/>
      <c r="F110" s="584"/>
      <c r="G110" s="584"/>
      <c r="H110" s="508"/>
    </row>
  </sheetData>
  <mergeCells count="2">
    <mergeCell ref="G108:H108"/>
    <mergeCell ref="G45:H4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election activeCell="V29" sqref="V29"/>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Q53"/>
  <sheetViews>
    <sheetView showGridLines="0" zoomScaleNormal="100" workbookViewId="0"/>
  </sheetViews>
  <sheetFormatPr defaultColWidth="9.140625" defaultRowHeight="12.75" x14ac:dyDescent="0.2"/>
  <cols>
    <col min="1" max="3" width="9.140625" style="209"/>
    <col min="4" max="4" width="32.5703125" style="209" customWidth="1"/>
    <col min="5" max="16384" width="9.140625" style="209"/>
  </cols>
  <sheetData>
    <row r="2" spans="4:13" ht="13.5" thickBot="1" x14ac:dyDescent="0.25">
      <c r="D2" s="215"/>
      <c r="E2" s="215"/>
      <c r="F2" s="215"/>
      <c r="G2" s="215"/>
      <c r="H2" s="215"/>
      <c r="I2" s="215"/>
      <c r="J2" s="215"/>
      <c r="K2" s="215"/>
      <c r="L2" s="215"/>
      <c r="M2" s="215"/>
    </row>
    <row r="3" spans="4:13" x14ac:dyDescent="0.2">
      <c r="D3" s="216"/>
      <c r="E3" s="217">
        <v>2019</v>
      </c>
      <c r="F3" s="217">
        <v>2020</v>
      </c>
      <c r="G3" s="217">
        <v>2021</v>
      </c>
      <c r="H3" s="217">
        <v>2022</v>
      </c>
      <c r="I3" s="217">
        <v>2023</v>
      </c>
      <c r="J3" s="217">
        <v>2024</v>
      </c>
      <c r="K3" s="217">
        <v>2025</v>
      </c>
      <c r="L3" s="217">
        <v>2026</v>
      </c>
      <c r="M3" s="217">
        <v>2027</v>
      </c>
    </row>
    <row r="4" spans="4:13" x14ac:dyDescent="0.2">
      <c r="D4" s="218" t="s">
        <v>438</v>
      </c>
      <c r="E4" s="219">
        <v>1.5063755425606582</v>
      </c>
      <c r="F4" s="219">
        <v>-0.62816263366429981</v>
      </c>
      <c r="G4" s="219">
        <v>1.4579723285199664</v>
      </c>
      <c r="H4" s="219">
        <v>3.4222246123173532</v>
      </c>
      <c r="I4" s="219">
        <v>-1.838505103639132</v>
      </c>
      <c r="J4" s="219">
        <v>1.6265637276946849</v>
      </c>
      <c r="K4" s="219">
        <v>0.79782474281455307</v>
      </c>
      <c r="L4" s="219">
        <v>1.0305703060648195</v>
      </c>
      <c r="M4" s="219">
        <v>1.2618981368547215</v>
      </c>
    </row>
    <row r="5" spans="4:13" x14ac:dyDescent="0.2">
      <c r="D5" s="155" t="s">
        <v>439</v>
      </c>
      <c r="E5" s="220">
        <v>0.79727249521012211</v>
      </c>
      <c r="F5" s="220">
        <v>-0.10861819956220259</v>
      </c>
      <c r="G5" s="220">
        <v>0.77264619555017378</v>
      </c>
      <c r="H5" s="220">
        <v>-0.8264788950378793</v>
      </c>
      <c r="I5" s="220">
        <v>-0.11082971003218198</v>
      </c>
      <c r="J5" s="220">
        <v>0.60135655212320882</v>
      </c>
      <c r="K5" s="220">
        <v>1.7386254072402064E-2</v>
      </c>
      <c r="L5" s="220">
        <v>-7.4274016080587063E-2</v>
      </c>
      <c r="M5" s="220">
        <v>-3.6144854357725541E-2</v>
      </c>
    </row>
    <row r="6" spans="4:13" x14ac:dyDescent="0.2">
      <c r="D6" s="155" t="s">
        <v>440</v>
      </c>
      <c r="E6" s="220">
        <v>1.4000152299334114</v>
      </c>
      <c r="F6" s="220">
        <v>-2.3539560184226165</v>
      </c>
      <c r="G6" s="220">
        <v>0.70043167780184712</v>
      </c>
      <c r="H6" s="220">
        <v>1.1230305361006101</v>
      </c>
      <c r="I6" s="220">
        <v>2.1707207722862654</v>
      </c>
      <c r="J6" s="220">
        <v>-5.938751395789249E-2</v>
      </c>
      <c r="K6" s="220">
        <v>2.3044764132708617</v>
      </c>
      <c r="L6" s="220">
        <v>8.4198977890627219E-2</v>
      </c>
      <c r="M6" s="220">
        <v>-1.1280794793771114</v>
      </c>
    </row>
    <row r="7" spans="4:13" x14ac:dyDescent="0.2">
      <c r="D7" s="155" t="s">
        <v>441</v>
      </c>
      <c r="E7" s="220">
        <v>-1.2653237200542451</v>
      </c>
      <c r="F7" s="220">
        <v>1.5329622617637559</v>
      </c>
      <c r="G7" s="220">
        <v>-0.72584369411162819</v>
      </c>
      <c r="H7" s="220">
        <v>-1.0554468524726361</v>
      </c>
      <c r="I7" s="220">
        <v>5.9019822723265127</v>
      </c>
      <c r="J7" s="220">
        <v>-2.4800073612235649</v>
      </c>
      <c r="K7" s="220">
        <v>-2.4597821949542955</v>
      </c>
      <c r="L7" s="220">
        <v>1.3176060384498212</v>
      </c>
      <c r="M7" s="220">
        <v>0.94679443638247074</v>
      </c>
    </row>
    <row r="8" spans="4:13" x14ac:dyDescent="0.2">
      <c r="D8" s="155" t="s">
        <v>442</v>
      </c>
      <c r="E8" s="220">
        <v>7.29166501138276E-2</v>
      </c>
      <c r="F8" s="220">
        <v>-1.771948619778694</v>
      </c>
      <c r="G8" s="220">
        <v>2.5660149167428221</v>
      </c>
      <c r="H8" s="220">
        <v>-0.79329320219726285</v>
      </c>
      <c r="I8" s="220">
        <v>-4.5269132597900796</v>
      </c>
      <c r="J8" s="220">
        <v>2.6116357754605612</v>
      </c>
      <c r="K8" s="220">
        <v>1.5638836330604162</v>
      </c>
      <c r="L8" s="220">
        <v>-5.9764914834737052E-9</v>
      </c>
      <c r="M8" s="220">
        <v>-1.3151025836028482E-8</v>
      </c>
    </row>
    <row r="9" spans="4:13" ht="13.5" thickBot="1" x14ac:dyDescent="0.25">
      <c r="D9" s="221" t="s">
        <v>443</v>
      </c>
      <c r="E9" s="222">
        <v>2.511256197763756</v>
      </c>
      <c r="F9" s="222">
        <v>-3.3297232096640594</v>
      </c>
      <c r="G9" s="222">
        <v>4.7712214245031692</v>
      </c>
      <c r="H9" s="222">
        <v>1.8700361987101788</v>
      </c>
      <c r="I9" s="222">
        <v>1.5964549711513953</v>
      </c>
      <c r="J9" s="222">
        <v>2.3001611800970156</v>
      </c>
      <c r="K9" s="222">
        <v>2.2237888482639301</v>
      </c>
      <c r="L9" s="222">
        <v>2.3581013003481921</v>
      </c>
      <c r="M9" s="222">
        <v>1.0444682263513361</v>
      </c>
    </row>
    <row r="10" spans="4:13" x14ac:dyDescent="0.2">
      <c r="D10" s="223"/>
      <c r="E10" s="223"/>
      <c r="F10" s="224"/>
      <c r="G10" s="224"/>
      <c r="H10" s="224"/>
      <c r="I10" s="224"/>
      <c r="J10" s="223"/>
      <c r="K10" s="223"/>
    </row>
    <row r="11" spans="4:13" x14ac:dyDescent="0.2">
      <c r="D11" s="225" t="s">
        <v>829</v>
      </c>
      <c r="I11" s="224"/>
      <c r="J11" s="223"/>
    </row>
    <row r="12" spans="4:13" x14ac:dyDescent="0.2">
      <c r="D12" s="223"/>
      <c r="F12" s="223"/>
      <c r="G12" s="224"/>
      <c r="H12" s="224"/>
      <c r="I12" s="224"/>
      <c r="J12" s="224"/>
    </row>
    <row r="13" spans="4:13" x14ac:dyDescent="0.2">
      <c r="D13" s="223"/>
      <c r="F13" s="223"/>
      <c r="G13" s="224"/>
      <c r="H13" s="224"/>
      <c r="I13" s="224"/>
      <c r="J13" s="224"/>
    </row>
    <row r="14" spans="4:13" x14ac:dyDescent="0.2">
      <c r="D14" s="223"/>
      <c r="F14" s="223"/>
      <c r="G14" s="224"/>
      <c r="H14" s="224"/>
      <c r="I14" s="224"/>
      <c r="J14" s="224"/>
    </row>
    <row r="17" spans="4:17" x14ac:dyDescent="0.2">
      <c r="M17" s="226"/>
      <c r="N17" s="226"/>
      <c r="O17" s="226"/>
      <c r="P17" s="226"/>
      <c r="Q17" s="226"/>
    </row>
    <row r="18" spans="4:17" x14ac:dyDescent="0.2">
      <c r="O18" s="226"/>
      <c r="P18" s="226"/>
      <c r="Q18" s="226"/>
    </row>
    <row r="26" spans="4:17" x14ac:dyDescent="0.2">
      <c r="H26" s="227" t="s">
        <v>0</v>
      </c>
    </row>
    <row r="30" spans="4:17" x14ac:dyDescent="0.2">
      <c r="D30" s="216"/>
      <c r="E30" s="217">
        <v>2019</v>
      </c>
      <c r="F30" s="217">
        <v>2020</v>
      </c>
      <c r="G30" s="217">
        <v>2021</v>
      </c>
      <c r="H30" s="217">
        <v>2022</v>
      </c>
      <c r="I30" s="217">
        <v>2023</v>
      </c>
      <c r="J30" s="217">
        <v>2024</v>
      </c>
      <c r="K30" s="217">
        <v>2025</v>
      </c>
      <c r="L30" s="217">
        <v>2026</v>
      </c>
      <c r="M30" s="217">
        <v>2027</v>
      </c>
    </row>
    <row r="31" spans="4:17" x14ac:dyDescent="0.2">
      <c r="D31" s="218" t="s">
        <v>444</v>
      </c>
      <c r="E31" s="219">
        <f>E4</f>
        <v>1.5063755425606582</v>
      </c>
      <c r="F31" s="219">
        <f t="shared" ref="F31:M31" si="0">F4</f>
        <v>-0.62816263366429981</v>
      </c>
      <c r="G31" s="219">
        <f t="shared" si="0"/>
        <v>1.4579723285199664</v>
      </c>
      <c r="H31" s="219">
        <f t="shared" si="0"/>
        <v>3.4222246123173532</v>
      </c>
      <c r="I31" s="219">
        <f t="shared" si="0"/>
        <v>-1.838505103639132</v>
      </c>
      <c r="J31" s="219">
        <f t="shared" si="0"/>
        <v>1.6265637276946849</v>
      </c>
      <c r="K31" s="219">
        <f t="shared" si="0"/>
        <v>0.79782474281455307</v>
      </c>
      <c r="L31" s="219">
        <f t="shared" si="0"/>
        <v>1.0305703060648195</v>
      </c>
      <c r="M31" s="219">
        <f t="shared" si="0"/>
        <v>1.2618981368547215</v>
      </c>
    </row>
    <row r="32" spans="4:17" x14ac:dyDescent="0.2">
      <c r="D32" s="155" t="s">
        <v>445</v>
      </c>
      <c r="E32" s="220">
        <f t="shared" ref="E32:M36" si="1">E5</f>
        <v>0.79727249521012211</v>
      </c>
      <c r="F32" s="220">
        <f t="shared" si="1"/>
        <v>-0.10861819956220259</v>
      </c>
      <c r="G32" s="220">
        <f t="shared" si="1"/>
        <v>0.77264619555017378</v>
      </c>
      <c r="H32" s="220">
        <f t="shared" si="1"/>
        <v>-0.8264788950378793</v>
      </c>
      <c r="I32" s="220">
        <f t="shared" si="1"/>
        <v>-0.11082971003218198</v>
      </c>
      <c r="J32" s="220">
        <f t="shared" si="1"/>
        <v>0.60135655212320882</v>
      </c>
      <c r="K32" s="220">
        <f t="shared" si="1"/>
        <v>1.7386254072402064E-2</v>
      </c>
      <c r="L32" s="220">
        <f t="shared" si="1"/>
        <v>-7.4274016080587063E-2</v>
      </c>
      <c r="M32" s="220">
        <f t="shared" si="1"/>
        <v>-3.6144854357725541E-2</v>
      </c>
    </row>
    <row r="33" spans="4:14" x14ac:dyDescent="0.2">
      <c r="D33" s="155" t="s">
        <v>446</v>
      </c>
      <c r="E33" s="220">
        <f t="shared" si="1"/>
        <v>1.4000152299334114</v>
      </c>
      <c r="F33" s="220">
        <f t="shared" si="1"/>
        <v>-2.3539560184226165</v>
      </c>
      <c r="G33" s="220">
        <f t="shared" si="1"/>
        <v>0.70043167780184712</v>
      </c>
      <c r="H33" s="220">
        <f t="shared" si="1"/>
        <v>1.1230305361006101</v>
      </c>
      <c r="I33" s="220">
        <f t="shared" si="1"/>
        <v>2.1707207722862654</v>
      </c>
      <c r="J33" s="220">
        <f t="shared" si="1"/>
        <v>-5.938751395789249E-2</v>
      </c>
      <c r="K33" s="220">
        <f t="shared" si="1"/>
        <v>2.3044764132708617</v>
      </c>
      <c r="L33" s="220">
        <f t="shared" si="1"/>
        <v>8.4198977890627219E-2</v>
      </c>
      <c r="M33" s="220">
        <f t="shared" si="1"/>
        <v>-1.1280794793771114</v>
      </c>
    </row>
    <row r="34" spans="4:14" x14ac:dyDescent="0.2">
      <c r="D34" s="155" t="s">
        <v>447</v>
      </c>
      <c r="E34" s="220">
        <f t="shared" si="1"/>
        <v>-1.2653237200542451</v>
      </c>
      <c r="F34" s="220">
        <f t="shared" si="1"/>
        <v>1.5329622617637559</v>
      </c>
      <c r="G34" s="220">
        <f t="shared" si="1"/>
        <v>-0.72584369411162819</v>
      </c>
      <c r="H34" s="220">
        <f t="shared" si="1"/>
        <v>-1.0554468524726361</v>
      </c>
      <c r="I34" s="220">
        <f t="shared" si="1"/>
        <v>5.9019822723265127</v>
      </c>
      <c r="J34" s="220">
        <f t="shared" si="1"/>
        <v>-2.4800073612235649</v>
      </c>
      <c r="K34" s="220">
        <f t="shared" si="1"/>
        <v>-2.4597821949542955</v>
      </c>
      <c r="L34" s="220">
        <f t="shared" si="1"/>
        <v>1.3176060384498212</v>
      </c>
      <c r="M34" s="220">
        <f t="shared" si="1"/>
        <v>0.94679443638247074</v>
      </c>
    </row>
    <row r="35" spans="4:14" x14ac:dyDescent="0.2">
      <c r="D35" s="155" t="s">
        <v>448</v>
      </c>
      <c r="E35" s="220">
        <f t="shared" si="1"/>
        <v>7.29166501138276E-2</v>
      </c>
      <c r="F35" s="220">
        <f t="shared" si="1"/>
        <v>-1.771948619778694</v>
      </c>
      <c r="G35" s="220">
        <f t="shared" si="1"/>
        <v>2.5660149167428221</v>
      </c>
      <c r="H35" s="220">
        <f t="shared" si="1"/>
        <v>-0.79329320219726285</v>
      </c>
      <c r="I35" s="220">
        <f t="shared" si="1"/>
        <v>-4.5269132597900796</v>
      </c>
      <c r="J35" s="220">
        <f t="shared" si="1"/>
        <v>2.6116357754605612</v>
      </c>
      <c r="K35" s="220">
        <f t="shared" si="1"/>
        <v>1.5638836330604162</v>
      </c>
      <c r="L35" s="220">
        <f t="shared" si="1"/>
        <v>-5.9764914834737052E-9</v>
      </c>
      <c r="M35" s="220">
        <f t="shared" si="1"/>
        <v>-1.3151025836028482E-8</v>
      </c>
    </row>
    <row r="36" spans="4:14" ht="13.5" thickBot="1" x14ac:dyDescent="0.25">
      <c r="D36" s="221" t="s">
        <v>449</v>
      </c>
      <c r="E36" s="222">
        <f t="shared" si="1"/>
        <v>2.511256197763756</v>
      </c>
      <c r="F36" s="222">
        <f t="shared" si="1"/>
        <v>-3.3297232096640594</v>
      </c>
      <c r="G36" s="222">
        <f t="shared" si="1"/>
        <v>4.7712214245031692</v>
      </c>
      <c r="H36" s="222">
        <f t="shared" si="1"/>
        <v>1.8700361987101788</v>
      </c>
      <c r="I36" s="222">
        <f t="shared" si="1"/>
        <v>1.5964549711513953</v>
      </c>
      <c r="J36" s="222">
        <f t="shared" si="1"/>
        <v>2.3001611800970156</v>
      </c>
      <c r="K36" s="222">
        <f t="shared" si="1"/>
        <v>2.2237888482639301</v>
      </c>
      <c r="L36" s="222">
        <f t="shared" si="1"/>
        <v>2.3581013003481921</v>
      </c>
      <c r="M36" s="222">
        <f t="shared" si="1"/>
        <v>1.0444682263513361</v>
      </c>
      <c r="N36" s="226"/>
    </row>
    <row r="38" spans="4:14" x14ac:dyDescent="0.2">
      <c r="D38" s="225" t="s">
        <v>830</v>
      </c>
    </row>
    <row r="53" spans="8:8" x14ac:dyDescent="0.2">
      <c r="H53" s="227" t="s">
        <v>209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2:K41"/>
  <sheetViews>
    <sheetView showGridLines="0" zoomScaleNormal="100" workbookViewId="0"/>
  </sheetViews>
  <sheetFormatPr defaultColWidth="9.140625" defaultRowHeight="12.75" x14ac:dyDescent="0.2"/>
  <cols>
    <col min="1" max="1" width="9.140625" style="209"/>
    <col min="2" max="2" width="9.140625" style="209" customWidth="1"/>
    <col min="3" max="3" width="9.140625" style="209"/>
    <col min="4" max="4" width="32.5703125" style="209" customWidth="1"/>
    <col min="5" max="16384" width="9.140625" style="209"/>
  </cols>
  <sheetData>
    <row r="2" spans="4:11" ht="13.5" thickBot="1" x14ac:dyDescent="0.25">
      <c r="D2" s="215"/>
      <c r="E2" s="215"/>
      <c r="F2" s="215"/>
      <c r="G2" s="215"/>
      <c r="H2" s="215"/>
      <c r="I2" s="215"/>
      <c r="J2" s="215"/>
      <c r="K2" s="215"/>
    </row>
    <row r="3" spans="4:11" x14ac:dyDescent="0.2">
      <c r="D3" s="216"/>
      <c r="E3" s="217">
        <v>2021</v>
      </c>
      <c r="F3" s="217">
        <v>2022</v>
      </c>
      <c r="G3" s="217">
        <v>2023</v>
      </c>
      <c r="H3" s="217">
        <v>2024</v>
      </c>
      <c r="I3" s="217">
        <v>2025</v>
      </c>
      <c r="J3" s="217">
        <v>2026</v>
      </c>
      <c r="K3" s="217">
        <v>2027</v>
      </c>
    </row>
    <row r="4" spans="4:11" x14ac:dyDescent="0.2">
      <c r="D4" s="228" t="s">
        <v>587</v>
      </c>
      <c r="E4" s="219">
        <v>2366.3225701700003</v>
      </c>
      <c r="F4" s="219">
        <v>2203.3151951699997</v>
      </c>
      <c r="G4" s="219">
        <v>4555.8749231700003</v>
      </c>
      <c r="H4" s="219">
        <v>2662.5483933500036</v>
      </c>
      <c r="I4" s="219">
        <v>2480.6647464264552</v>
      </c>
      <c r="J4" s="219">
        <v>2923.6729261375472</v>
      </c>
      <c r="K4" s="219">
        <v>3121.5887247333344</v>
      </c>
    </row>
    <row r="5" spans="4:11" ht="13.5" thickBot="1" x14ac:dyDescent="0.25">
      <c r="D5" s="229" t="s">
        <v>588</v>
      </c>
      <c r="E5" s="222">
        <v>6.07593885</v>
      </c>
      <c r="F5" s="222">
        <v>49.047309489999996</v>
      </c>
      <c r="G5" s="222">
        <v>358.88365780413449</v>
      </c>
      <c r="H5" s="222">
        <v>629.66569976428138</v>
      </c>
      <c r="I5" s="222">
        <v>2746.8790413725069</v>
      </c>
      <c r="J5" s="222">
        <v>2587.4156990775095</v>
      </c>
      <c r="K5" s="222">
        <v>0</v>
      </c>
    </row>
    <row r="6" spans="4:11" x14ac:dyDescent="0.2">
      <c r="D6" s="223"/>
      <c r="E6" s="223"/>
      <c r="F6" s="224"/>
      <c r="G6" s="224"/>
      <c r="H6" s="224"/>
      <c r="I6" s="224"/>
      <c r="J6" s="223"/>
      <c r="K6" s="223"/>
    </row>
    <row r="7" spans="4:11" x14ac:dyDescent="0.2">
      <c r="D7" s="225" t="s">
        <v>451</v>
      </c>
      <c r="I7" s="224"/>
      <c r="J7" s="223"/>
    </row>
    <row r="8" spans="4:11" x14ac:dyDescent="0.2">
      <c r="D8" s="223"/>
      <c r="F8" s="223"/>
      <c r="G8" s="224"/>
      <c r="H8" s="224"/>
      <c r="I8" s="224"/>
      <c r="J8" s="224"/>
    </row>
    <row r="9" spans="4:11" x14ac:dyDescent="0.2">
      <c r="D9" s="223"/>
      <c r="F9" s="223"/>
      <c r="G9" s="224"/>
      <c r="H9" s="224"/>
      <c r="I9" s="224"/>
      <c r="J9" s="224"/>
    </row>
    <row r="10" spans="4:11" x14ac:dyDescent="0.2">
      <c r="D10" s="223"/>
      <c r="F10" s="223"/>
      <c r="G10" s="224"/>
      <c r="H10" s="224"/>
      <c r="I10" s="224"/>
      <c r="J10" s="224"/>
    </row>
    <row r="20" spans="4:11" x14ac:dyDescent="0.2">
      <c r="I20" s="227" t="s">
        <v>0</v>
      </c>
    </row>
    <row r="23" spans="4:11" x14ac:dyDescent="0.2">
      <c r="D23" s="216"/>
      <c r="E23" s="217">
        <v>2021</v>
      </c>
      <c r="F23" s="217">
        <v>2022</v>
      </c>
      <c r="G23" s="217">
        <v>2023</v>
      </c>
      <c r="H23" s="217">
        <v>2024</v>
      </c>
      <c r="I23" s="217">
        <v>2025</v>
      </c>
      <c r="J23" s="217">
        <v>2026</v>
      </c>
      <c r="K23" s="217">
        <v>2027</v>
      </c>
    </row>
    <row r="24" spans="4:11" x14ac:dyDescent="0.2">
      <c r="D24" s="228" t="s">
        <v>452</v>
      </c>
      <c r="E24" s="219">
        <f>E4</f>
        <v>2366.3225701700003</v>
      </c>
      <c r="F24" s="219">
        <f t="shared" ref="F24:K24" si="0">F4</f>
        <v>2203.3151951699997</v>
      </c>
      <c r="G24" s="219">
        <f t="shared" si="0"/>
        <v>4555.8749231700003</v>
      </c>
      <c r="H24" s="219">
        <f t="shared" si="0"/>
        <v>2662.5483933500036</v>
      </c>
      <c r="I24" s="219">
        <f t="shared" si="0"/>
        <v>2480.6647464264552</v>
      </c>
      <c r="J24" s="219">
        <f t="shared" si="0"/>
        <v>2923.6729261375472</v>
      </c>
      <c r="K24" s="219">
        <f t="shared" si="0"/>
        <v>3121.5887247333344</v>
      </c>
    </row>
    <row r="25" spans="4:11" ht="13.5" thickBot="1" x14ac:dyDescent="0.25">
      <c r="D25" s="229" t="s">
        <v>453</v>
      </c>
      <c r="E25" s="222">
        <f>E5</f>
        <v>6.07593885</v>
      </c>
      <c r="F25" s="222">
        <f t="shared" ref="F25:K25" si="1">F5</f>
        <v>49.047309489999996</v>
      </c>
      <c r="G25" s="222">
        <f t="shared" si="1"/>
        <v>358.88365780413449</v>
      </c>
      <c r="H25" s="222">
        <f t="shared" si="1"/>
        <v>629.66569976428138</v>
      </c>
      <c r="I25" s="222">
        <f t="shared" si="1"/>
        <v>2746.8790413725069</v>
      </c>
      <c r="J25" s="222">
        <f t="shared" si="1"/>
        <v>2587.4156990775095</v>
      </c>
      <c r="K25" s="222">
        <f t="shared" si="1"/>
        <v>0</v>
      </c>
    </row>
    <row r="27" spans="4:11" x14ac:dyDescent="0.2">
      <c r="D27" s="225" t="s">
        <v>586</v>
      </c>
    </row>
    <row r="41" spans="9:9" x14ac:dyDescent="0.2">
      <c r="I41" s="227" t="s">
        <v>209</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2237-6B81-4E2F-88AD-4747F3CAD8B1}">
  <dimension ref="D2:Q26"/>
  <sheetViews>
    <sheetView workbookViewId="0"/>
  </sheetViews>
  <sheetFormatPr defaultColWidth="9.42578125" defaultRowHeight="12.75" x14ac:dyDescent="0.2"/>
  <cols>
    <col min="1" max="3" width="9.42578125" style="231"/>
    <col min="4" max="4" width="36.140625" style="231" bestFit="1" customWidth="1"/>
    <col min="5" max="5" width="20.7109375" style="231" bestFit="1" customWidth="1"/>
    <col min="6" max="16384" width="9.42578125" style="231"/>
  </cols>
  <sheetData>
    <row r="2" spans="4:17" x14ac:dyDescent="0.2">
      <c r="D2" s="230" t="s">
        <v>510</v>
      </c>
      <c r="E2" s="230" t="s">
        <v>511</v>
      </c>
    </row>
    <row r="3" spans="4:17" x14ac:dyDescent="0.2">
      <c r="D3" s="232"/>
      <c r="E3" s="232"/>
      <c r="F3" s="233">
        <v>2022</v>
      </c>
      <c r="G3" s="233">
        <v>2023</v>
      </c>
      <c r="H3" s="233">
        <v>2024</v>
      </c>
      <c r="I3" s="233">
        <v>2025</v>
      </c>
      <c r="J3" s="233">
        <v>2026</v>
      </c>
      <c r="K3" s="233">
        <v>2027</v>
      </c>
      <c r="L3" s="233">
        <v>2028</v>
      </c>
    </row>
    <row r="4" spans="4:17" x14ac:dyDescent="0.2">
      <c r="D4" s="234" t="s">
        <v>601</v>
      </c>
      <c r="E4" s="234" t="s">
        <v>605</v>
      </c>
      <c r="F4" s="235">
        <v>0.47827472966396839</v>
      </c>
      <c r="G4" s="235">
        <v>0.70462123094124873</v>
      </c>
      <c r="H4" s="235">
        <v>0.38353783845742334</v>
      </c>
      <c r="I4" s="235">
        <v>0.58921551942395933</v>
      </c>
      <c r="J4" s="235">
        <v>0.37288490807704483</v>
      </c>
      <c r="K4" s="235">
        <v>0.25708584522012295</v>
      </c>
      <c r="L4" s="235">
        <v>0.23028323467269565</v>
      </c>
      <c r="Q4" s="236"/>
    </row>
    <row r="5" spans="4:17" x14ac:dyDescent="0.2">
      <c r="D5" s="234" t="s">
        <v>602</v>
      </c>
      <c r="E5" s="234" t="s">
        <v>604</v>
      </c>
      <c r="F5" s="235">
        <v>1.2901493063795459</v>
      </c>
      <c r="G5" s="235">
        <v>-0.42608094518304895</v>
      </c>
      <c r="H5" s="235">
        <v>-0.48637698068927088</v>
      </c>
      <c r="I5" s="235">
        <v>-0.17318202713522279</v>
      </c>
      <c r="J5" s="235">
        <v>-0.17005665962183353</v>
      </c>
      <c r="K5" s="235">
        <v>-0.20551100197902511</v>
      </c>
      <c r="L5" s="235">
        <v>-0.38059836680400239</v>
      </c>
      <c r="Q5" s="236"/>
    </row>
    <row r="6" spans="4:17" x14ac:dyDescent="0.2">
      <c r="D6" s="234" t="s">
        <v>603</v>
      </c>
      <c r="E6" s="234" t="s">
        <v>414</v>
      </c>
      <c r="F6" s="235">
        <v>1.7684240360435144</v>
      </c>
      <c r="G6" s="235">
        <v>0.27854028575819978</v>
      </c>
      <c r="H6" s="235">
        <v>-0.10283914223184754</v>
      </c>
      <c r="I6" s="235">
        <v>0.41603349228873654</v>
      </c>
      <c r="J6" s="235">
        <v>0.2028282484552113</v>
      </c>
      <c r="K6" s="235">
        <v>5.1574843241097845E-2</v>
      </c>
      <c r="L6" s="235">
        <v>-0.15031513213130676</v>
      </c>
      <c r="Q6" s="236"/>
    </row>
    <row r="7" spans="4:17" x14ac:dyDescent="0.2">
      <c r="D7" s="234"/>
      <c r="E7" s="234"/>
      <c r="F7" s="235"/>
      <c r="G7" s="235"/>
      <c r="H7" s="235"/>
      <c r="I7" s="235"/>
      <c r="J7" s="235"/>
      <c r="K7" s="235"/>
      <c r="L7" s="235"/>
    </row>
    <row r="8" spans="4:17" x14ac:dyDescent="0.2">
      <c r="D8" s="234"/>
      <c r="E8" s="234"/>
      <c r="F8" s="237"/>
      <c r="G8" s="237"/>
      <c r="H8" s="237"/>
      <c r="I8" s="237"/>
      <c r="J8" s="237"/>
      <c r="K8" s="237"/>
      <c r="L8" s="237"/>
    </row>
    <row r="9" spans="4:17" x14ac:dyDescent="0.2">
      <c r="D9" s="238" t="s">
        <v>600</v>
      </c>
      <c r="H9" s="238" t="s">
        <v>831</v>
      </c>
    </row>
    <row r="26" spans="6:13" x14ac:dyDescent="0.2">
      <c r="F26" s="239" t="s">
        <v>822</v>
      </c>
      <c r="M26" s="227" t="s">
        <v>821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0DA76-59A2-486A-A5C0-712893A806FB}">
  <dimension ref="C2:Q30"/>
  <sheetViews>
    <sheetView showGridLines="0" workbookViewId="0"/>
  </sheetViews>
  <sheetFormatPr defaultColWidth="9.140625" defaultRowHeight="12.75" x14ac:dyDescent="0.2"/>
  <cols>
    <col min="1" max="1" width="13.5703125" style="209" customWidth="1"/>
    <col min="2" max="2" width="9.140625" style="209"/>
    <col min="3" max="3" width="24.85546875" style="209" bestFit="1" customWidth="1"/>
    <col min="4" max="4" width="17" style="209" bestFit="1" customWidth="1"/>
    <col min="5" max="16384" width="9.140625" style="209"/>
  </cols>
  <sheetData>
    <row r="2" spans="3:17" x14ac:dyDescent="0.2">
      <c r="C2" s="240" t="s">
        <v>644</v>
      </c>
      <c r="D2" s="240" t="s">
        <v>645</v>
      </c>
    </row>
    <row r="3" spans="3:17" x14ac:dyDescent="0.2">
      <c r="C3" s="241"/>
      <c r="D3" s="241"/>
      <c r="E3" s="242">
        <v>2016</v>
      </c>
      <c r="F3" s="242">
        <v>2017</v>
      </c>
      <c r="G3" s="242">
        <v>2018</v>
      </c>
      <c r="H3" s="242">
        <v>2019</v>
      </c>
      <c r="I3" s="242">
        <v>2020</v>
      </c>
      <c r="J3" s="242">
        <v>2021</v>
      </c>
      <c r="K3" s="242">
        <v>2022</v>
      </c>
      <c r="L3" s="242">
        <v>2023</v>
      </c>
      <c r="M3" s="242">
        <v>2024</v>
      </c>
      <c r="N3" s="242">
        <v>2025</v>
      </c>
      <c r="O3" s="242">
        <v>2026</v>
      </c>
      <c r="P3" s="242">
        <v>2027</v>
      </c>
      <c r="Q3" s="242">
        <v>2028</v>
      </c>
    </row>
    <row r="4" spans="3:17" x14ac:dyDescent="0.2">
      <c r="C4" s="243" t="s">
        <v>634</v>
      </c>
      <c r="D4" s="243" t="s">
        <v>635</v>
      </c>
      <c r="E4" s="244">
        <v>-0.51612820803027648</v>
      </c>
      <c r="F4" s="244">
        <v>1.3058612857026457</v>
      </c>
      <c r="G4" s="244">
        <v>2.4610806376507735</v>
      </c>
      <c r="H4" s="244">
        <v>2.7552064240939207</v>
      </c>
      <c r="I4" s="244">
        <v>1.9315779131979909</v>
      </c>
      <c r="J4" s="244">
        <v>3.216195149572481</v>
      </c>
      <c r="K4" s="244">
        <v>12.816361696049569</v>
      </c>
      <c r="L4" s="244">
        <v>10.482867049436432</v>
      </c>
      <c r="M4" s="244">
        <v>2.7915649560643194</v>
      </c>
      <c r="N4" s="244">
        <v>5.3633510250092087</v>
      </c>
      <c r="O4" s="244">
        <v>2.687185426633008</v>
      </c>
      <c r="P4" s="244">
        <v>2.1876330525767615</v>
      </c>
      <c r="Q4" s="244">
        <v>2.4241486552460652</v>
      </c>
    </row>
    <row r="5" spans="3:17" x14ac:dyDescent="0.2">
      <c r="C5" s="243" t="s">
        <v>636</v>
      </c>
      <c r="D5" s="243" t="s">
        <v>637</v>
      </c>
      <c r="E5" s="244">
        <v>0.17326731824941455</v>
      </c>
      <c r="F5" s="244">
        <v>0.87553326711939694</v>
      </c>
      <c r="G5" s="244">
        <v>1.5497173777771458</v>
      </c>
      <c r="H5" s="244">
        <v>1.2497089105664663</v>
      </c>
      <c r="I5" s="244">
        <v>0.60191102151064746</v>
      </c>
      <c r="J5" s="244">
        <v>2.7307937029223668</v>
      </c>
      <c r="K5" s="244">
        <v>6.999556153255619</v>
      </c>
      <c r="L5" s="244">
        <v>6.4392974719613871</v>
      </c>
      <c r="M5" s="244">
        <v>2.2478883812506947</v>
      </c>
      <c r="N5" s="244">
        <v>1.626613262034903</v>
      </c>
      <c r="O5" s="244">
        <v>1.6038083603532474</v>
      </c>
      <c r="P5" s="244">
        <v>1.5994538897231902</v>
      </c>
      <c r="Q5" s="244">
        <v>1.7166925824239023</v>
      </c>
    </row>
    <row r="6" spans="3:17" x14ac:dyDescent="0.2">
      <c r="C6" s="243" t="s">
        <v>638</v>
      </c>
      <c r="D6" s="243" t="s">
        <v>639</v>
      </c>
      <c r="E6" s="244">
        <v>-0.12327560839583385</v>
      </c>
      <c r="F6" s="244">
        <v>0.71369693522654831</v>
      </c>
      <c r="G6" s="244">
        <v>0.67025021973269472</v>
      </c>
      <c r="H6" s="244">
        <v>0.68853523838853992</v>
      </c>
      <c r="I6" s="244">
        <v>0.43965978244380477</v>
      </c>
      <c r="J6" s="244">
        <v>0.35911003830834964</v>
      </c>
      <c r="K6" s="244">
        <v>3.6248616420760778</v>
      </c>
      <c r="L6" s="244">
        <v>3.3012852628051901</v>
      </c>
      <c r="M6" s="244">
        <v>0.35815164994610027</v>
      </c>
      <c r="N6" s="244">
        <v>0.75951691031612467</v>
      </c>
      <c r="O6" s="244">
        <v>0.76283764943688737</v>
      </c>
      <c r="P6" s="244">
        <v>0.68056990258704875</v>
      </c>
      <c r="Q6" s="244">
        <v>0.58853213658345938</v>
      </c>
    </row>
    <row r="7" spans="3:17" x14ac:dyDescent="0.2">
      <c r="C7" s="243" t="s">
        <v>640</v>
      </c>
      <c r="D7" s="243" t="s">
        <v>641</v>
      </c>
      <c r="E7" s="244">
        <v>-0.2461199178838572</v>
      </c>
      <c r="F7" s="244">
        <v>-0.38336891664329975</v>
      </c>
      <c r="G7" s="244">
        <v>0.24111304014093335</v>
      </c>
      <c r="H7" s="244">
        <v>0.72519702855472334</v>
      </c>
      <c r="I7" s="244">
        <v>0.89000710924353876</v>
      </c>
      <c r="J7" s="244">
        <v>-0.11301965904529207</v>
      </c>
      <c r="K7" s="244">
        <v>2.1186264998737663</v>
      </c>
      <c r="L7" s="244">
        <v>1.3720798703273509</v>
      </c>
      <c r="M7" s="244">
        <v>0.15704482487581606</v>
      </c>
      <c r="N7" s="244">
        <v>1.3287843198099196</v>
      </c>
      <c r="O7" s="244">
        <v>0.15599497286900163</v>
      </c>
      <c r="P7" s="244">
        <v>-0.15277515003238282</v>
      </c>
      <c r="Q7" s="244">
        <v>-1.3992459648678589E-3</v>
      </c>
    </row>
    <row r="8" spans="3:17" x14ac:dyDescent="0.2">
      <c r="C8" s="243" t="s">
        <v>642</v>
      </c>
      <c r="D8" s="243" t="s">
        <v>643</v>
      </c>
      <c r="E8" s="244">
        <v>-0.32</v>
      </c>
      <c r="F8" s="244">
        <v>0.1</v>
      </c>
      <c r="G8" s="244">
        <v>0</v>
      </c>
      <c r="H8" s="244">
        <v>9.1765246584191357E-2</v>
      </c>
      <c r="I8" s="244"/>
      <c r="J8" s="244">
        <v>0.23931106738705676</v>
      </c>
      <c r="K8" s="244">
        <v>7.3317400844105929E-2</v>
      </c>
      <c r="L8" s="244">
        <v>-0.62979555565749445</v>
      </c>
      <c r="M8" s="244">
        <v>2.8480099991708502E-2</v>
      </c>
      <c r="N8" s="244">
        <v>1.6484365328482617</v>
      </c>
      <c r="O8" s="244">
        <v>0.16454444397387183</v>
      </c>
      <c r="P8" s="244">
        <v>6.0384410298905157E-2</v>
      </c>
      <c r="Q8" s="244">
        <v>0.12032318220357148</v>
      </c>
    </row>
    <row r="13" spans="3:17" x14ac:dyDescent="0.2">
      <c r="C13" s="245" t="s">
        <v>823</v>
      </c>
      <c r="K13" s="245" t="s">
        <v>824</v>
      </c>
    </row>
    <row r="30" spans="8:17" x14ac:dyDescent="0.2">
      <c r="H30" s="246" t="s">
        <v>822</v>
      </c>
      <c r="I30" s="231"/>
      <c r="J30" s="231"/>
      <c r="K30" s="231"/>
      <c r="L30" s="231"/>
      <c r="M30" s="231"/>
      <c r="N30" s="231"/>
      <c r="O30" s="231"/>
      <c r="Q30" s="239" t="s">
        <v>821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3B495-796C-4819-897A-B4F778AAFB56}">
  <dimension ref="A2:V74"/>
  <sheetViews>
    <sheetView showGridLines="0" zoomScaleNormal="100" workbookViewId="0"/>
  </sheetViews>
  <sheetFormatPr defaultColWidth="8.85546875" defaultRowHeight="12.75" x14ac:dyDescent="0.2"/>
  <cols>
    <col min="1" max="1" width="9.85546875" style="247" bestFit="1" customWidth="1"/>
    <col min="2" max="2" width="10.42578125" style="247" bestFit="1" customWidth="1"/>
    <col min="3" max="3" width="13.85546875" style="247" bestFit="1" customWidth="1"/>
    <col min="4" max="4" width="8.42578125" style="247" bestFit="1" customWidth="1"/>
    <col min="5" max="18" width="8.85546875" style="247"/>
    <col min="19" max="19" width="11" style="247" bestFit="1" customWidth="1"/>
    <col min="20" max="16384" width="8.85546875" style="247"/>
  </cols>
  <sheetData>
    <row r="2" spans="1:22" x14ac:dyDescent="0.2">
      <c r="S2" s="248"/>
      <c r="T2" s="249"/>
      <c r="U2" s="249"/>
      <c r="V2" s="249"/>
    </row>
    <row r="3" spans="1:22" x14ac:dyDescent="0.2">
      <c r="S3" s="248"/>
      <c r="T3" s="249"/>
      <c r="U3" s="249"/>
      <c r="V3" s="249"/>
    </row>
    <row r="4" spans="1:22" x14ac:dyDescent="0.2">
      <c r="S4" s="248"/>
      <c r="T4" s="249"/>
      <c r="U4" s="249"/>
      <c r="V4" s="249"/>
    </row>
    <row r="5" spans="1:22" x14ac:dyDescent="0.2">
      <c r="A5" s="250"/>
      <c r="B5" s="251" t="s">
        <v>621</v>
      </c>
      <c r="C5" s="251" t="s">
        <v>622</v>
      </c>
      <c r="D5" s="251" t="s">
        <v>623</v>
      </c>
      <c r="S5" s="248"/>
      <c r="T5" s="249"/>
      <c r="U5" s="249"/>
      <c r="V5" s="249"/>
    </row>
    <row r="6" spans="1:22" ht="13.5" thickBot="1" x14ac:dyDescent="0.25">
      <c r="A6" s="252"/>
      <c r="B6" s="253" t="s">
        <v>606</v>
      </c>
      <c r="C6" s="253" t="s">
        <v>607</v>
      </c>
      <c r="D6" s="253" t="s">
        <v>608</v>
      </c>
      <c r="S6" s="248"/>
      <c r="T6" s="249"/>
      <c r="U6" s="249"/>
      <c r="V6" s="249"/>
    </row>
    <row r="7" spans="1:22" x14ac:dyDescent="0.2">
      <c r="A7" s="254">
        <v>43496</v>
      </c>
      <c r="B7" s="249">
        <v>51</v>
      </c>
      <c r="C7" s="249">
        <v>50.5</v>
      </c>
      <c r="D7" s="249">
        <v>51.2</v>
      </c>
      <c r="S7" s="248"/>
      <c r="T7" s="249"/>
      <c r="U7" s="249"/>
      <c r="V7" s="249"/>
    </row>
    <row r="8" spans="1:22" x14ac:dyDescent="0.2">
      <c r="A8" s="254">
        <v>43524</v>
      </c>
      <c r="B8" s="249">
        <v>51.9</v>
      </c>
      <c r="C8" s="249">
        <v>49.3</v>
      </c>
      <c r="D8" s="249">
        <v>52.8</v>
      </c>
      <c r="F8" s="245" t="s">
        <v>845</v>
      </c>
      <c r="S8" s="248"/>
      <c r="T8" s="249"/>
      <c r="U8" s="249"/>
      <c r="V8" s="249"/>
    </row>
    <row r="9" spans="1:22" x14ac:dyDescent="0.2">
      <c r="A9" s="254">
        <v>43555</v>
      </c>
      <c r="B9" s="249">
        <v>51.6</v>
      </c>
      <c r="C9" s="249">
        <v>47.5</v>
      </c>
      <c r="D9" s="249">
        <v>53.3</v>
      </c>
      <c r="F9" s="214"/>
      <c r="S9" s="248"/>
    </row>
    <row r="10" spans="1:22" x14ac:dyDescent="0.2">
      <c r="A10" s="254">
        <v>43585</v>
      </c>
      <c r="B10" s="249">
        <v>51.5</v>
      </c>
      <c r="C10" s="249">
        <v>47.9</v>
      </c>
      <c r="D10" s="249">
        <v>52.8</v>
      </c>
      <c r="F10" s="214"/>
      <c r="S10" s="248"/>
    </row>
    <row r="11" spans="1:22" x14ac:dyDescent="0.2">
      <c r="A11" s="254">
        <v>43616</v>
      </c>
      <c r="B11" s="249">
        <v>51.8</v>
      </c>
      <c r="C11" s="249">
        <v>47.7</v>
      </c>
      <c r="D11" s="249">
        <v>52.9</v>
      </c>
      <c r="S11" s="248"/>
    </row>
    <row r="12" spans="1:22" x14ac:dyDescent="0.2">
      <c r="A12" s="254">
        <v>43646</v>
      </c>
      <c r="B12" s="249">
        <v>52.2</v>
      </c>
      <c r="C12" s="249">
        <v>47.6</v>
      </c>
      <c r="D12" s="249">
        <v>53.6</v>
      </c>
      <c r="S12" s="248"/>
    </row>
    <row r="13" spans="1:22" x14ac:dyDescent="0.2">
      <c r="A13" s="254">
        <v>43677</v>
      </c>
      <c r="B13" s="249">
        <v>51.5</v>
      </c>
      <c r="C13" s="249">
        <v>46.5</v>
      </c>
      <c r="D13" s="249">
        <v>53.2</v>
      </c>
      <c r="S13" s="248"/>
    </row>
    <row r="14" spans="1:22" x14ac:dyDescent="0.2">
      <c r="A14" s="254">
        <v>43708</v>
      </c>
      <c r="B14" s="249">
        <v>51.9</v>
      </c>
      <c r="C14" s="249">
        <v>47</v>
      </c>
      <c r="D14" s="249">
        <v>53.5</v>
      </c>
      <c r="S14" s="248"/>
    </row>
    <row r="15" spans="1:22" x14ac:dyDescent="0.2">
      <c r="A15" s="254">
        <v>43738</v>
      </c>
      <c r="B15" s="249">
        <v>50.1</v>
      </c>
      <c r="C15" s="249">
        <v>45.7</v>
      </c>
      <c r="D15" s="249">
        <v>51.6</v>
      </c>
      <c r="S15" s="248"/>
    </row>
    <row r="16" spans="1:22" x14ac:dyDescent="0.2">
      <c r="A16" s="254">
        <v>43769</v>
      </c>
      <c r="B16" s="247">
        <v>50.6</v>
      </c>
      <c r="C16" s="247">
        <v>45.9</v>
      </c>
      <c r="D16" s="247">
        <v>52.2</v>
      </c>
      <c r="S16" s="248"/>
    </row>
    <row r="17" spans="1:19" x14ac:dyDescent="0.2">
      <c r="A17" s="254">
        <v>43799</v>
      </c>
      <c r="B17" s="247">
        <v>50.6</v>
      </c>
      <c r="C17" s="247">
        <v>46.9</v>
      </c>
      <c r="D17" s="247">
        <v>51.9</v>
      </c>
      <c r="S17" s="248"/>
    </row>
    <row r="18" spans="1:19" x14ac:dyDescent="0.2">
      <c r="A18" s="254">
        <v>43830</v>
      </c>
      <c r="B18" s="247">
        <v>50.9</v>
      </c>
      <c r="C18" s="247">
        <v>46.3</v>
      </c>
      <c r="D18" s="247">
        <v>52.8</v>
      </c>
      <c r="S18" s="248"/>
    </row>
    <row r="19" spans="1:19" x14ac:dyDescent="0.2">
      <c r="A19" s="254">
        <v>43861</v>
      </c>
      <c r="B19" s="247">
        <v>51.3</v>
      </c>
      <c r="C19" s="247">
        <v>47.9</v>
      </c>
      <c r="D19" s="247">
        <v>52.5</v>
      </c>
      <c r="S19" s="248"/>
    </row>
    <row r="20" spans="1:19" x14ac:dyDescent="0.2">
      <c r="A20" s="254">
        <v>43890</v>
      </c>
      <c r="B20" s="247">
        <v>51.6</v>
      </c>
      <c r="C20" s="247">
        <v>49.2</v>
      </c>
      <c r="D20" s="247">
        <v>52.6</v>
      </c>
      <c r="S20" s="248"/>
    </row>
    <row r="21" spans="1:19" x14ac:dyDescent="0.2">
      <c r="A21" s="254">
        <v>43921</v>
      </c>
      <c r="B21" s="247">
        <v>29.7</v>
      </c>
      <c r="C21" s="247">
        <v>44.5</v>
      </c>
      <c r="D21" s="247">
        <v>26.4</v>
      </c>
      <c r="K21" s="255" t="s">
        <v>825</v>
      </c>
      <c r="S21" s="248"/>
    </row>
    <row r="22" spans="1:19" x14ac:dyDescent="0.2">
      <c r="A22" s="254">
        <v>43951</v>
      </c>
      <c r="B22" s="247">
        <v>13.6</v>
      </c>
      <c r="C22" s="247">
        <v>33.4</v>
      </c>
      <c r="D22" s="247">
        <v>12</v>
      </c>
      <c r="S22" s="248"/>
    </row>
    <row r="23" spans="1:19" x14ac:dyDescent="0.2">
      <c r="A23" s="254">
        <v>43982</v>
      </c>
      <c r="B23" s="247">
        <v>31.9</v>
      </c>
      <c r="C23" s="247">
        <v>39.4</v>
      </c>
      <c r="D23" s="247">
        <v>30.5</v>
      </c>
      <c r="F23" s="245" t="s">
        <v>846</v>
      </c>
      <c r="S23" s="248"/>
    </row>
    <row r="24" spans="1:19" x14ac:dyDescent="0.2">
      <c r="A24" s="254">
        <v>44012</v>
      </c>
      <c r="B24" s="247">
        <v>48.5</v>
      </c>
      <c r="C24" s="247">
        <v>47.4</v>
      </c>
      <c r="D24" s="247">
        <v>48.3</v>
      </c>
      <c r="S24" s="248"/>
    </row>
    <row r="25" spans="1:19" x14ac:dyDescent="0.2">
      <c r="A25" s="254">
        <v>44043</v>
      </c>
      <c r="B25" s="247">
        <v>54.9</v>
      </c>
      <c r="C25" s="247">
        <v>51.8</v>
      </c>
      <c r="D25" s="247">
        <v>54.7</v>
      </c>
      <c r="S25" s="248"/>
    </row>
    <row r="26" spans="1:19" x14ac:dyDescent="0.2">
      <c r="A26" s="254">
        <v>44074</v>
      </c>
      <c r="B26" s="247">
        <v>51.9</v>
      </c>
      <c r="C26" s="247">
        <v>51.7</v>
      </c>
      <c r="D26" s="247">
        <v>50.5</v>
      </c>
      <c r="S26" s="248"/>
    </row>
    <row r="27" spans="1:19" x14ac:dyDescent="0.2">
      <c r="A27" s="254">
        <v>44104</v>
      </c>
      <c r="B27" s="247">
        <v>50.4</v>
      </c>
      <c r="C27" s="247">
        <v>53.7</v>
      </c>
      <c r="D27" s="247">
        <v>48</v>
      </c>
      <c r="S27" s="248"/>
    </row>
    <row r="28" spans="1:19" x14ac:dyDescent="0.2">
      <c r="A28" s="254">
        <v>44135</v>
      </c>
      <c r="B28" s="247">
        <v>50</v>
      </c>
      <c r="C28" s="247">
        <v>54.8</v>
      </c>
      <c r="D28" s="247">
        <v>46.9</v>
      </c>
      <c r="S28" s="248"/>
    </row>
    <row r="29" spans="1:19" x14ac:dyDescent="0.2">
      <c r="A29" s="254">
        <v>44165</v>
      </c>
      <c r="B29" s="247">
        <v>45.3</v>
      </c>
      <c r="C29" s="247">
        <v>53.8</v>
      </c>
      <c r="D29" s="247">
        <v>41.7</v>
      </c>
      <c r="S29" s="248"/>
    </row>
    <row r="30" spans="1:19" x14ac:dyDescent="0.2">
      <c r="A30" s="254">
        <v>44196</v>
      </c>
      <c r="B30" s="247">
        <v>49.1</v>
      </c>
      <c r="C30" s="247">
        <v>55.2</v>
      </c>
      <c r="D30" s="247">
        <v>46.4</v>
      </c>
      <c r="S30" s="248"/>
    </row>
    <row r="31" spans="1:19" x14ac:dyDescent="0.2">
      <c r="A31" s="254">
        <v>44227</v>
      </c>
      <c r="B31" s="247">
        <v>47.8</v>
      </c>
      <c r="C31" s="247">
        <v>54.8</v>
      </c>
      <c r="D31" s="247">
        <v>45.4</v>
      </c>
      <c r="S31" s="248"/>
    </row>
    <row r="32" spans="1:19" x14ac:dyDescent="0.2">
      <c r="A32" s="254">
        <v>44255</v>
      </c>
      <c r="B32" s="247">
        <v>48.8</v>
      </c>
      <c r="C32" s="247">
        <v>57.9</v>
      </c>
      <c r="D32" s="247">
        <v>45.7</v>
      </c>
      <c r="S32" s="248"/>
    </row>
    <row r="33" spans="1:19" x14ac:dyDescent="0.2">
      <c r="A33" s="254">
        <v>44286</v>
      </c>
      <c r="B33" s="247">
        <v>53.2</v>
      </c>
      <c r="C33" s="247">
        <v>62.5</v>
      </c>
      <c r="D33" s="247">
        <v>49.6</v>
      </c>
      <c r="S33" s="248"/>
    </row>
    <row r="34" spans="1:19" x14ac:dyDescent="0.2">
      <c r="A34" s="254">
        <v>44316</v>
      </c>
      <c r="B34" s="247">
        <v>53.8</v>
      </c>
      <c r="C34" s="247">
        <v>62.9</v>
      </c>
      <c r="D34" s="247">
        <v>50.5</v>
      </c>
      <c r="S34" s="248"/>
    </row>
    <row r="35" spans="1:19" x14ac:dyDescent="0.2">
      <c r="A35" s="254">
        <v>44347</v>
      </c>
      <c r="B35" s="247">
        <v>57.1</v>
      </c>
      <c r="C35" s="247">
        <v>63.1</v>
      </c>
      <c r="D35" s="247">
        <v>55.2</v>
      </c>
      <c r="S35" s="248"/>
    </row>
    <row r="36" spans="1:19" x14ac:dyDescent="0.2">
      <c r="A36" s="254">
        <v>44377</v>
      </c>
      <c r="B36" s="247">
        <v>59.5</v>
      </c>
      <c r="C36" s="247">
        <v>63.4</v>
      </c>
      <c r="D36" s="247">
        <v>58.3</v>
      </c>
      <c r="K36" s="255" t="s">
        <v>826</v>
      </c>
      <c r="S36" s="248"/>
    </row>
    <row r="37" spans="1:19" x14ac:dyDescent="0.2">
      <c r="A37" s="254">
        <v>44408</v>
      </c>
      <c r="B37" s="247">
        <v>60.2</v>
      </c>
      <c r="C37" s="247">
        <v>62.8</v>
      </c>
      <c r="D37" s="247">
        <v>59.8</v>
      </c>
      <c r="S37" s="248"/>
    </row>
    <row r="38" spans="1:19" x14ac:dyDescent="0.2">
      <c r="A38" s="254">
        <v>44439</v>
      </c>
      <c r="B38" s="247">
        <v>59</v>
      </c>
      <c r="C38" s="247">
        <v>61.4</v>
      </c>
      <c r="D38" s="247">
        <v>59</v>
      </c>
      <c r="S38" s="248"/>
    </row>
    <row r="39" spans="1:19" x14ac:dyDescent="0.2">
      <c r="A39" s="254">
        <v>44469</v>
      </c>
      <c r="B39" s="247">
        <v>56.2</v>
      </c>
      <c r="C39" s="247">
        <v>58.6</v>
      </c>
      <c r="D39" s="247">
        <v>56.4</v>
      </c>
      <c r="S39" s="248"/>
    </row>
    <row r="40" spans="1:19" x14ac:dyDescent="0.2">
      <c r="A40" s="254">
        <v>44500</v>
      </c>
      <c r="B40" s="247">
        <v>54.2</v>
      </c>
      <c r="C40" s="247">
        <v>58.3</v>
      </c>
      <c r="D40" s="247">
        <v>54.6</v>
      </c>
      <c r="S40" s="248"/>
    </row>
    <row r="41" spans="1:19" x14ac:dyDescent="0.2">
      <c r="A41" s="254">
        <v>44530</v>
      </c>
      <c r="B41" s="247">
        <v>55.4</v>
      </c>
      <c r="C41" s="247">
        <v>58.4</v>
      </c>
      <c r="D41" s="247">
        <v>55.9</v>
      </c>
      <c r="S41" s="248"/>
    </row>
    <row r="42" spans="1:19" x14ac:dyDescent="0.2">
      <c r="A42" s="254">
        <v>44561</v>
      </c>
      <c r="B42" s="247">
        <v>53.3</v>
      </c>
      <c r="C42" s="247">
        <v>58</v>
      </c>
      <c r="D42" s="247">
        <v>53.1</v>
      </c>
      <c r="S42" s="248"/>
    </row>
    <row r="43" spans="1:19" x14ac:dyDescent="0.2">
      <c r="A43" s="254">
        <v>44592</v>
      </c>
      <c r="B43" s="247">
        <v>52.3</v>
      </c>
      <c r="C43" s="247">
        <v>58.7</v>
      </c>
      <c r="D43" s="247">
        <v>51.1</v>
      </c>
      <c r="S43" s="248"/>
    </row>
    <row r="44" spans="1:19" x14ac:dyDescent="0.2">
      <c r="A44" s="254">
        <v>44620</v>
      </c>
      <c r="B44" s="247">
        <v>55.5</v>
      </c>
      <c r="C44" s="247">
        <v>58.2</v>
      </c>
      <c r="D44" s="247">
        <v>55.5</v>
      </c>
      <c r="S44" s="248"/>
    </row>
    <row r="45" spans="1:19" x14ac:dyDescent="0.2">
      <c r="A45" s="254">
        <v>44651</v>
      </c>
      <c r="B45" s="247">
        <v>54.9</v>
      </c>
      <c r="C45" s="247">
        <v>56.5</v>
      </c>
      <c r="D45" s="247">
        <v>55.6</v>
      </c>
      <c r="S45" s="248"/>
    </row>
    <row r="46" spans="1:19" x14ac:dyDescent="0.2">
      <c r="A46" s="254">
        <v>44681</v>
      </c>
      <c r="B46" s="247">
        <v>55.8</v>
      </c>
      <c r="C46" s="247">
        <v>55.5</v>
      </c>
      <c r="D46" s="247">
        <v>57.7</v>
      </c>
      <c r="S46" s="248"/>
    </row>
    <row r="47" spans="1:19" x14ac:dyDescent="0.2">
      <c r="A47" s="254">
        <v>44712</v>
      </c>
      <c r="B47" s="247">
        <v>54.8</v>
      </c>
      <c r="C47" s="247">
        <v>54.6</v>
      </c>
      <c r="D47" s="247">
        <v>56.1</v>
      </c>
      <c r="S47" s="248"/>
    </row>
    <row r="48" spans="1:19" x14ac:dyDescent="0.2">
      <c r="A48" s="254">
        <v>44742</v>
      </c>
      <c r="B48" s="247">
        <v>52</v>
      </c>
      <c r="C48" s="247">
        <v>52.1</v>
      </c>
      <c r="D48" s="247">
        <v>53</v>
      </c>
      <c r="S48" s="248"/>
    </row>
    <row r="49" spans="1:19" x14ac:dyDescent="0.2">
      <c r="A49" s="254">
        <v>44773</v>
      </c>
      <c r="B49" s="247">
        <v>49.9</v>
      </c>
      <c r="C49" s="247">
        <v>49.8</v>
      </c>
      <c r="D49" s="247">
        <v>51.2</v>
      </c>
      <c r="S49" s="248"/>
    </row>
    <row r="50" spans="1:19" x14ac:dyDescent="0.2">
      <c r="A50" s="254">
        <v>44804</v>
      </c>
      <c r="B50" s="247">
        <v>48.9</v>
      </c>
      <c r="C50" s="247">
        <v>49.6</v>
      </c>
      <c r="D50" s="247">
        <v>49.8</v>
      </c>
      <c r="S50" s="248"/>
    </row>
    <row r="51" spans="1:19" x14ac:dyDescent="0.2">
      <c r="A51" s="254">
        <v>44834</v>
      </c>
      <c r="B51" s="247">
        <v>48.1</v>
      </c>
      <c r="C51" s="247">
        <v>48.4</v>
      </c>
      <c r="D51" s="247">
        <v>48.8</v>
      </c>
      <c r="S51" s="248"/>
    </row>
    <row r="52" spans="1:19" x14ac:dyDescent="0.2">
      <c r="A52" s="254">
        <v>44865</v>
      </c>
      <c r="B52" s="247">
        <v>47.3</v>
      </c>
      <c r="C52" s="247">
        <v>46.4</v>
      </c>
      <c r="D52" s="247">
        <v>48.6</v>
      </c>
      <c r="S52" s="248"/>
    </row>
    <row r="53" spans="1:19" x14ac:dyDescent="0.2">
      <c r="A53" s="254">
        <v>44895</v>
      </c>
      <c r="B53" s="247">
        <v>47.8</v>
      </c>
      <c r="C53" s="247">
        <v>47.1</v>
      </c>
      <c r="D53" s="247">
        <v>48.5</v>
      </c>
      <c r="S53" s="248"/>
    </row>
    <row r="54" spans="1:19" x14ac:dyDescent="0.2">
      <c r="A54" s="254">
        <v>44926</v>
      </c>
      <c r="B54" s="247">
        <v>49.3</v>
      </c>
      <c r="C54" s="247">
        <v>47.8</v>
      </c>
      <c r="D54" s="247">
        <v>49.8</v>
      </c>
      <c r="S54" s="248"/>
    </row>
    <row r="55" spans="1:19" x14ac:dyDescent="0.2">
      <c r="A55" s="254">
        <v>44957</v>
      </c>
      <c r="B55" s="247">
        <v>50.3</v>
      </c>
      <c r="C55" s="247">
        <v>48.8</v>
      </c>
      <c r="D55" s="247">
        <v>50.8</v>
      </c>
      <c r="S55" s="248"/>
    </row>
    <row r="56" spans="1:19" x14ac:dyDescent="0.2">
      <c r="A56" s="254">
        <v>44985</v>
      </c>
      <c r="B56" s="247">
        <v>52</v>
      </c>
      <c r="C56" s="247">
        <v>48.5</v>
      </c>
      <c r="D56" s="247">
        <v>52.7</v>
      </c>
      <c r="S56" s="248"/>
    </row>
    <row r="57" spans="1:19" x14ac:dyDescent="0.2">
      <c r="A57" s="254">
        <v>45016</v>
      </c>
      <c r="B57" s="247">
        <v>53.7</v>
      </c>
      <c r="C57" s="247">
        <v>47.3</v>
      </c>
      <c r="D57" s="247">
        <v>55</v>
      </c>
      <c r="S57" s="248"/>
    </row>
    <row r="58" spans="1:19" x14ac:dyDescent="0.2">
      <c r="A58" s="254">
        <v>45046</v>
      </c>
      <c r="B58" s="247">
        <v>54.1</v>
      </c>
      <c r="C58" s="247">
        <v>45.8</v>
      </c>
      <c r="D58" s="247">
        <v>56.2</v>
      </c>
      <c r="S58" s="248"/>
    </row>
    <row r="59" spans="1:19" x14ac:dyDescent="0.2">
      <c r="A59" s="254">
        <v>45077</v>
      </c>
      <c r="B59" s="247">
        <v>52.8</v>
      </c>
      <c r="C59" s="247">
        <v>44.8</v>
      </c>
      <c r="D59" s="247">
        <v>55.1</v>
      </c>
      <c r="S59" s="248"/>
    </row>
    <row r="60" spans="1:19" x14ac:dyDescent="0.2">
      <c r="A60" s="254">
        <v>45107</v>
      </c>
      <c r="B60" s="247">
        <v>49.9</v>
      </c>
      <c r="C60" s="247">
        <v>43.4</v>
      </c>
      <c r="D60" s="247">
        <v>52</v>
      </c>
      <c r="S60" s="248"/>
    </row>
    <row r="61" spans="1:19" x14ac:dyDescent="0.2">
      <c r="A61" s="254">
        <v>45138</v>
      </c>
      <c r="B61" s="247">
        <v>48.6</v>
      </c>
      <c r="C61" s="247">
        <v>42.7</v>
      </c>
      <c r="D61" s="247">
        <v>50.9</v>
      </c>
      <c r="S61" s="248"/>
    </row>
    <row r="62" spans="1:19" x14ac:dyDescent="0.2">
      <c r="A62" s="254">
        <v>45169</v>
      </c>
      <c r="B62" s="247">
        <v>46.7</v>
      </c>
      <c r="C62" s="247">
        <v>43.5</v>
      </c>
      <c r="D62" s="247">
        <v>47.9</v>
      </c>
      <c r="S62" s="248"/>
    </row>
    <row r="63" spans="1:19" x14ac:dyDescent="0.2">
      <c r="A63" s="254">
        <v>45199</v>
      </c>
      <c r="B63" s="247">
        <v>47.2</v>
      </c>
      <c r="C63" s="247">
        <v>43.4</v>
      </c>
      <c r="D63" s="247">
        <v>48.7</v>
      </c>
      <c r="S63" s="248"/>
    </row>
    <row r="64" spans="1:19" x14ac:dyDescent="0.2">
      <c r="A64" s="254">
        <v>45230</v>
      </c>
      <c r="B64" s="247">
        <v>46.5</v>
      </c>
      <c r="C64" s="247">
        <v>43.1</v>
      </c>
      <c r="D64" s="247">
        <v>47.8</v>
      </c>
      <c r="S64" s="248"/>
    </row>
    <row r="65" spans="1:19" x14ac:dyDescent="0.2">
      <c r="A65" s="254">
        <v>45260</v>
      </c>
      <c r="B65" s="247">
        <v>47.6</v>
      </c>
      <c r="C65" s="247">
        <v>44.2</v>
      </c>
      <c r="D65" s="247">
        <v>48.7</v>
      </c>
      <c r="S65" s="248"/>
    </row>
    <row r="66" spans="1:19" x14ac:dyDescent="0.2">
      <c r="A66" s="254">
        <v>45291</v>
      </c>
      <c r="B66" s="247">
        <v>47.6</v>
      </c>
      <c r="C66" s="247">
        <v>44.4</v>
      </c>
      <c r="D66" s="247">
        <v>48.8</v>
      </c>
      <c r="S66" s="248"/>
    </row>
    <row r="67" spans="1:19" x14ac:dyDescent="0.2">
      <c r="A67" s="254">
        <v>45322</v>
      </c>
      <c r="B67" s="247">
        <v>47.9</v>
      </c>
      <c r="C67" s="247">
        <v>46.6</v>
      </c>
      <c r="D67" s="247">
        <v>48.4</v>
      </c>
      <c r="S67" s="248"/>
    </row>
    <row r="68" spans="1:19" x14ac:dyDescent="0.2">
      <c r="A68" s="254">
        <v>45351</v>
      </c>
      <c r="B68" s="247">
        <v>49.2</v>
      </c>
      <c r="C68" s="247">
        <v>46.5</v>
      </c>
      <c r="D68" s="247">
        <v>50.2</v>
      </c>
    </row>
    <row r="69" spans="1:19" x14ac:dyDescent="0.2">
      <c r="A69" s="254">
        <v>45382</v>
      </c>
      <c r="B69" s="247">
        <v>50.3</v>
      </c>
      <c r="C69" s="247">
        <v>46.1</v>
      </c>
      <c r="D69" s="247">
        <v>51.5</v>
      </c>
    </row>
    <row r="70" spans="1:19" x14ac:dyDescent="0.2">
      <c r="A70" s="254">
        <v>45412</v>
      </c>
      <c r="B70" s="247">
        <v>51.7</v>
      </c>
      <c r="C70" s="247">
        <v>45.7</v>
      </c>
      <c r="D70" s="247">
        <v>53.3</v>
      </c>
    </row>
    <row r="71" spans="1:19" x14ac:dyDescent="0.2">
      <c r="A71" s="254">
        <v>45443</v>
      </c>
      <c r="B71" s="247">
        <v>52.2</v>
      </c>
      <c r="C71" s="247">
        <v>47.3</v>
      </c>
      <c r="D71" s="247">
        <v>53.2</v>
      </c>
    </row>
    <row r="72" spans="1:19" x14ac:dyDescent="0.2">
      <c r="A72" s="254">
        <v>45473</v>
      </c>
      <c r="B72" s="247">
        <v>50.9</v>
      </c>
      <c r="C72" s="247">
        <v>45.8</v>
      </c>
      <c r="D72" s="247">
        <v>52.8</v>
      </c>
    </row>
    <row r="73" spans="1:19" x14ac:dyDescent="0.2">
      <c r="A73" s="254">
        <v>45504</v>
      </c>
      <c r="B73" s="247">
        <v>50.2</v>
      </c>
      <c r="C73" s="247">
        <v>45.8</v>
      </c>
      <c r="D73" s="247">
        <v>51.9</v>
      </c>
    </row>
    <row r="74" spans="1:19" x14ac:dyDescent="0.2">
      <c r="A74" s="254">
        <v>45535</v>
      </c>
      <c r="B74" s="247">
        <v>51</v>
      </c>
      <c r="C74" s="247">
        <v>45.8</v>
      </c>
      <c r="D74" s="247">
        <v>52.9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583A-2755-4348-A2ED-DCBBD2749DE1}">
  <dimension ref="A5:L50"/>
  <sheetViews>
    <sheetView zoomScaleNormal="100" workbookViewId="0"/>
  </sheetViews>
  <sheetFormatPr defaultColWidth="8.85546875" defaultRowHeight="12.75" x14ac:dyDescent="0.2"/>
  <cols>
    <col min="1" max="1" width="12.5703125" style="258" bestFit="1" customWidth="1"/>
    <col min="2" max="2" width="12.7109375" style="258" bestFit="1" customWidth="1"/>
    <col min="3" max="3" width="20" style="258" bestFit="1" customWidth="1"/>
    <col min="4" max="4" width="13.140625" style="258" bestFit="1" customWidth="1"/>
    <col min="5" max="5" width="20.28515625" style="258" bestFit="1" customWidth="1"/>
    <col min="6" max="16384" width="8.85546875" style="258"/>
  </cols>
  <sheetData>
    <row r="5" spans="1:7" x14ac:dyDescent="0.2">
      <c r="A5" s="256"/>
      <c r="B5" s="257" t="s">
        <v>626</v>
      </c>
      <c r="C5" s="257" t="s">
        <v>631</v>
      </c>
      <c r="D5" s="257" t="s">
        <v>624</v>
      </c>
      <c r="E5" s="257" t="s">
        <v>625</v>
      </c>
    </row>
    <row r="6" spans="1:7" ht="13.5" thickBot="1" x14ac:dyDescent="0.25">
      <c r="A6" s="259"/>
      <c r="B6" s="260" t="s">
        <v>609</v>
      </c>
      <c r="C6" s="260" t="s">
        <v>610</v>
      </c>
      <c r="D6" s="260" t="s">
        <v>611</v>
      </c>
      <c r="E6" s="260" t="s">
        <v>612</v>
      </c>
      <c r="G6" s="245" t="s">
        <v>847</v>
      </c>
    </row>
    <row r="7" spans="1:7" x14ac:dyDescent="0.2">
      <c r="A7" s="261">
        <f>[84]EA!A436</f>
        <v>44227</v>
      </c>
      <c r="B7" s="258">
        <f>[84]EA!D436</f>
        <v>-13.9</v>
      </c>
      <c r="C7" s="258">
        <f>[84]EA!E436</f>
        <v>-19.600000000000001</v>
      </c>
      <c r="D7" s="258">
        <f>[84]DE!D436</f>
        <v>-6.5</v>
      </c>
      <c r="E7" s="258">
        <f>[84]DE!E436</f>
        <v>-13.1</v>
      </c>
      <c r="G7" s="262"/>
    </row>
    <row r="8" spans="1:7" x14ac:dyDescent="0.2">
      <c r="A8" s="261">
        <f>[84]EA!A437</f>
        <v>44255</v>
      </c>
      <c r="B8" s="258">
        <f>[84]EA!D437</f>
        <v>-12.8</v>
      </c>
      <c r="C8" s="258">
        <f>[84]EA!E437</f>
        <v>-16.399999999999999</v>
      </c>
      <c r="D8" s="258">
        <f>[84]DE!D437</f>
        <v>-2.5</v>
      </c>
      <c r="E8" s="258">
        <f>[84]DE!E437</f>
        <v>-8.6999999999999993</v>
      </c>
      <c r="G8" s="195"/>
    </row>
    <row r="9" spans="1:7" x14ac:dyDescent="0.2">
      <c r="A9" s="261">
        <f>[84]EA!A438</f>
        <v>44286</v>
      </c>
      <c r="B9" s="258">
        <f>[84]EA!D438</f>
        <v>-7.7</v>
      </c>
      <c r="C9" s="258">
        <f>[84]EA!E438</f>
        <v>-11.1</v>
      </c>
      <c r="D9" s="258">
        <f>[84]DE!D438</f>
        <v>6</v>
      </c>
      <c r="E9" s="258">
        <f>[84]DE!E438</f>
        <v>0.2</v>
      </c>
    </row>
    <row r="10" spans="1:7" x14ac:dyDescent="0.2">
      <c r="A10" s="261">
        <f>[84]EA!A439</f>
        <v>44316</v>
      </c>
      <c r="B10" s="258">
        <f>[84]EA!D439</f>
        <v>-0.8</v>
      </c>
      <c r="C10" s="258">
        <f>[84]EA!E439</f>
        <v>-3.1</v>
      </c>
      <c r="D10" s="258">
        <f>[84]DE!D439</f>
        <v>12.1</v>
      </c>
      <c r="E10" s="258">
        <f>[84]DE!E439</f>
        <v>5</v>
      </c>
    </row>
    <row r="11" spans="1:7" x14ac:dyDescent="0.2">
      <c r="A11" s="261">
        <f>[84]EA!A440</f>
        <v>44347</v>
      </c>
      <c r="B11" s="258">
        <f>[84]EA!D440</f>
        <v>4.9000000000000004</v>
      </c>
      <c r="C11" s="258">
        <f>[84]EA!E440</f>
        <v>0.8</v>
      </c>
      <c r="D11" s="258">
        <f>[84]DE!D440</f>
        <v>17.3</v>
      </c>
      <c r="E11" s="258">
        <f>[84]DE!E440</f>
        <v>11.4</v>
      </c>
    </row>
    <row r="12" spans="1:7" x14ac:dyDescent="0.2">
      <c r="A12" s="261">
        <f>[84]EA!A441</f>
        <v>44377</v>
      </c>
      <c r="B12" s="258">
        <f>[84]EA!D441</f>
        <v>9.5</v>
      </c>
      <c r="C12" s="258">
        <f>[84]EA!E441</f>
        <v>1.9</v>
      </c>
      <c r="D12" s="258">
        <f>[84]DE!D441</f>
        <v>23.7</v>
      </c>
      <c r="E12" s="258">
        <f>[84]DE!E441</f>
        <v>15.6</v>
      </c>
    </row>
    <row r="13" spans="1:7" x14ac:dyDescent="0.2">
      <c r="A13" s="261">
        <f>[84]EA!A442</f>
        <v>44408</v>
      </c>
      <c r="B13" s="258">
        <f>[84]EA!D442</f>
        <v>12.4</v>
      </c>
      <c r="C13" s="258">
        <f>[84]EA!E442</f>
        <v>6.4</v>
      </c>
      <c r="D13" s="258">
        <f>[84]DE!D442</f>
        <v>26.6</v>
      </c>
      <c r="E13" s="258">
        <f>[84]DE!E442</f>
        <v>16.100000000000001</v>
      </c>
    </row>
    <row r="14" spans="1:7" x14ac:dyDescent="0.2">
      <c r="A14" s="261">
        <f>[84]EA!A443</f>
        <v>44439</v>
      </c>
      <c r="B14" s="258">
        <f>[84]EA!D443</f>
        <v>12.1</v>
      </c>
      <c r="C14" s="258">
        <f>[84]EA!E443</f>
        <v>5</v>
      </c>
      <c r="D14" s="258">
        <f>[84]DE!D443</f>
        <v>25.6</v>
      </c>
      <c r="E14" s="258">
        <f>[84]DE!E443</f>
        <v>15.8</v>
      </c>
    </row>
    <row r="15" spans="1:7" x14ac:dyDescent="0.2">
      <c r="A15" s="261">
        <f>[84]EA!A444</f>
        <v>44469</v>
      </c>
      <c r="B15" s="258">
        <f>[84]EA!D444</f>
        <v>12.3</v>
      </c>
      <c r="C15" s="258">
        <f>[84]EA!E444</f>
        <v>4</v>
      </c>
      <c r="D15" s="258">
        <f>[84]DE!D444</f>
        <v>27.6</v>
      </c>
      <c r="E15" s="258">
        <f>[84]DE!E444</f>
        <v>19.399999999999999</v>
      </c>
    </row>
    <row r="16" spans="1:7" x14ac:dyDescent="0.2">
      <c r="A16" s="261">
        <f>[84]EA!A445</f>
        <v>44500</v>
      </c>
      <c r="B16" s="258">
        <f>[84]EA!D445</f>
        <v>12.9</v>
      </c>
      <c r="C16" s="258">
        <f>[84]EA!E445</f>
        <v>3.6</v>
      </c>
      <c r="D16" s="258">
        <f>[84]DE!D445</f>
        <v>25.4</v>
      </c>
      <c r="E16" s="258">
        <f>[84]DE!E445</f>
        <v>16.5</v>
      </c>
    </row>
    <row r="17" spans="1:12" x14ac:dyDescent="0.2">
      <c r="A17" s="261">
        <f>[84]EA!A446</f>
        <v>44530</v>
      </c>
      <c r="B17" s="258">
        <f>[84]EA!D446</f>
        <v>14.7</v>
      </c>
      <c r="C17" s="258">
        <f>[84]EA!E446</f>
        <v>6.4</v>
      </c>
      <c r="D17" s="258">
        <f>[84]DE!D446</f>
        <v>27</v>
      </c>
      <c r="E17" s="258">
        <f>[84]DE!E446</f>
        <v>18.100000000000001</v>
      </c>
    </row>
    <row r="18" spans="1:12" x14ac:dyDescent="0.2">
      <c r="A18" s="261">
        <f>[84]EA!A447</f>
        <v>44561</v>
      </c>
      <c r="B18" s="258">
        <f>[84]EA!D447</f>
        <v>14.7</v>
      </c>
      <c r="C18" s="258">
        <f>[84]EA!E447</f>
        <v>4.2</v>
      </c>
      <c r="D18" s="258">
        <f>[84]DE!D447</f>
        <v>28.6</v>
      </c>
      <c r="E18" s="258">
        <f>[84]DE!E447</f>
        <v>20</v>
      </c>
    </row>
    <row r="19" spans="1:12" x14ac:dyDescent="0.2">
      <c r="A19" s="261">
        <f>[84]EA!A448</f>
        <v>44592</v>
      </c>
      <c r="B19" s="258">
        <f>[84]EA!D448</f>
        <v>13.9</v>
      </c>
      <c r="C19" s="258">
        <f>[84]EA!E448</f>
        <v>7.4</v>
      </c>
      <c r="D19" s="258">
        <f>[84]DE!D448</f>
        <v>28.2</v>
      </c>
      <c r="E19" s="258">
        <f>[84]DE!E448</f>
        <v>18.899999999999999</v>
      </c>
    </row>
    <row r="20" spans="1:12" x14ac:dyDescent="0.2">
      <c r="A20" s="261">
        <f>[84]EA!A449</f>
        <v>44620</v>
      </c>
      <c r="B20" s="258">
        <f>[84]EA!D449</f>
        <v>14.1</v>
      </c>
      <c r="C20" s="258">
        <f>[84]EA!E449</f>
        <v>8.4</v>
      </c>
      <c r="D20" s="258">
        <f>[84]DE!D449</f>
        <v>27.9</v>
      </c>
      <c r="E20" s="258">
        <f>[84]DE!E449</f>
        <v>19.3</v>
      </c>
      <c r="L20" s="255" t="s">
        <v>827</v>
      </c>
    </row>
    <row r="21" spans="1:12" x14ac:dyDescent="0.2">
      <c r="A21" s="261">
        <f>[84]EA!A450</f>
        <v>44651</v>
      </c>
      <c r="B21" s="258">
        <f>[84]EA!D450</f>
        <v>13</v>
      </c>
      <c r="C21" s="258">
        <f>[84]EA!E450</f>
        <v>6.1</v>
      </c>
      <c r="D21" s="258">
        <f>[84]DE!D450</f>
        <v>29.2</v>
      </c>
      <c r="E21" s="258">
        <f>[84]DE!E450</f>
        <v>18.399999999999999</v>
      </c>
    </row>
    <row r="22" spans="1:12" x14ac:dyDescent="0.2">
      <c r="A22" s="261">
        <f>[84]EA!A451</f>
        <v>44681</v>
      </c>
      <c r="B22" s="258">
        <f>[84]EA!D451</f>
        <v>12.9</v>
      </c>
      <c r="C22" s="258">
        <f>[84]EA!E451</f>
        <v>7.7</v>
      </c>
      <c r="D22" s="258">
        <f>[84]DE!D451</f>
        <v>29.8</v>
      </c>
      <c r="E22" s="258">
        <f>[84]DE!E451</f>
        <v>17.8</v>
      </c>
    </row>
    <row r="23" spans="1:12" x14ac:dyDescent="0.2">
      <c r="A23" s="261">
        <f>[84]EA!A452</f>
        <v>44712</v>
      </c>
      <c r="B23" s="258">
        <f>[84]EA!D452</f>
        <v>7.7</v>
      </c>
      <c r="C23" s="258">
        <f>[84]EA!E452</f>
        <v>0.4</v>
      </c>
      <c r="D23" s="258">
        <f>[84]DE!D452</f>
        <v>20.8</v>
      </c>
      <c r="E23" s="258">
        <f>[84]DE!E452</f>
        <v>11.1</v>
      </c>
      <c r="G23" s="245" t="s">
        <v>848</v>
      </c>
    </row>
    <row r="24" spans="1:12" x14ac:dyDescent="0.2">
      <c r="A24" s="261">
        <f>[84]EA!A453</f>
        <v>44742</v>
      </c>
      <c r="B24" s="258">
        <f>[84]EA!D453</f>
        <v>9.6999999999999993</v>
      </c>
      <c r="C24" s="258">
        <f>[84]EA!E453</f>
        <v>5.0999999999999996</v>
      </c>
      <c r="D24" s="258">
        <f>[84]DE!D453</f>
        <v>22.9</v>
      </c>
      <c r="E24" s="258">
        <f>[84]DE!E453</f>
        <v>12.7</v>
      </c>
    </row>
    <row r="25" spans="1:12" x14ac:dyDescent="0.2">
      <c r="A25" s="261">
        <f>[84]EA!A454</f>
        <v>44773</v>
      </c>
      <c r="B25" s="258">
        <f>[84]EA!D454</f>
        <v>5.5</v>
      </c>
      <c r="C25" s="258">
        <f>[84]EA!E454</f>
        <v>0.3</v>
      </c>
      <c r="D25" s="258">
        <f>[84]DE!D454</f>
        <v>22.5</v>
      </c>
      <c r="E25" s="258">
        <f>[84]DE!E454</f>
        <v>14.8</v>
      </c>
    </row>
    <row r="26" spans="1:12" x14ac:dyDescent="0.2">
      <c r="A26" s="261">
        <f>[84]EA!A455</f>
        <v>44804</v>
      </c>
      <c r="B26" s="258">
        <f>[84]EA!D455</f>
        <v>2.2999999999999998</v>
      </c>
      <c r="C26" s="258">
        <f>[84]EA!E455</f>
        <v>-3.7</v>
      </c>
      <c r="D26" s="258">
        <f>[84]DE!D455</f>
        <v>17.100000000000001</v>
      </c>
      <c r="E26" s="258">
        <f>[84]DE!E455</f>
        <v>9.5</v>
      </c>
    </row>
    <row r="27" spans="1:12" x14ac:dyDescent="0.2">
      <c r="A27" s="261">
        <f>[84]EA!A456</f>
        <v>44834</v>
      </c>
      <c r="B27" s="258">
        <f>[84]EA!D456</f>
        <v>2.2000000000000002</v>
      </c>
      <c r="C27" s="258">
        <f>[84]EA!E456</f>
        <v>-4.7</v>
      </c>
      <c r="D27" s="258">
        <f>[84]DE!D456</f>
        <v>16.100000000000001</v>
      </c>
      <c r="E27" s="258">
        <f>[84]DE!E456</f>
        <v>7</v>
      </c>
    </row>
    <row r="28" spans="1:12" x14ac:dyDescent="0.2">
      <c r="A28" s="261">
        <f>[84]EA!A457</f>
        <v>44865</v>
      </c>
      <c r="B28" s="258">
        <f>[84]EA!D457</f>
        <v>0.9</v>
      </c>
      <c r="C28" s="258">
        <f>[84]EA!E457</f>
        <v>-6.3</v>
      </c>
      <c r="D28" s="258">
        <f>[84]DE!D457</f>
        <v>14.3</v>
      </c>
      <c r="E28" s="258">
        <f>[84]DE!E457</f>
        <v>8.1</v>
      </c>
    </row>
    <row r="29" spans="1:12" x14ac:dyDescent="0.2">
      <c r="A29" s="261">
        <f>[84]EA!A458</f>
        <v>44895</v>
      </c>
      <c r="B29" s="258">
        <f>[84]EA!D458</f>
        <v>-2.2000000000000002</v>
      </c>
      <c r="C29" s="258">
        <f>[84]EA!E458</f>
        <v>-10.1</v>
      </c>
      <c r="D29" s="258">
        <f>[84]DE!D458</f>
        <v>12.2</v>
      </c>
      <c r="E29" s="258">
        <f>[84]DE!E458</f>
        <v>6.2</v>
      </c>
    </row>
    <row r="30" spans="1:12" x14ac:dyDescent="0.2">
      <c r="A30" s="261">
        <f>[84]EA!A459</f>
        <v>44926</v>
      </c>
      <c r="B30" s="258">
        <f>[84]EA!D459</f>
        <v>-2</v>
      </c>
      <c r="C30" s="258">
        <f>[84]EA!E459</f>
        <v>-11.4</v>
      </c>
      <c r="D30" s="258">
        <f>[84]DE!D459</f>
        <v>11</v>
      </c>
      <c r="E30" s="258">
        <f>[84]DE!E459</f>
        <v>2.9</v>
      </c>
    </row>
    <row r="31" spans="1:12" x14ac:dyDescent="0.2">
      <c r="A31" s="261">
        <f>[84]EA!A460</f>
        <v>44957</v>
      </c>
      <c r="B31" s="258">
        <f>[84]EA!D460</f>
        <v>-1.9</v>
      </c>
      <c r="C31" s="258">
        <f>[84]EA!E460</f>
        <v>-6.5</v>
      </c>
      <c r="D31" s="258">
        <f>[84]DE!D460</f>
        <v>7.7</v>
      </c>
      <c r="E31" s="258">
        <f>[84]DE!E460</f>
        <v>0</v>
      </c>
    </row>
    <row r="32" spans="1:12" x14ac:dyDescent="0.2">
      <c r="A32" s="261">
        <f>[84]EA!A461</f>
        <v>44985</v>
      </c>
      <c r="B32" s="258">
        <f>[84]EA!D461</f>
        <v>-1.7</v>
      </c>
      <c r="C32" s="258">
        <f>[84]EA!E461</f>
        <v>-6.2</v>
      </c>
      <c r="D32" s="258">
        <f>[84]DE!D461</f>
        <v>6.2</v>
      </c>
      <c r="E32" s="258">
        <f>[84]DE!E461</f>
        <v>0.7</v>
      </c>
    </row>
    <row r="33" spans="1:12" x14ac:dyDescent="0.2">
      <c r="A33" s="261">
        <f>[84]EA!A462</f>
        <v>45016</v>
      </c>
      <c r="B33" s="258">
        <f>[84]EA!D462</f>
        <v>-2.5</v>
      </c>
      <c r="C33" s="258">
        <f>[84]EA!E462</f>
        <v>-6</v>
      </c>
      <c r="D33" s="258">
        <f>[84]DE!D462</f>
        <v>3.5</v>
      </c>
      <c r="E33" s="258">
        <f>[84]DE!E462</f>
        <v>-1.1000000000000001</v>
      </c>
    </row>
    <row r="34" spans="1:12" x14ac:dyDescent="0.2">
      <c r="A34" s="261">
        <f>[84]EA!A463</f>
        <v>45046</v>
      </c>
      <c r="B34" s="258">
        <f>[84]EA!D463</f>
        <v>-5.7</v>
      </c>
      <c r="C34" s="258">
        <f>[84]EA!E463</f>
        <v>-5.3</v>
      </c>
      <c r="D34" s="258">
        <f>[84]DE!D463</f>
        <v>0.8</v>
      </c>
      <c r="E34" s="258">
        <f>[84]DE!E463</f>
        <v>-3.7</v>
      </c>
    </row>
    <row r="35" spans="1:12" x14ac:dyDescent="0.2">
      <c r="A35" s="261">
        <f>[84]EA!A464</f>
        <v>45077</v>
      </c>
      <c r="B35" s="258">
        <f>[84]EA!D464</f>
        <v>-9.3000000000000007</v>
      </c>
      <c r="C35" s="258">
        <f>[84]EA!E464</f>
        <v>-11</v>
      </c>
      <c r="D35" s="258">
        <f>[84]DE!D464</f>
        <v>-4</v>
      </c>
      <c r="E35" s="258">
        <f>[84]DE!E464</f>
        <v>-8.8000000000000007</v>
      </c>
      <c r="L35" s="255" t="s">
        <v>828</v>
      </c>
    </row>
    <row r="36" spans="1:12" x14ac:dyDescent="0.2">
      <c r="A36" s="261">
        <f>[84]EA!A465</f>
        <v>45107</v>
      </c>
      <c r="B36" s="258">
        <f>[84]EA!D465</f>
        <v>-12</v>
      </c>
      <c r="C36" s="258">
        <f>[84]EA!E465</f>
        <v>-12.5</v>
      </c>
      <c r="D36" s="258">
        <f>[84]DE!D465</f>
        <v>-10</v>
      </c>
      <c r="E36" s="258">
        <f>[84]DE!E465</f>
        <v>-10.9</v>
      </c>
    </row>
    <row r="37" spans="1:12" x14ac:dyDescent="0.2">
      <c r="A37" s="261">
        <f>[84]EA!A466</f>
        <v>45138</v>
      </c>
      <c r="B37" s="258">
        <f>[84]EA!D466</f>
        <v>-14.2</v>
      </c>
      <c r="C37" s="258">
        <f>[84]EA!E466</f>
        <v>-13.8</v>
      </c>
      <c r="D37" s="258">
        <f>[84]DE!D466</f>
        <v>-15.8</v>
      </c>
      <c r="E37" s="258">
        <f>[84]DE!E466</f>
        <v>-18.5</v>
      </c>
    </row>
    <row r="38" spans="1:12" x14ac:dyDescent="0.2">
      <c r="A38" s="261">
        <f>[84]EA!A467</f>
        <v>45169</v>
      </c>
      <c r="B38" s="258">
        <f>[84]EA!D467</f>
        <v>-17.899999999999999</v>
      </c>
      <c r="C38" s="258">
        <f>[84]EA!E467</f>
        <v>-20.7</v>
      </c>
      <c r="D38" s="258">
        <f>[84]DE!D467</f>
        <v>-22.1</v>
      </c>
      <c r="E38" s="258">
        <f>[84]DE!E467</f>
        <v>-23.4</v>
      </c>
    </row>
    <row r="39" spans="1:12" x14ac:dyDescent="0.2">
      <c r="A39" s="261">
        <f>[84]EA!A468</f>
        <v>45199</v>
      </c>
      <c r="B39" s="258">
        <f>[84]EA!D468</f>
        <v>-16.899999999999999</v>
      </c>
      <c r="C39" s="258">
        <f>[84]EA!E468</f>
        <v>-21.1</v>
      </c>
      <c r="D39" s="258">
        <f>[84]DE!D468</f>
        <v>-19.100000000000001</v>
      </c>
      <c r="E39" s="258">
        <f>[84]DE!E468</f>
        <v>-20.5</v>
      </c>
    </row>
    <row r="40" spans="1:12" x14ac:dyDescent="0.2">
      <c r="A40" s="261">
        <f>[84]EA!A469</f>
        <v>45230</v>
      </c>
      <c r="B40" s="258">
        <f>[84]EA!D469</f>
        <v>-17.8</v>
      </c>
      <c r="C40" s="258">
        <f>[84]EA!E469</f>
        <v>-20</v>
      </c>
      <c r="D40" s="258">
        <f>[84]DE!D469</f>
        <v>-22.1</v>
      </c>
      <c r="E40" s="258">
        <f>[84]DE!E469</f>
        <v>-23.5</v>
      </c>
    </row>
    <row r="41" spans="1:12" x14ac:dyDescent="0.2">
      <c r="A41" s="261">
        <f>[84]EA!A470</f>
        <v>45260</v>
      </c>
      <c r="B41" s="258">
        <f>[84]EA!D470</f>
        <v>-18.3</v>
      </c>
      <c r="C41" s="258">
        <f>[84]EA!E470</f>
        <v>-22.6</v>
      </c>
      <c r="D41" s="258">
        <f>[84]DE!D470</f>
        <v>-22.6</v>
      </c>
      <c r="E41" s="258">
        <f>[84]DE!E470</f>
        <v>-24.5</v>
      </c>
    </row>
    <row r="42" spans="1:12" x14ac:dyDescent="0.2">
      <c r="A42" s="261">
        <f>[84]EA!A471</f>
        <v>45291</v>
      </c>
      <c r="B42" s="258">
        <f>[84]EA!D471</f>
        <v>-19.8</v>
      </c>
      <c r="C42" s="258">
        <f>[84]EA!E471</f>
        <v>-24.5</v>
      </c>
      <c r="D42" s="258">
        <f>[84]DE!D471</f>
        <v>-24.6</v>
      </c>
      <c r="E42" s="258">
        <f>[84]DE!E471</f>
        <v>-26.6</v>
      </c>
    </row>
    <row r="43" spans="1:12" x14ac:dyDescent="0.2">
      <c r="A43" s="261">
        <f>[84]EA!A472</f>
        <v>45322</v>
      </c>
      <c r="B43" s="258">
        <f>[84]EA!D472</f>
        <v>-20.2</v>
      </c>
      <c r="C43" s="258">
        <f>[84]EA!E472</f>
        <v>-21.1</v>
      </c>
      <c r="D43" s="258">
        <f>[84]DE!D472</f>
        <v>-26.4</v>
      </c>
      <c r="E43" s="258">
        <f>[84]DE!E472</f>
        <v>-29</v>
      </c>
    </row>
    <row r="44" spans="1:12" x14ac:dyDescent="0.2">
      <c r="A44" s="261">
        <f>[84]EA!A473</f>
        <v>45351</v>
      </c>
      <c r="B44" s="258">
        <f>[84]EA!D473</f>
        <v>-20.3</v>
      </c>
      <c r="C44" s="258">
        <f>[84]EA!E473</f>
        <v>-21.8</v>
      </c>
      <c r="D44" s="258">
        <f>[84]DE!D473</f>
        <v>-27.9</v>
      </c>
      <c r="E44" s="258">
        <f>[84]DE!E473</f>
        <v>-29.5</v>
      </c>
    </row>
    <row r="45" spans="1:12" x14ac:dyDescent="0.2">
      <c r="A45" s="261">
        <f>[84]EA!A474</f>
        <v>45382</v>
      </c>
      <c r="B45" s="258">
        <f>[84]EA!D474</f>
        <v>-18.899999999999999</v>
      </c>
      <c r="C45" s="258">
        <f>[84]EA!E474</f>
        <v>-19.7</v>
      </c>
      <c r="D45" s="258">
        <f>[84]DE!D474</f>
        <v>-26.3</v>
      </c>
      <c r="E45" s="258">
        <f>[84]DE!E474</f>
        <v>-27.6</v>
      </c>
    </row>
    <row r="46" spans="1:12" x14ac:dyDescent="0.2">
      <c r="A46" s="261">
        <f>[84]EA!A475</f>
        <v>45412</v>
      </c>
      <c r="B46" s="258">
        <f>[84]EA!D475</f>
        <v>-23.5</v>
      </c>
      <c r="C46" s="258">
        <f>[84]EA!E475</f>
        <v>-19.899999999999999</v>
      </c>
      <c r="D46" s="258">
        <f>[84]DE!D475</f>
        <v>-32.5</v>
      </c>
      <c r="E46" s="258">
        <f>[84]DE!E475</f>
        <v>-30.9</v>
      </c>
    </row>
    <row r="47" spans="1:12" x14ac:dyDescent="0.2">
      <c r="A47" s="261">
        <v>45443</v>
      </c>
      <c r="B47" s="258">
        <v>-21.5</v>
      </c>
      <c r="C47" s="258">
        <v>-20.100000000000001</v>
      </c>
      <c r="D47" s="258">
        <v>-31.1</v>
      </c>
      <c r="E47" s="258">
        <v>-28.6</v>
      </c>
    </row>
    <row r="48" spans="1:12" x14ac:dyDescent="0.2">
      <c r="A48" s="261">
        <v>45473</v>
      </c>
      <c r="B48" s="258">
        <v>-22.1</v>
      </c>
      <c r="C48" s="258">
        <v>-19.600000000000001</v>
      </c>
      <c r="D48" s="258">
        <v>-28.6</v>
      </c>
      <c r="E48" s="258">
        <v>-26.9</v>
      </c>
    </row>
    <row r="49" spans="1:5" x14ac:dyDescent="0.2">
      <c r="A49" s="261">
        <v>45504</v>
      </c>
      <c r="B49" s="258">
        <v>-23.7</v>
      </c>
      <c r="C49" s="258">
        <v>-24.2</v>
      </c>
      <c r="D49" s="258">
        <v>-32.6</v>
      </c>
      <c r="E49" s="258">
        <v>-33.1</v>
      </c>
    </row>
    <row r="50" spans="1:5" x14ac:dyDescent="0.2">
      <c r="A50" s="261">
        <v>45535</v>
      </c>
      <c r="B50" s="258">
        <v>-23.5</v>
      </c>
      <c r="C50" s="258">
        <v>-24.9</v>
      </c>
      <c r="D50" s="258">
        <v>-36.799999999999997</v>
      </c>
      <c r="E50" s="258">
        <v>-34.700000000000003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38</vt:i4>
      </vt:variant>
      <vt:variant>
        <vt:lpstr>Pomenované rozsahy</vt:lpstr>
      </vt:variant>
      <vt:variant>
        <vt:i4>13</vt:i4>
      </vt:variant>
    </vt:vector>
  </HeadingPairs>
  <TitlesOfParts>
    <vt:vector size="51" baseType="lpstr">
      <vt:lpstr>Contents</vt:lpstr>
      <vt:lpstr>MMF_TABULKA</vt:lpstr>
      <vt:lpstr>Zhrnutie</vt:lpstr>
      <vt:lpstr>Graf 1</vt:lpstr>
      <vt:lpstr>Graf 2</vt:lpstr>
      <vt:lpstr>Graf 3</vt:lpstr>
      <vt:lpstr>Graf 4</vt:lpstr>
      <vt:lpstr>Graf 5</vt:lpstr>
      <vt:lpstr>Graf 6</vt:lpstr>
      <vt:lpstr>Graf 7</vt:lpstr>
      <vt:lpstr>Graf 8</vt:lpstr>
      <vt:lpstr>Graf 9</vt:lpstr>
      <vt:lpstr>Graf 10</vt:lpstr>
      <vt:lpstr>Graf 11 + Tabuľka 1</vt:lpstr>
      <vt:lpstr>Graf 12 + 13</vt:lpstr>
      <vt:lpstr>Graf 14</vt:lpstr>
      <vt:lpstr>Graf 15</vt:lpstr>
      <vt:lpstr>Tabuľka 2</vt:lpstr>
      <vt:lpstr>Graf 16</vt:lpstr>
      <vt:lpstr>Tabuľka 3</vt:lpstr>
      <vt:lpstr>Tabuľka 4</vt:lpstr>
      <vt:lpstr>Tabuľka 5</vt:lpstr>
      <vt:lpstr>Tabuľka 6</vt:lpstr>
      <vt:lpstr>Graf 17</vt:lpstr>
      <vt:lpstr>Graf 18 + 19</vt:lpstr>
      <vt:lpstr>Tabuľka 7</vt:lpstr>
      <vt:lpstr>Graf 20</vt:lpstr>
      <vt:lpstr>Graf 21</vt:lpstr>
      <vt:lpstr>Tabuľka 8</vt:lpstr>
      <vt:lpstr>Tabuľka 9</vt:lpstr>
      <vt:lpstr>Tabuľka 10</vt:lpstr>
      <vt:lpstr>Tabuľka 11</vt:lpstr>
      <vt:lpstr>Graf 22</vt:lpstr>
      <vt:lpstr>Tabuľka 12</vt:lpstr>
      <vt:lpstr>Tabuľka 13</vt:lpstr>
      <vt:lpstr>Tabuľka 14</vt:lpstr>
      <vt:lpstr>Tabuľka 15 + 16 (DRM &amp; DEM)</vt:lpstr>
      <vt:lpstr>mzda</vt:lpstr>
      <vt:lpstr>'Tabuľka 6'!_ftnref1</vt:lpstr>
      <vt:lpstr>'Tabuľka 2'!_Toc116561360</vt:lpstr>
      <vt:lpstr>'Graf 12 + 13'!_Toc116561390</vt:lpstr>
      <vt:lpstr>'Graf 10'!_Toc117765249</vt:lpstr>
      <vt:lpstr>'Graf 14'!_Toc117765255</vt:lpstr>
      <vt:lpstr>'Tabuľka 9'!_Toc495395955</vt:lpstr>
      <vt:lpstr>'Tabuľka 11'!_Toc495395979</vt:lpstr>
      <vt:lpstr>Zhrnutie!_Toc495423391</vt:lpstr>
      <vt:lpstr>'Tabuľka 13'!_Toc526688278</vt:lpstr>
      <vt:lpstr>'Tabuľka 10'!_Toc53414067</vt:lpstr>
      <vt:lpstr>'Tabuľka 12'!_Toc53414069</vt:lpstr>
      <vt:lpstr>'Tabuľka 14'!_Toc53500237</vt:lpstr>
      <vt:lpstr>'Graf 7'!Macrobond_Object1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2024-10-16T14:23:20Z</dcterms:modified>
</cp:coreProperties>
</file>