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Ex1.xml" ContentType="application/vnd.ms-office.chartex+xml"/>
  <Override PartName="/xl/charts/style9.xml" ContentType="application/vnd.ms-office.chartstyle+xml"/>
  <Override PartName="/xl/charts/colors9.xml" ContentType="application/vnd.ms-office.chartcolorstyle+xml"/>
  <Override PartName="/xl/theme/themeOverride5.xml" ContentType="application/vnd.openxmlformats-officedocument.themeOverride+xml"/>
  <Override PartName="/xl/charts/chartEx2.xml" ContentType="application/vnd.ms-office.chartex+xml"/>
  <Override PartName="/xl/charts/style10.xml" ContentType="application/vnd.ms-office.chartstyle+xml"/>
  <Override PartName="/xl/charts/colors10.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12.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9.xml" ContentType="application/vnd.openxmlformats-officedocument.themeOverride+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0.xml" ContentType="application/vnd.openxmlformats-officedocument.themeOverride+xml"/>
  <Override PartName="/xl/drawings/drawing10.xml" ContentType="application/vnd.openxmlformats-officedocument.drawing+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charts/chart1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7.xml" ContentType="application/vnd.openxmlformats-officedocument.drawingml.chart+xml"/>
  <Override PartName="/xl/theme/themeOverride11.xml" ContentType="application/vnd.openxmlformats-officedocument.themeOverride+xml"/>
  <Override PartName="/xl/charts/chart18.xml" ContentType="application/vnd.openxmlformats-officedocument.drawingml.chart+xml"/>
  <Override PartName="/xl/theme/themeOverride12.xml" ContentType="application/vnd.openxmlformats-officedocument.themeOverride+xml"/>
  <Override PartName="/xl/drawings/drawing13.xml" ContentType="application/vnd.openxmlformats-officedocument.drawing+xml"/>
  <Override PartName="/xl/charts/chart19.xml" ContentType="application/vnd.openxmlformats-officedocument.drawingml.chart+xml"/>
  <Override PartName="/xl/theme/themeOverride13.xml" ContentType="application/vnd.openxmlformats-officedocument.themeOverride+xml"/>
  <Override PartName="/xl/charts/chart20.xml" ContentType="application/vnd.openxmlformats-officedocument.drawingml.chart+xml"/>
  <Override PartName="/xl/theme/themeOverride14.xml" ContentType="application/vnd.openxmlformats-officedocument.themeOverride+xml"/>
  <Override PartName="/xl/drawings/drawing14.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6.xml" ContentType="application/vnd.openxmlformats-officedocument.drawing+xml"/>
  <Override PartName="/xl/charts/chart25.xml" ContentType="application/vnd.openxmlformats-officedocument.drawingml.chart+xml"/>
  <Override PartName="/xl/theme/themeOverride15.xml" ContentType="application/vnd.openxmlformats-officedocument.themeOverride+xml"/>
  <Override PartName="/xl/charts/chart26.xml" ContentType="application/vnd.openxmlformats-officedocument.drawingml.chart+xml"/>
  <Override PartName="/xl/theme/themeOverride16.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ento_zošit"/>
  <bookViews>
    <workbookView xWindow="0" yWindow="0" windowWidth="19200" windowHeight="6000" tabRatio="792" activeTab="1"/>
  </bookViews>
  <sheets>
    <sheet name="Contents" sheetId="250" r:id="rId1"/>
    <sheet name="MMF_TABULKA" sheetId="193" r:id="rId2"/>
    <sheet name="Zhrnutie" sheetId="253" r:id="rId3"/>
    <sheet name="Tabuľka 1" sheetId="164" r:id="rId4"/>
    <sheet name="Graf 1+2" sheetId="284" r:id="rId5"/>
    <sheet name="Graf 3" sheetId="285" r:id="rId6"/>
    <sheet name="Graf 4+5" sheetId="225" r:id="rId7"/>
    <sheet name="Graf 6" sheetId="270" r:id="rId8"/>
    <sheet name="Graf 7" sheetId="271" r:id="rId9"/>
    <sheet name="Tabuľka 2" sheetId="275" r:id="rId10"/>
    <sheet name="Graf 8" sheetId="260" r:id="rId11"/>
    <sheet name="Graf 9" sheetId="261" r:id="rId12"/>
    <sheet name="Graf 10" sheetId="262" r:id="rId13"/>
    <sheet name="Graf 11" sheetId="282" r:id="rId14"/>
    <sheet name="Graf 12" sheetId="286" r:id="rId15"/>
    <sheet name="Tabuľka 3" sheetId="123" r:id="rId16"/>
    <sheet name="Tabuľka 4" sheetId="196" r:id="rId17"/>
    <sheet name="Tabuľka 5" sheetId="229" r:id="rId18"/>
    <sheet name="DRM &amp; DEM" sheetId="20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A" localSheetId="4">#REF!</definedName>
    <definedName name="\A" localSheetId="14">#REF!</definedName>
    <definedName name="\A" localSheetId="5">#REF!</definedName>
    <definedName name="\A" localSheetId="10">#REF!</definedName>
    <definedName name="\A">#REF!</definedName>
    <definedName name="\B" localSheetId="4">#REF!</definedName>
    <definedName name="\B" localSheetId="14">#REF!</definedName>
    <definedName name="\B" localSheetId="5">#REF!</definedName>
    <definedName name="\B" localSheetId="6">#REF!</definedName>
    <definedName name="\B" localSheetId="10">#REF!</definedName>
    <definedName name="\B">#REF!</definedName>
    <definedName name="\C" localSheetId="4">#REF!</definedName>
    <definedName name="\C" localSheetId="14">#REF!</definedName>
    <definedName name="\C" localSheetId="5">#REF!</definedName>
    <definedName name="\C" localSheetId="6">#REF!</definedName>
    <definedName name="\C" localSheetId="10">#REF!</definedName>
    <definedName name="\C">#REF!</definedName>
    <definedName name="\D" localSheetId="4">#REF!</definedName>
    <definedName name="\D" localSheetId="14">#REF!</definedName>
    <definedName name="\D" localSheetId="5">#REF!</definedName>
    <definedName name="\D" localSheetId="10">#REF!</definedName>
    <definedName name="\D">#REF!</definedName>
    <definedName name="\E" localSheetId="4">#REF!</definedName>
    <definedName name="\E" localSheetId="14">#REF!</definedName>
    <definedName name="\E" localSheetId="5">#REF!</definedName>
    <definedName name="\E" localSheetId="10">#REF!</definedName>
    <definedName name="\E">#REF!</definedName>
    <definedName name="\F" localSheetId="4">#REF!</definedName>
    <definedName name="\F" localSheetId="14">#REF!</definedName>
    <definedName name="\F" localSheetId="5">#REF!</definedName>
    <definedName name="\F" localSheetId="10">#REF!</definedName>
    <definedName name="\F">#REF!</definedName>
    <definedName name="\G" localSheetId="4">#REF!</definedName>
    <definedName name="\G" localSheetId="14">#REF!</definedName>
    <definedName name="\G" localSheetId="5">#REF!</definedName>
    <definedName name="\G" localSheetId="10">#REF!</definedName>
    <definedName name="\G">#REF!</definedName>
    <definedName name="\H" localSheetId="4">#REF!</definedName>
    <definedName name="\H" localSheetId="14">#REF!</definedName>
    <definedName name="\H" localSheetId="5">#REF!</definedName>
    <definedName name="\H" localSheetId="10">#REF!</definedName>
    <definedName name="\H">#REF!</definedName>
    <definedName name="\I" localSheetId="4">#REF!</definedName>
    <definedName name="\I" localSheetId="14">#REF!</definedName>
    <definedName name="\I" localSheetId="5">#REF!</definedName>
    <definedName name="\I" localSheetId="10">#REF!</definedName>
    <definedName name="\I">#REF!</definedName>
    <definedName name="\J" localSheetId="4">#REF!</definedName>
    <definedName name="\J" localSheetId="14">#REF!</definedName>
    <definedName name="\J" localSheetId="5">#REF!</definedName>
    <definedName name="\J" localSheetId="10">#REF!</definedName>
    <definedName name="\J">#REF!</definedName>
    <definedName name="\K" localSheetId="4">#REF!</definedName>
    <definedName name="\K" localSheetId="14">#REF!</definedName>
    <definedName name="\K" localSheetId="5">#REF!</definedName>
    <definedName name="\K" localSheetId="10">#REF!</definedName>
    <definedName name="\K">#REF!</definedName>
    <definedName name="\L" localSheetId="4">#REF!</definedName>
    <definedName name="\L" localSheetId="14">#REF!</definedName>
    <definedName name="\L" localSheetId="5">#REF!</definedName>
    <definedName name="\L" localSheetId="10">#REF!</definedName>
    <definedName name="\L">#REF!</definedName>
    <definedName name="\M" localSheetId="4">#REF!</definedName>
    <definedName name="\M" localSheetId="14">#REF!</definedName>
    <definedName name="\M" localSheetId="5">#REF!</definedName>
    <definedName name="\M" localSheetId="10">#REF!</definedName>
    <definedName name="\M">#REF!</definedName>
    <definedName name="\N" localSheetId="4">#REF!</definedName>
    <definedName name="\N" localSheetId="14">#REF!</definedName>
    <definedName name="\N" localSheetId="5">#REF!</definedName>
    <definedName name="\N" localSheetId="10">#REF!</definedName>
    <definedName name="\N">#REF!</definedName>
    <definedName name="\O" localSheetId="4">#REF!</definedName>
    <definedName name="\O" localSheetId="14">#REF!</definedName>
    <definedName name="\O" localSheetId="5">#REF!</definedName>
    <definedName name="\O" localSheetId="10">#REF!</definedName>
    <definedName name="\O">#REF!</definedName>
    <definedName name="\P" localSheetId="4">#REF!</definedName>
    <definedName name="\P" localSheetId="14">#REF!</definedName>
    <definedName name="\P" localSheetId="5">#REF!</definedName>
    <definedName name="\P" localSheetId="10">#REF!</definedName>
    <definedName name="\P">#REF!</definedName>
    <definedName name="\Q" localSheetId="4">#REF!</definedName>
    <definedName name="\Q" localSheetId="14">#REF!</definedName>
    <definedName name="\Q" localSheetId="5">#REF!</definedName>
    <definedName name="\Q" localSheetId="10">#REF!</definedName>
    <definedName name="\Q">#REF!</definedName>
    <definedName name="\R" localSheetId="4">#REF!</definedName>
    <definedName name="\R" localSheetId="14">#REF!</definedName>
    <definedName name="\R" localSheetId="5">#REF!</definedName>
    <definedName name="\R" localSheetId="10">#REF!</definedName>
    <definedName name="\R">#REF!</definedName>
    <definedName name="\S" localSheetId="4">#REF!</definedName>
    <definedName name="\S" localSheetId="14">#REF!</definedName>
    <definedName name="\S" localSheetId="5">#REF!</definedName>
    <definedName name="\S" localSheetId="10">#REF!</definedName>
    <definedName name="\S">#REF!</definedName>
    <definedName name="\T" localSheetId="4">#REF!</definedName>
    <definedName name="\T" localSheetId="14">#REF!</definedName>
    <definedName name="\T" localSheetId="5">#REF!</definedName>
    <definedName name="\T" localSheetId="10">#REF!</definedName>
    <definedName name="\T">#REF!</definedName>
    <definedName name="\U" localSheetId="4">#REF!</definedName>
    <definedName name="\U" localSheetId="14">#REF!</definedName>
    <definedName name="\U" localSheetId="5">#REF!</definedName>
    <definedName name="\U" localSheetId="10">#REF!</definedName>
    <definedName name="\U">#REF!</definedName>
    <definedName name="\V" localSheetId="4">#REF!</definedName>
    <definedName name="\V" localSheetId="14">#REF!</definedName>
    <definedName name="\V" localSheetId="5">#REF!</definedName>
    <definedName name="\V" localSheetId="10">#REF!</definedName>
    <definedName name="\V">#REF!</definedName>
    <definedName name="\W" localSheetId="4">#REF!</definedName>
    <definedName name="\W" localSheetId="14">#REF!</definedName>
    <definedName name="\W" localSheetId="5">#REF!</definedName>
    <definedName name="\W" localSheetId="10">#REF!</definedName>
    <definedName name="\W">#REF!</definedName>
    <definedName name="\X" localSheetId="4">#REF!</definedName>
    <definedName name="\X" localSheetId="14">#REF!</definedName>
    <definedName name="\X" localSheetId="5">#REF!</definedName>
    <definedName name="\X" localSheetId="10">#REF!</definedName>
    <definedName name="\X">#REF!</definedName>
    <definedName name="\Y" localSheetId="4">#REF!</definedName>
    <definedName name="\Y" localSheetId="14">#REF!</definedName>
    <definedName name="\Y" localSheetId="5">#REF!</definedName>
    <definedName name="\Y" localSheetId="10">#REF!</definedName>
    <definedName name="\Y">#REF!</definedName>
    <definedName name="\Z" localSheetId="4">#REF!</definedName>
    <definedName name="\Z" localSheetId="14">#REF!</definedName>
    <definedName name="\Z" localSheetId="5">#REF!</definedName>
    <definedName name="\Z" localSheetId="10">#REF!</definedName>
    <definedName name="\Z">#REF!</definedName>
    <definedName name="_____BOP2" localSheetId="4">[1]BoP!#REF!</definedName>
    <definedName name="_____BOP2" localSheetId="14">[1]BoP!#REF!</definedName>
    <definedName name="_____BOP2" localSheetId="5">[1]BoP!#REF!</definedName>
    <definedName name="_____BOP2" localSheetId="10">[1]BoP!#REF!</definedName>
    <definedName name="_____BOP2">[1]BoP!#REF!</definedName>
    <definedName name="_____dat1" localSheetId="4">'[2]work Q real'!#REF!</definedName>
    <definedName name="_____dat1" localSheetId="14">'[2]work Q real'!#REF!</definedName>
    <definedName name="_____dat1" localSheetId="5">'[2]work Q real'!#REF!</definedName>
    <definedName name="_____dat1" localSheetId="10">'[2]work Q real'!#REF!</definedName>
    <definedName name="_____dat1">'[2]work Q real'!#REF!</definedName>
    <definedName name="_____EXP5" localSheetId="4">#REF!</definedName>
    <definedName name="_____EXP5" localSheetId="14">#REF!</definedName>
    <definedName name="_____EXP5" localSheetId="5">#REF!</definedName>
    <definedName name="_____EXP5" localSheetId="6">#REF!</definedName>
    <definedName name="_____EXP5" localSheetId="7">#REF!</definedName>
    <definedName name="_____EXP5" localSheetId="8">#REF!</definedName>
    <definedName name="_____EXP5" localSheetId="10">#REF!</definedName>
    <definedName name="_____EXP5">#REF!</definedName>
    <definedName name="_____EXP6" localSheetId="4">#REF!</definedName>
    <definedName name="_____EXP6" localSheetId="14">#REF!</definedName>
    <definedName name="_____EXP6" localSheetId="5">#REF!</definedName>
    <definedName name="_____EXP6" localSheetId="6">#REF!</definedName>
    <definedName name="_____EXP6" localSheetId="7">#REF!</definedName>
    <definedName name="_____EXP6" localSheetId="8">#REF!</definedName>
    <definedName name="_____EXP6" localSheetId="10">#REF!</definedName>
    <definedName name="_____EXP6">#REF!</definedName>
    <definedName name="_____EXP7" localSheetId="4">#REF!</definedName>
    <definedName name="_____EXP7" localSheetId="14">#REF!</definedName>
    <definedName name="_____EXP7" localSheetId="5">#REF!</definedName>
    <definedName name="_____EXP7" localSheetId="6">#REF!</definedName>
    <definedName name="_____EXP7" localSheetId="7">#REF!</definedName>
    <definedName name="_____EXP7" localSheetId="8">#REF!</definedName>
    <definedName name="_____EXP7" localSheetId="10">#REF!</definedName>
    <definedName name="_____EXP7">#REF!</definedName>
    <definedName name="_____EXP9" localSheetId="4">#REF!</definedName>
    <definedName name="_____EXP9" localSheetId="14">#REF!</definedName>
    <definedName name="_____EXP9" localSheetId="5">#REF!</definedName>
    <definedName name="_____EXP9" localSheetId="10">#REF!</definedName>
    <definedName name="_____EXP9">#REF!</definedName>
    <definedName name="_____IMP2" localSheetId="4">#REF!</definedName>
    <definedName name="_____IMP2" localSheetId="14">#REF!</definedName>
    <definedName name="_____IMP2" localSheetId="5">#REF!</definedName>
    <definedName name="_____IMP2" localSheetId="10">#REF!</definedName>
    <definedName name="_____IMP2">#REF!</definedName>
    <definedName name="_____IMP4" localSheetId="4">#REF!</definedName>
    <definedName name="_____IMP4" localSheetId="14">#REF!</definedName>
    <definedName name="_____IMP4" localSheetId="5">#REF!</definedName>
    <definedName name="_____IMP4" localSheetId="10">#REF!</definedName>
    <definedName name="_____IMP4">#REF!</definedName>
    <definedName name="_____IMP6" localSheetId="4">#REF!</definedName>
    <definedName name="_____IMP6" localSheetId="14">#REF!</definedName>
    <definedName name="_____IMP6" localSheetId="5">#REF!</definedName>
    <definedName name="_____IMP6" localSheetId="10">#REF!</definedName>
    <definedName name="_____IMP6">#REF!</definedName>
    <definedName name="_____IMP7" localSheetId="4">#REF!</definedName>
    <definedName name="_____IMP7" localSheetId="14">#REF!</definedName>
    <definedName name="_____IMP7" localSheetId="5">#REF!</definedName>
    <definedName name="_____IMP7" localSheetId="10">#REF!</definedName>
    <definedName name="_____IMP7">#REF!</definedName>
    <definedName name="_____MTS2" localSheetId="4">'[3]Annual Tables'!#REF!</definedName>
    <definedName name="_____MTS2" localSheetId="14">'[3]Annual Tables'!#REF!</definedName>
    <definedName name="_____MTS2" localSheetId="5">'[3]Annual Tables'!#REF!</definedName>
    <definedName name="_____MTS2" localSheetId="10">'[3]Annual Tables'!#REF!</definedName>
    <definedName name="_____MTS2">'[3]Annual Tables'!#REF!</definedName>
    <definedName name="_____PAG2" localSheetId="4">[3]Index!#REF!</definedName>
    <definedName name="_____PAG2" localSheetId="14">[3]Index!#REF!</definedName>
    <definedName name="_____PAG2" localSheetId="5">[3]Index!#REF!</definedName>
    <definedName name="_____PAG2" localSheetId="10">[3]Index!#REF!</definedName>
    <definedName name="_____PAG2">[3]Index!#REF!</definedName>
    <definedName name="_____PAG3" localSheetId="4">[3]Index!#REF!</definedName>
    <definedName name="_____PAG3" localSheetId="14">[3]Index!#REF!</definedName>
    <definedName name="_____PAG3" localSheetId="5">[3]Index!#REF!</definedName>
    <definedName name="_____PAG3">[3]Index!#REF!</definedName>
    <definedName name="_____PAG4" localSheetId="4">[3]Index!#REF!</definedName>
    <definedName name="_____PAG4" localSheetId="14">[3]Index!#REF!</definedName>
    <definedName name="_____PAG4" localSheetId="5">[3]Index!#REF!</definedName>
    <definedName name="_____PAG4">[3]Index!#REF!</definedName>
    <definedName name="_____PAG5" localSheetId="4">[3]Index!#REF!</definedName>
    <definedName name="_____PAG5" localSheetId="14">[3]Index!#REF!</definedName>
    <definedName name="_____PAG5" localSheetId="5">[3]Index!#REF!</definedName>
    <definedName name="_____PAG5">[3]Index!#REF!</definedName>
    <definedName name="_____PAG6" localSheetId="4">[3]Index!#REF!</definedName>
    <definedName name="_____PAG6" localSheetId="14">[3]Index!#REF!</definedName>
    <definedName name="_____PAG6" localSheetId="5">[3]Index!#REF!</definedName>
    <definedName name="_____PAG6">[3]Index!#REF!</definedName>
    <definedName name="_____RES2" localSheetId="4">[1]RES!#REF!</definedName>
    <definedName name="_____RES2" localSheetId="14">[1]RES!#REF!</definedName>
    <definedName name="_____RES2" localSheetId="5">[1]RES!#REF!</definedName>
    <definedName name="_____RES2">[1]RES!#REF!</definedName>
    <definedName name="_____TAB7" localSheetId="4">#REF!</definedName>
    <definedName name="_____TAB7" localSheetId="14">#REF!</definedName>
    <definedName name="_____TAB7" localSheetId="5">#REF!</definedName>
    <definedName name="_____TAB7" localSheetId="6">#REF!</definedName>
    <definedName name="_____TAB7" localSheetId="7">#REF!</definedName>
    <definedName name="_____TAB7" localSheetId="8">#REF!</definedName>
    <definedName name="_____TAB7" localSheetId="10">#REF!</definedName>
    <definedName name="_____TAB7">#REF!</definedName>
    <definedName name="____BOP1" localSheetId="4">#REF!</definedName>
    <definedName name="____BOP1" localSheetId="14">#REF!</definedName>
    <definedName name="____BOP1" localSheetId="5">#REF!</definedName>
    <definedName name="____BOP1" localSheetId="6">#REF!</definedName>
    <definedName name="____BOP1" localSheetId="7">#REF!</definedName>
    <definedName name="____BOP1" localSheetId="8">#REF!</definedName>
    <definedName name="____BOP1" localSheetId="10">#REF!</definedName>
    <definedName name="____BOP1">#REF!</definedName>
    <definedName name="____BOP2" localSheetId="4">[1]BoP!#REF!</definedName>
    <definedName name="____BOP2" localSheetId="14">[1]BoP!#REF!</definedName>
    <definedName name="____BOP2" localSheetId="5">[1]BoP!#REF!</definedName>
    <definedName name="____BOP2" localSheetId="6">[1]BoP!#REF!</definedName>
    <definedName name="____BOP2" localSheetId="7">[1]BoP!#REF!</definedName>
    <definedName name="____BOP2" localSheetId="8">[1]BoP!#REF!</definedName>
    <definedName name="____BOP2" localSheetId="10">[1]BoP!#REF!</definedName>
    <definedName name="____BOP2">[1]BoP!#REF!</definedName>
    <definedName name="____dat1" localSheetId="4">'[2]work Q real'!#REF!</definedName>
    <definedName name="____dat1" localSheetId="14">'[2]work Q real'!#REF!</definedName>
    <definedName name="____dat1" localSheetId="5">'[2]work Q real'!#REF!</definedName>
    <definedName name="____dat1" localSheetId="6">'[2]work Q real'!#REF!</definedName>
    <definedName name="____dat1" localSheetId="7">'[2]work Q real'!#REF!</definedName>
    <definedName name="____dat1" localSheetId="8">'[2]work Q real'!#REF!</definedName>
    <definedName name="____dat1">'[2]work Q real'!#REF!</definedName>
    <definedName name="____dat2" localSheetId="4">#REF!</definedName>
    <definedName name="____dat2" localSheetId="14">#REF!</definedName>
    <definedName name="____dat2" localSheetId="5">#REF!</definedName>
    <definedName name="____dat2" localSheetId="6">#REF!</definedName>
    <definedName name="____dat2" localSheetId="7">#REF!</definedName>
    <definedName name="____dat2" localSheetId="8">#REF!</definedName>
    <definedName name="____dat2" localSheetId="10">#REF!</definedName>
    <definedName name="____dat2">#REF!</definedName>
    <definedName name="____EXP5" localSheetId="4">#REF!</definedName>
    <definedName name="____EXP5" localSheetId="14">#REF!</definedName>
    <definedName name="____EXP5" localSheetId="5">#REF!</definedName>
    <definedName name="____EXP5" localSheetId="6">#REF!</definedName>
    <definedName name="____EXP5" localSheetId="7">#REF!</definedName>
    <definedName name="____EXP5" localSheetId="8">#REF!</definedName>
    <definedName name="____EXP5" localSheetId="10">#REF!</definedName>
    <definedName name="____EXP5">#REF!</definedName>
    <definedName name="____EXP6" localSheetId="4">#REF!</definedName>
    <definedName name="____EXP6" localSheetId="14">#REF!</definedName>
    <definedName name="____EXP6" localSheetId="5">#REF!</definedName>
    <definedName name="____EXP6" localSheetId="6">#REF!</definedName>
    <definedName name="____EXP6" localSheetId="7">#REF!</definedName>
    <definedName name="____EXP6" localSheetId="8">#REF!</definedName>
    <definedName name="____EXP6" localSheetId="10">#REF!</definedName>
    <definedName name="____EXP6">#REF!</definedName>
    <definedName name="____EXP7" localSheetId="4">#REF!</definedName>
    <definedName name="____EXP7" localSheetId="14">#REF!</definedName>
    <definedName name="____EXP7" localSheetId="5">#REF!</definedName>
    <definedName name="____EXP7" localSheetId="10">#REF!</definedName>
    <definedName name="____EXP7">#REF!</definedName>
    <definedName name="____EXP9" localSheetId="4">#REF!</definedName>
    <definedName name="____EXP9" localSheetId="14">#REF!</definedName>
    <definedName name="____EXP9" localSheetId="5">#REF!</definedName>
    <definedName name="____EXP9" localSheetId="10">#REF!</definedName>
    <definedName name="____EXP9">#REF!</definedName>
    <definedName name="____IMP10" localSheetId="4">#REF!</definedName>
    <definedName name="____IMP10" localSheetId="14">#REF!</definedName>
    <definedName name="____IMP10" localSheetId="5">#REF!</definedName>
    <definedName name="____IMP10" localSheetId="10">#REF!</definedName>
    <definedName name="____IMP10">#REF!</definedName>
    <definedName name="____IMP2" localSheetId="4">#REF!</definedName>
    <definedName name="____IMP2" localSheetId="14">#REF!</definedName>
    <definedName name="____IMP2" localSheetId="5">#REF!</definedName>
    <definedName name="____IMP2" localSheetId="10">#REF!</definedName>
    <definedName name="____IMP2">#REF!</definedName>
    <definedName name="____IMP4" localSheetId="4">#REF!</definedName>
    <definedName name="____IMP4" localSheetId="14">#REF!</definedName>
    <definedName name="____IMP4" localSheetId="5">#REF!</definedName>
    <definedName name="____IMP4" localSheetId="10">#REF!</definedName>
    <definedName name="____IMP4">#REF!</definedName>
    <definedName name="____IMP6" localSheetId="4">#REF!</definedName>
    <definedName name="____IMP6" localSheetId="14">#REF!</definedName>
    <definedName name="____IMP6" localSheetId="5">#REF!</definedName>
    <definedName name="____IMP6" localSheetId="10">#REF!</definedName>
    <definedName name="____IMP6">#REF!</definedName>
    <definedName name="____IMP7" localSheetId="4">#REF!</definedName>
    <definedName name="____IMP7" localSheetId="14">#REF!</definedName>
    <definedName name="____IMP7" localSheetId="5">#REF!</definedName>
    <definedName name="____IMP7" localSheetId="10">#REF!</definedName>
    <definedName name="____IMP7">#REF!</definedName>
    <definedName name="____IMP8" localSheetId="4">#REF!</definedName>
    <definedName name="____IMP8" localSheetId="14">#REF!</definedName>
    <definedName name="____IMP8" localSheetId="5">#REF!</definedName>
    <definedName name="____IMP8" localSheetId="10">#REF!</definedName>
    <definedName name="____IMP8">#REF!</definedName>
    <definedName name="____MTS2" localSheetId="4">'[3]Annual Tables'!#REF!</definedName>
    <definedName name="____MTS2" localSheetId="14">'[3]Annual Tables'!#REF!</definedName>
    <definedName name="____MTS2" localSheetId="5">'[3]Annual Tables'!#REF!</definedName>
    <definedName name="____MTS2" localSheetId="10">'[3]Annual Tables'!#REF!</definedName>
    <definedName name="____MTS2">'[3]Annual Tables'!#REF!</definedName>
    <definedName name="____OUT1" localSheetId="4">#REF!</definedName>
    <definedName name="____OUT1" localSheetId="14">#REF!</definedName>
    <definedName name="____OUT1" localSheetId="5">#REF!</definedName>
    <definedName name="____OUT1" localSheetId="6">#REF!</definedName>
    <definedName name="____OUT1" localSheetId="7">#REF!</definedName>
    <definedName name="____OUT1" localSheetId="8">#REF!</definedName>
    <definedName name="____OUT1" localSheetId="10">#REF!</definedName>
    <definedName name="____OUT1">#REF!</definedName>
    <definedName name="____OUT2" localSheetId="4">#REF!</definedName>
    <definedName name="____OUT2" localSheetId="14">#REF!</definedName>
    <definedName name="____OUT2" localSheetId="5">#REF!</definedName>
    <definedName name="____OUT2" localSheetId="6">#REF!</definedName>
    <definedName name="____OUT2" localSheetId="7">#REF!</definedName>
    <definedName name="____OUT2" localSheetId="8">#REF!</definedName>
    <definedName name="____OUT2" localSheetId="10">#REF!</definedName>
    <definedName name="____OUT2">#REF!</definedName>
    <definedName name="____PAG2" localSheetId="4">[3]Index!#REF!</definedName>
    <definedName name="____PAG2" localSheetId="14">[3]Index!#REF!</definedName>
    <definedName name="____PAG2" localSheetId="5">[3]Index!#REF!</definedName>
    <definedName name="____PAG2" localSheetId="6">[3]Index!#REF!</definedName>
    <definedName name="____PAG2" localSheetId="7">[3]Index!#REF!</definedName>
    <definedName name="____PAG2" localSheetId="8">[3]Index!#REF!</definedName>
    <definedName name="____PAG2" localSheetId="10">[3]Index!#REF!</definedName>
    <definedName name="____PAG2">[3]Index!#REF!</definedName>
    <definedName name="____PAG3" localSheetId="4">[3]Index!#REF!</definedName>
    <definedName name="____PAG3" localSheetId="14">[3]Index!#REF!</definedName>
    <definedName name="____PAG3" localSheetId="5">[3]Index!#REF!</definedName>
    <definedName name="____PAG3" localSheetId="6">[3]Index!#REF!</definedName>
    <definedName name="____PAG3" localSheetId="7">[3]Index!#REF!</definedName>
    <definedName name="____PAG3" localSheetId="8">[3]Index!#REF!</definedName>
    <definedName name="____PAG3">[3]Index!#REF!</definedName>
    <definedName name="____PAG4" localSheetId="4">[3]Index!#REF!</definedName>
    <definedName name="____PAG4" localSheetId="14">[3]Index!#REF!</definedName>
    <definedName name="____PAG4" localSheetId="5">[3]Index!#REF!</definedName>
    <definedName name="____PAG4">[3]Index!#REF!</definedName>
    <definedName name="____PAG5" localSheetId="4">[3]Index!#REF!</definedName>
    <definedName name="____PAG5" localSheetId="14">[3]Index!#REF!</definedName>
    <definedName name="____PAG5" localSheetId="5">[3]Index!#REF!</definedName>
    <definedName name="____PAG5">[3]Index!#REF!</definedName>
    <definedName name="____PAG6" localSheetId="4">[3]Index!#REF!</definedName>
    <definedName name="____PAG6" localSheetId="14">[3]Index!#REF!</definedName>
    <definedName name="____PAG6" localSheetId="5">[3]Index!#REF!</definedName>
    <definedName name="____PAG6">[3]Index!#REF!</definedName>
    <definedName name="____PAG7" localSheetId="4">#REF!</definedName>
    <definedName name="____PAG7" localSheetId="14">#REF!</definedName>
    <definedName name="____PAG7" localSheetId="5">#REF!</definedName>
    <definedName name="____PAG7" localSheetId="6">#REF!</definedName>
    <definedName name="____PAG7" localSheetId="7">#REF!</definedName>
    <definedName name="____PAG7" localSheetId="8">#REF!</definedName>
    <definedName name="____PAG7" localSheetId="10">#REF!</definedName>
    <definedName name="____PAG7">#REF!</definedName>
    <definedName name="____pro2001">[4]pro2001!$A$1:$B$72</definedName>
    <definedName name="____RES2" localSheetId="4">[1]RES!#REF!</definedName>
    <definedName name="____RES2" localSheetId="14">[1]RES!#REF!</definedName>
    <definedName name="____RES2" localSheetId="5">[1]RES!#REF!</definedName>
    <definedName name="____RES2" localSheetId="6">[1]RES!#REF!</definedName>
    <definedName name="____RES2" localSheetId="7">[1]RES!#REF!</definedName>
    <definedName name="____RES2" localSheetId="8">[1]RES!#REF!</definedName>
    <definedName name="____RES2">[1]RES!#REF!</definedName>
    <definedName name="____TAB1" localSheetId="4">#REF!</definedName>
    <definedName name="____TAB1" localSheetId="14">#REF!</definedName>
    <definedName name="____TAB1" localSheetId="5">#REF!</definedName>
    <definedName name="____TAB1" localSheetId="6">#REF!</definedName>
    <definedName name="____TAB1" localSheetId="7">#REF!</definedName>
    <definedName name="____TAB1" localSheetId="8">#REF!</definedName>
    <definedName name="____TAB1" localSheetId="10">#REF!</definedName>
    <definedName name="____TAB1">#REF!</definedName>
    <definedName name="____TAB10" localSheetId="4">#REF!</definedName>
    <definedName name="____TAB10" localSheetId="14">#REF!</definedName>
    <definedName name="____TAB10" localSheetId="5">#REF!</definedName>
    <definedName name="____TAB10" localSheetId="6">#REF!</definedName>
    <definedName name="____TAB10" localSheetId="7">#REF!</definedName>
    <definedName name="____TAB10" localSheetId="8">#REF!</definedName>
    <definedName name="____TAB10" localSheetId="10">#REF!</definedName>
    <definedName name="____TAB10">#REF!</definedName>
    <definedName name="____TAB12" localSheetId="4">#REF!</definedName>
    <definedName name="____TAB12" localSheetId="14">#REF!</definedName>
    <definedName name="____TAB12" localSheetId="5">#REF!</definedName>
    <definedName name="____TAB12" localSheetId="6">#REF!</definedName>
    <definedName name="____TAB12" localSheetId="7">#REF!</definedName>
    <definedName name="____TAB12" localSheetId="8">#REF!</definedName>
    <definedName name="____TAB12" localSheetId="10">#REF!</definedName>
    <definedName name="____TAB12">#REF!</definedName>
    <definedName name="____Tab19" localSheetId="4">#REF!</definedName>
    <definedName name="____Tab19" localSheetId="14">#REF!</definedName>
    <definedName name="____Tab19" localSheetId="5">#REF!</definedName>
    <definedName name="____Tab19" localSheetId="10">#REF!</definedName>
    <definedName name="____Tab19">#REF!</definedName>
    <definedName name="____TAB2" localSheetId="4">#REF!</definedName>
    <definedName name="____TAB2" localSheetId="14">#REF!</definedName>
    <definedName name="____TAB2" localSheetId="5">#REF!</definedName>
    <definedName name="____TAB2" localSheetId="10">#REF!</definedName>
    <definedName name="____TAB2">#REF!</definedName>
    <definedName name="____Tab20" localSheetId="4">#REF!</definedName>
    <definedName name="____Tab20" localSheetId="14">#REF!</definedName>
    <definedName name="____Tab20" localSheetId="5">#REF!</definedName>
    <definedName name="____Tab20" localSheetId="10">#REF!</definedName>
    <definedName name="____Tab20">#REF!</definedName>
    <definedName name="____Tab21" localSheetId="4">#REF!</definedName>
    <definedName name="____Tab21" localSheetId="14">#REF!</definedName>
    <definedName name="____Tab21" localSheetId="5">#REF!</definedName>
    <definedName name="____Tab21" localSheetId="10">#REF!</definedName>
    <definedName name="____Tab21">#REF!</definedName>
    <definedName name="____Tab22" localSheetId="4">#REF!</definedName>
    <definedName name="____Tab22" localSheetId="14">#REF!</definedName>
    <definedName name="____Tab22" localSheetId="5">#REF!</definedName>
    <definedName name="____Tab22" localSheetId="10">#REF!</definedName>
    <definedName name="____Tab22">#REF!</definedName>
    <definedName name="____Tab23" localSheetId="4">#REF!</definedName>
    <definedName name="____Tab23" localSheetId="14">#REF!</definedName>
    <definedName name="____Tab23" localSheetId="5">#REF!</definedName>
    <definedName name="____Tab23" localSheetId="10">#REF!</definedName>
    <definedName name="____Tab23">#REF!</definedName>
    <definedName name="____Tab24" localSheetId="4">#REF!</definedName>
    <definedName name="____Tab24" localSheetId="14">#REF!</definedName>
    <definedName name="____Tab24" localSheetId="5">#REF!</definedName>
    <definedName name="____Tab24" localSheetId="10">#REF!</definedName>
    <definedName name="____Tab24">#REF!</definedName>
    <definedName name="____Tab26" localSheetId="4">#REF!</definedName>
    <definedName name="____Tab26" localSheetId="14">#REF!</definedName>
    <definedName name="____Tab26" localSheetId="5">#REF!</definedName>
    <definedName name="____Tab26" localSheetId="10">#REF!</definedName>
    <definedName name="____Tab26">#REF!</definedName>
    <definedName name="____Tab27" localSheetId="4">#REF!</definedName>
    <definedName name="____Tab27" localSheetId="14">#REF!</definedName>
    <definedName name="____Tab27" localSheetId="5">#REF!</definedName>
    <definedName name="____Tab27" localSheetId="10">#REF!</definedName>
    <definedName name="____Tab27">#REF!</definedName>
    <definedName name="____Tab28" localSheetId="4">#REF!</definedName>
    <definedName name="____Tab28" localSheetId="14">#REF!</definedName>
    <definedName name="____Tab28" localSheetId="5">#REF!</definedName>
    <definedName name="____Tab28" localSheetId="10">#REF!</definedName>
    <definedName name="____Tab28">#REF!</definedName>
    <definedName name="____Tab29" localSheetId="4">#REF!</definedName>
    <definedName name="____Tab29" localSheetId="14">#REF!</definedName>
    <definedName name="____Tab29" localSheetId="5">#REF!</definedName>
    <definedName name="____Tab29" localSheetId="10">#REF!</definedName>
    <definedName name="____Tab29">#REF!</definedName>
    <definedName name="____TAB3" localSheetId="4">#REF!</definedName>
    <definedName name="____TAB3" localSheetId="14">#REF!</definedName>
    <definedName name="____TAB3" localSheetId="5">#REF!</definedName>
    <definedName name="____TAB3" localSheetId="10">#REF!</definedName>
    <definedName name="____TAB3">#REF!</definedName>
    <definedName name="____Tab30" localSheetId="4">#REF!</definedName>
    <definedName name="____Tab30" localSheetId="14">#REF!</definedName>
    <definedName name="____Tab30" localSheetId="5">#REF!</definedName>
    <definedName name="____Tab30" localSheetId="10">#REF!</definedName>
    <definedName name="____Tab30">#REF!</definedName>
    <definedName name="____Tab31" localSheetId="4">#REF!</definedName>
    <definedName name="____Tab31" localSheetId="14">#REF!</definedName>
    <definedName name="____Tab31" localSheetId="5">#REF!</definedName>
    <definedName name="____Tab31" localSheetId="10">#REF!</definedName>
    <definedName name="____Tab31">#REF!</definedName>
    <definedName name="____Tab32" localSheetId="4">#REF!</definedName>
    <definedName name="____Tab32" localSheetId="14">#REF!</definedName>
    <definedName name="____Tab32" localSheetId="5">#REF!</definedName>
    <definedName name="____Tab32" localSheetId="10">#REF!</definedName>
    <definedName name="____Tab32">#REF!</definedName>
    <definedName name="____Tab33" localSheetId="4">#REF!</definedName>
    <definedName name="____Tab33" localSheetId="14">#REF!</definedName>
    <definedName name="____Tab33" localSheetId="5">#REF!</definedName>
    <definedName name="____Tab33" localSheetId="10">#REF!</definedName>
    <definedName name="____Tab33">#REF!</definedName>
    <definedName name="____Tab34" localSheetId="4">#REF!</definedName>
    <definedName name="____Tab34" localSheetId="14">#REF!</definedName>
    <definedName name="____Tab34" localSheetId="5">#REF!</definedName>
    <definedName name="____Tab34" localSheetId="10">#REF!</definedName>
    <definedName name="____Tab34">#REF!</definedName>
    <definedName name="____Tab35" localSheetId="4">#REF!</definedName>
    <definedName name="____Tab35" localSheetId="14">#REF!</definedName>
    <definedName name="____Tab35" localSheetId="5">#REF!</definedName>
    <definedName name="____Tab35" localSheetId="10">#REF!</definedName>
    <definedName name="____Tab35">#REF!</definedName>
    <definedName name="____TAB4" localSheetId="4">#REF!</definedName>
    <definedName name="____TAB4" localSheetId="14">#REF!</definedName>
    <definedName name="____TAB4" localSheetId="5">#REF!</definedName>
    <definedName name="____TAB4" localSheetId="10">#REF!</definedName>
    <definedName name="____TAB4">#REF!</definedName>
    <definedName name="____TAB5" localSheetId="4">#REF!</definedName>
    <definedName name="____TAB5" localSheetId="14">#REF!</definedName>
    <definedName name="____TAB5" localSheetId="5">#REF!</definedName>
    <definedName name="____TAB5" localSheetId="10">#REF!</definedName>
    <definedName name="____TAB5">#REF!</definedName>
    <definedName name="____tab6" localSheetId="4">#REF!</definedName>
    <definedName name="____tab6" localSheetId="14">#REF!</definedName>
    <definedName name="____tab6" localSheetId="5">#REF!</definedName>
    <definedName name="____tab6" localSheetId="10">#REF!</definedName>
    <definedName name="____tab6">#REF!</definedName>
    <definedName name="____TAB7" localSheetId="4">#REF!</definedName>
    <definedName name="____TAB7" localSheetId="14">#REF!</definedName>
    <definedName name="____TAB7" localSheetId="5">#REF!</definedName>
    <definedName name="____TAB7" localSheetId="10">#REF!</definedName>
    <definedName name="____TAB7">#REF!</definedName>
    <definedName name="____TAB8" localSheetId="4">#REF!</definedName>
    <definedName name="____TAB8" localSheetId="14">#REF!</definedName>
    <definedName name="____TAB8" localSheetId="5">#REF!</definedName>
    <definedName name="____TAB8" localSheetId="10">#REF!</definedName>
    <definedName name="____TAB8">#REF!</definedName>
    <definedName name="____tab9" localSheetId="4">#REF!</definedName>
    <definedName name="____tab9" localSheetId="14">#REF!</definedName>
    <definedName name="____tab9" localSheetId="5">#REF!</definedName>
    <definedName name="____tab9" localSheetId="10">#REF!</definedName>
    <definedName name="____tab9">#REF!</definedName>
    <definedName name="____TB41" localSheetId="4">#REF!</definedName>
    <definedName name="____TB41" localSheetId="14">#REF!</definedName>
    <definedName name="____TB41" localSheetId="5">#REF!</definedName>
    <definedName name="____TB41" localSheetId="10">#REF!</definedName>
    <definedName name="____TB41">#REF!</definedName>
    <definedName name="____WEO1" localSheetId="4">#REF!</definedName>
    <definedName name="____WEO1" localSheetId="14">#REF!</definedName>
    <definedName name="____WEO1" localSheetId="5">#REF!</definedName>
    <definedName name="____WEO1" localSheetId="10">#REF!</definedName>
    <definedName name="____WEO1">#REF!</definedName>
    <definedName name="____WEO2" localSheetId="4">#REF!</definedName>
    <definedName name="____WEO2" localSheetId="14">#REF!</definedName>
    <definedName name="____WEO2" localSheetId="5">#REF!</definedName>
    <definedName name="____WEO2" localSheetId="10">#REF!</definedName>
    <definedName name="____WEO2">#REF!</definedName>
    <definedName name="___BOP1" localSheetId="4">#REF!</definedName>
    <definedName name="___BOP1" localSheetId="14">#REF!</definedName>
    <definedName name="___BOP1" localSheetId="5">#REF!</definedName>
    <definedName name="___BOP1" localSheetId="10">#REF!</definedName>
    <definedName name="___BOP1">#REF!</definedName>
    <definedName name="___BOP2" localSheetId="4">[1]BoP!#REF!</definedName>
    <definedName name="___BOP2" localSheetId="14">[1]BoP!#REF!</definedName>
    <definedName name="___BOP2" localSheetId="5">[1]BoP!#REF!</definedName>
    <definedName name="___BOP2" localSheetId="10">[1]BoP!#REF!</definedName>
    <definedName name="___BOP2">[1]BoP!#REF!</definedName>
    <definedName name="___dat1" localSheetId="4">'[2]work Q real'!#REF!</definedName>
    <definedName name="___dat1" localSheetId="14">'[2]work Q real'!#REF!</definedName>
    <definedName name="___dat1" localSheetId="5">'[2]work Q real'!#REF!</definedName>
    <definedName name="___dat1" localSheetId="10">'[2]work Q real'!#REF!</definedName>
    <definedName name="___dat1">'[2]work Q real'!#REF!</definedName>
    <definedName name="___dat2" localSheetId="4">#REF!</definedName>
    <definedName name="___dat2" localSheetId="14">#REF!</definedName>
    <definedName name="___dat2" localSheetId="5">#REF!</definedName>
    <definedName name="___dat2" localSheetId="6">#REF!</definedName>
    <definedName name="___dat2" localSheetId="7">#REF!</definedName>
    <definedName name="___dat2" localSheetId="8">#REF!</definedName>
    <definedName name="___dat2" localSheetId="10">#REF!</definedName>
    <definedName name="___dat2">#REF!</definedName>
    <definedName name="___EXP5" localSheetId="4">#REF!</definedName>
    <definedName name="___EXP5" localSheetId="14">#REF!</definedName>
    <definedName name="___EXP5" localSheetId="5">#REF!</definedName>
    <definedName name="___EXP5" localSheetId="6">#REF!</definedName>
    <definedName name="___EXP5" localSheetId="7">#REF!</definedName>
    <definedName name="___EXP5" localSheetId="8">#REF!</definedName>
    <definedName name="___EXP5" localSheetId="10">#REF!</definedName>
    <definedName name="___EXP5">#REF!</definedName>
    <definedName name="___EXP6" localSheetId="4">#REF!</definedName>
    <definedName name="___EXP6" localSheetId="14">#REF!</definedName>
    <definedName name="___EXP6" localSheetId="5">#REF!</definedName>
    <definedName name="___EXP6" localSheetId="6">#REF!</definedName>
    <definedName name="___EXP6" localSheetId="7">#REF!</definedName>
    <definedName name="___EXP6" localSheetId="8">#REF!</definedName>
    <definedName name="___EXP6" localSheetId="10">#REF!</definedName>
    <definedName name="___EXP6">#REF!</definedName>
    <definedName name="___EXP7" localSheetId="4">#REF!</definedName>
    <definedName name="___EXP7" localSheetId="14">#REF!</definedName>
    <definedName name="___EXP7" localSheetId="5">#REF!</definedName>
    <definedName name="___EXP7" localSheetId="10">#REF!</definedName>
    <definedName name="___EXP7">#REF!</definedName>
    <definedName name="___EXP9" localSheetId="4">#REF!</definedName>
    <definedName name="___EXP9" localSheetId="14">#REF!</definedName>
    <definedName name="___EXP9" localSheetId="5">#REF!</definedName>
    <definedName name="___EXP9" localSheetId="10">#REF!</definedName>
    <definedName name="___EXP9">#REF!</definedName>
    <definedName name="___IMP10" localSheetId="4">#REF!</definedName>
    <definedName name="___IMP10" localSheetId="14">#REF!</definedName>
    <definedName name="___IMP10" localSheetId="5">#REF!</definedName>
    <definedName name="___IMP10" localSheetId="10">#REF!</definedName>
    <definedName name="___IMP10">#REF!</definedName>
    <definedName name="___IMP2" localSheetId="4">#REF!</definedName>
    <definedName name="___IMP2" localSheetId="14">#REF!</definedName>
    <definedName name="___IMP2" localSheetId="5">#REF!</definedName>
    <definedName name="___IMP2" localSheetId="10">#REF!</definedName>
    <definedName name="___IMP2">#REF!</definedName>
    <definedName name="___IMP4" localSheetId="4">#REF!</definedName>
    <definedName name="___IMP4" localSheetId="14">#REF!</definedName>
    <definedName name="___IMP4" localSheetId="5">#REF!</definedName>
    <definedName name="___IMP4" localSheetId="10">#REF!</definedName>
    <definedName name="___IMP4">#REF!</definedName>
    <definedName name="___IMP6" localSheetId="4">#REF!</definedName>
    <definedName name="___IMP6" localSheetId="14">#REF!</definedName>
    <definedName name="___IMP6" localSheetId="5">#REF!</definedName>
    <definedName name="___IMP6" localSheetId="10">#REF!</definedName>
    <definedName name="___IMP6">#REF!</definedName>
    <definedName name="___IMP7" localSheetId="4">#REF!</definedName>
    <definedName name="___IMP7" localSheetId="14">#REF!</definedName>
    <definedName name="___IMP7" localSheetId="5">#REF!</definedName>
    <definedName name="___IMP7" localSheetId="10">#REF!</definedName>
    <definedName name="___IMP7">#REF!</definedName>
    <definedName name="___IMP8" localSheetId="4">#REF!</definedName>
    <definedName name="___IMP8" localSheetId="14">#REF!</definedName>
    <definedName name="___IMP8" localSheetId="5">#REF!</definedName>
    <definedName name="___IMP8" localSheetId="10">#REF!</definedName>
    <definedName name="___IMP8">#REF!</definedName>
    <definedName name="___MTS2" localSheetId="4">'[3]Annual Tables'!#REF!</definedName>
    <definedName name="___MTS2" localSheetId="14">'[3]Annual Tables'!#REF!</definedName>
    <definedName name="___MTS2" localSheetId="5">'[3]Annual Tables'!#REF!</definedName>
    <definedName name="___MTS2" localSheetId="10">'[3]Annual Tables'!#REF!</definedName>
    <definedName name="___MTS2">'[3]Annual Tables'!#REF!</definedName>
    <definedName name="___OUT1" localSheetId="4">#REF!</definedName>
    <definedName name="___OUT1" localSheetId="14">#REF!</definedName>
    <definedName name="___OUT1" localSheetId="5">#REF!</definedName>
    <definedName name="___OUT1" localSheetId="6">#REF!</definedName>
    <definedName name="___OUT1" localSheetId="7">#REF!</definedName>
    <definedName name="___OUT1" localSheetId="8">#REF!</definedName>
    <definedName name="___OUT1" localSheetId="10">#REF!</definedName>
    <definedName name="___OUT1">#REF!</definedName>
    <definedName name="___OUT2" localSheetId="4">#REF!</definedName>
    <definedName name="___OUT2" localSheetId="14">#REF!</definedName>
    <definedName name="___OUT2" localSheetId="5">#REF!</definedName>
    <definedName name="___OUT2" localSheetId="6">#REF!</definedName>
    <definedName name="___OUT2" localSheetId="7">#REF!</definedName>
    <definedName name="___OUT2" localSheetId="8">#REF!</definedName>
    <definedName name="___OUT2" localSheetId="10">#REF!</definedName>
    <definedName name="___OUT2">#REF!</definedName>
    <definedName name="___PAG2" localSheetId="4">[3]Index!#REF!</definedName>
    <definedName name="___PAG2" localSheetId="14">[3]Index!#REF!</definedName>
    <definedName name="___PAG2" localSheetId="5">[3]Index!#REF!</definedName>
    <definedName name="___PAG2" localSheetId="6">[3]Index!#REF!</definedName>
    <definedName name="___PAG2" localSheetId="7">[3]Index!#REF!</definedName>
    <definedName name="___PAG2" localSheetId="8">[3]Index!#REF!</definedName>
    <definedName name="___PAG2" localSheetId="10">[3]Index!#REF!</definedName>
    <definedName name="___PAG2">[3]Index!#REF!</definedName>
    <definedName name="___PAG3" localSheetId="4">[3]Index!#REF!</definedName>
    <definedName name="___PAG3" localSheetId="14">[3]Index!#REF!</definedName>
    <definedName name="___PAG3" localSheetId="5">[3]Index!#REF!</definedName>
    <definedName name="___PAG3" localSheetId="6">[3]Index!#REF!</definedName>
    <definedName name="___PAG3" localSheetId="7">[3]Index!#REF!</definedName>
    <definedName name="___PAG3" localSheetId="8">[3]Index!#REF!</definedName>
    <definedName name="___PAG3">[3]Index!#REF!</definedName>
    <definedName name="___PAG4" localSheetId="4">[3]Index!#REF!</definedName>
    <definedName name="___PAG4" localSheetId="14">[3]Index!#REF!</definedName>
    <definedName name="___PAG4" localSheetId="5">[3]Index!#REF!</definedName>
    <definedName name="___PAG4">[3]Index!#REF!</definedName>
    <definedName name="___PAG5" localSheetId="4">[3]Index!#REF!</definedName>
    <definedName name="___PAG5" localSheetId="14">[3]Index!#REF!</definedName>
    <definedName name="___PAG5" localSheetId="5">[3]Index!#REF!</definedName>
    <definedName name="___PAG5">[3]Index!#REF!</definedName>
    <definedName name="___PAG6" localSheetId="4">[3]Index!#REF!</definedName>
    <definedName name="___PAG6" localSheetId="14">[3]Index!#REF!</definedName>
    <definedName name="___PAG6" localSheetId="5">[3]Index!#REF!</definedName>
    <definedName name="___PAG6">[3]Index!#REF!</definedName>
    <definedName name="___PAG7" localSheetId="4">#REF!</definedName>
    <definedName name="___PAG7" localSheetId="14">#REF!</definedName>
    <definedName name="___PAG7" localSheetId="5">#REF!</definedName>
    <definedName name="___PAG7" localSheetId="6">#REF!</definedName>
    <definedName name="___PAG7" localSheetId="7">#REF!</definedName>
    <definedName name="___PAG7" localSheetId="8">#REF!</definedName>
    <definedName name="___PAG7" localSheetId="10">#REF!</definedName>
    <definedName name="___PAG7">#REF!</definedName>
    <definedName name="___pro2001">[4]pro2001!$A$1:$B$72</definedName>
    <definedName name="___RES2" localSheetId="4">[1]RES!#REF!</definedName>
    <definedName name="___RES2" localSheetId="14">[1]RES!#REF!</definedName>
    <definedName name="___RES2" localSheetId="5">[1]RES!#REF!</definedName>
    <definedName name="___RES2" localSheetId="6">[1]RES!#REF!</definedName>
    <definedName name="___RES2" localSheetId="7">[1]RES!#REF!</definedName>
    <definedName name="___RES2" localSheetId="8">[1]RES!#REF!</definedName>
    <definedName name="___RES2">[1]RES!#REF!</definedName>
    <definedName name="___TAB1" localSheetId="4">#REF!</definedName>
    <definedName name="___TAB1" localSheetId="14">#REF!</definedName>
    <definedName name="___TAB1" localSheetId="5">#REF!</definedName>
    <definedName name="___TAB1" localSheetId="6">#REF!</definedName>
    <definedName name="___TAB1" localSheetId="7">#REF!</definedName>
    <definedName name="___TAB1" localSheetId="8">#REF!</definedName>
    <definedName name="___TAB1" localSheetId="10">#REF!</definedName>
    <definedName name="___TAB1">#REF!</definedName>
    <definedName name="___TAB10" localSheetId="4">#REF!</definedName>
    <definedName name="___TAB10" localSheetId="14">#REF!</definedName>
    <definedName name="___TAB10" localSheetId="5">#REF!</definedName>
    <definedName name="___TAB10" localSheetId="6">#REF!</definedName>
    <definedName name="___TAB10" localSheetId="7">#REF!</definedName>
    <definedName name="___TAB10" localSheetId="8">#REF!</definedName>
    <definedName name="___TAB10" localSheetId="10">#REF!</definedName>
    <definedName name="___TAB10">#REF!</definedName>
    <definedName name="___TAB12" localSheetId="4">#REF!</definedName>
    <definedName name="___TAB12" localSheetId="14">#REF!</definedName>
    <definedName name="___TAB12" localSheetId="5">#REF!</definedName>
    <definedName name="___TAB12" localSheetId="6">#REF!</definedName>
    <definedName name="___TAB12" localSheetId="7">#REF!</definedName>
    <definedName name="___TAB12" localSheetId="8">#REF!</definedName>
    <definedName name="___TAB12" localSheetId="10">#REF!</definedName>
    <definedName name="___TAB12">#REF!</definedName>
    <definedName name="___Tab19" localSheetId="4">#REF!</definedName>
    <definedName name="___Tab19" localSheetId="14">#REF!</definedName>
    <definedName name="___Tab19" localSheetId="5">#REF!</definedName>
    <definedName name="___Tab19" localSheetId="10">#REF!</definedName>
    <definedName name="___Tab19">#REF!</definedName>
    <definedName name="___TAB2" localSheetId="4">#REF!</definedName>
    <definedName name="___TAB2" localSheetId="14">#REF!</definedName>
    <definedName name="___TAB2" localSheetId="5">#REF!</definedName>
    <definedName name="___TAB2" localSheetId="10">#REF!</definedName>
    <definedName name="___TAB2">#REF!</definedName>
    <definedName name="___Tab20" localSheetId="4">#REF!</definedName>
    <definedName name="___Tab20" localSheetId="14">#REF!</definedName>
    <definedName name="___Tab20" localSheetId="5">#REF!</definedName>
    <definedName name="___Tab20" localSheetId="10">#REF!</definedName>
    <definedName name="___Tab20">#REF!</definedName>
    <definedName name="___Tab21" localSheetId="4">#REF!</definedName>
    <definedName name="___Tab21" localSheetId="14">#REF!</definedName>
    <definedName name="___Tab21" localSheetId="5">#REF!</definedName>
    <definedName name="___Tab21" localSheetId="10">#REF!</definedName>
    <definedName name="___Tab21">#REF!</definedName>
    <definedName name="___Tab22" localSheetId="4">#REF!</definedName>
    <definedName name="___Tab22" localSheetId="14">#REF!</definedName>
    <definedName name="___Tab22" localSheetId="5">#REF!</definedName>
    <definedName name="___Tab22" localSheetId="10">#REF!</definedName>
    <definedName name="___Tab22">#REF!</definedName>
    <definedName name="___Tab23" localSheetId="4">#REF!</definedName>
    <definedName name="___Tab23" localSheetId="14">#REF!</definedName>
    <definedName name="___Tab23" localSheetId="5">#REF!</definedName>
    <definedName name="___Tab23" localSheetId="10">#REF!</definedName>
    <definedName name="___Tab23">#REF!</definedName>
    <definedName name="___Tab24" localSheetId="4">#REF!</definedName>
    <definedName name="___Tab24" localSheetId="14">#REF!</definedName>
    <definedName name="___Tab24" localSheetId="5">#REF!</definedName>
    <definedName name="___Tab24" localSheetId="10">#REF!</definedName>
    <definedName name="___Tab24">#REF!</definedName>
    <definedName name="___Tab26" localSheetId="4">#REF!</definedName>
    <definedName name="___Tab26" localSheetId="14">#REF!</definedName>
    <definedName name="___Tab26" localSheetId="5">#REF!</definedName>
    <definedName name="___Tab26" localSheetId="10">#REF!</definedName>
    <definedName name="___Tab26">#REF!</definedName>
    <definedName name="___Tab27" localSheetId="4">#REF!</definedName>
    <definedName name="___Tab27" localSheetId="14">#REF!</definedName>
    <definedName name="___Tab27" localSheetId="5">#REF!</definedName>
    <definedName name="___Tab27" localSheetId="10">#REF!</definedName>
    <definedName name="___Tab27">#REF!</definedName>
    <definedName name="___Tab28" localSheetId="4">#REF!</definedName>
    <definedName name="___Tab28" localSheetId="14">#REF!</definedName>
    <definedName name="___Tab28" localSheetId="5">#REF!</definedName>
    <definedName name="___Tab28" localSheetId="10">#REF!</definedName>
    <definedName name="___Tab28">#REF!</definedName>
    <definedName name="___Tab29" localSheetId="4">#REF!</definedName>
    <definedName name="___Tab29" localSheetId="14">#REF!</definedName>
    <definedName name="___Tab29" localSheetId="5">#REF!</definedName>
    <definedName name="___Tab29" localSheetId="10">#REF!</definedName>
    <definedName name="___Tab29">#REF!</definedName>
    <definedName name="___TAB3" localSheetId="4">#REF!</definedName>
    <definedName name="___TAB3" localSheetId="14">#REF!</definedName>
    <definedName name="___TAB3" localSheetId="5">#REF!</definedName>
    <definedName name="___TAB3" localSheetId="10">#REF!</definedName>
    <definedName name="___TAB3">#REF!</definedName>
    <definedName name="___Tab30" localSheetId="4">#REF!</definedName>
    <definedName name="___Tab30" localSheetId="14">#REF!</definedName>
    <definedName name="___Tab30" localSheetId="5">#REF!</definedName>
    <definedName name="___Tab30" localSheetId="10">#REF!</definedName>
    <definedName name="___Tab30">#REF!</definedName>
    <definedName name="___Tab31" localSheetId="4">#REF!</definedName>
    <definedName name="___Tab31" localSheetId="14">#REF!</definedName>
    <definedName name="___Tab31" localSheetId="5">#REF!</definedName>
    <definedName name="___Tab31" localSheetId="10">#REF!</definedName>
    <definedName name="___Tab31">#REF!</definedName>
    <definedName name="___Tab32" localSheetId="4">#REF!</definedName>
    <definedName name="___Tab32" localSheetId="14">#REF!</definedName>
    <definedName name="___Tab32" localSheetId="5">#REF!</definedName>
    <definedName name="___Tab32" localSheetId="10">#REF!</definedName>
    <definedName name="___Tab32">#REF!</definedName>
    <definedName name="___Tab33" localSheetId="4">#REF!</definedName>
    <definedName name="___Tab33" localSheetId="14">#REF!</definedName>
    <definedName name="___Tab33" localSheetId="5">#REF!</definedName>
    <definedName name="___Tab33" localSheetId="10">#REF!</definedName>
    <definedName name="___Tab33">#REF!</definedName>
    <definedName name="___Tab34" localSheetId="4">#REF!</definedName>
    <definedName name="___Tab34" localSheetId="14">#REF!</definedName>
    <definedName name="___Tab34" localSheetId="5">#REF!</definedName>
    <definedName name="___Tab34" localSheetId="10">#REF!</definedName>
    <definedName name="___Tab34">#REF!</definedName>
    <definedName name="___Tab35" localSheetId="4">#REF!</definedName>
    <definedName name="___Tab35" localSheetId="14">#REF!</definedName>
    <definedName name="___Tab35" localSheetId="5">#REF!</definedName>
    <definedName name="___Tab35" localSheetId="10">#REF!</definedName>
    <definedName name="___Tab35">#REF!</definedName>
    <definedName name="___TAB4" localSheetId="4">#REF!</definedName>
    <definedName name="___TAB4" localSheetId="14">#REF!</definedName>
    <definedName name="___TAB4" localSheetId="5">#REF!</definedName>
    <definedName name="___TAB4" localSheetId="10">#REF!</definedName>
    <definedName name="___TAB4">#REF!</definedName>
    <definedName name="___TAB5" localSheetId="4">#REF!</definedName>
    <definedName name="___TAB5" localSheetId="14">#REF!</definedName>
    <definedName name="___TAB5" localSheetId="5">#REF!</definedName>
    <definedName name="___TAB5" localSheetId="10">#REF!</definedName>
    <definedName name="___TAB5">#REF!</definedName>
    <definedName name="___tab6" localSheetId="4">#REF!</definedName>
    <definedName name="___tab6" localSheetId="14">#REF!</definedName>
    <definedName name="___tab6" localSheetId="5">#REF!</definedName>
    <definedName name="___tab6" localSheetId="10">#REF!</definedName>
    <definedName name="___tab6">#REF!</definedName>
    <definedName name="___TAB7" localSheetId="4">#REF!</definedName>
    <definedName name="___TAB7" localSheetId="14">#REF!</definedName>
    <definedName name="___TAB7" localSheetId="5">#REF!</definedName>
    <definedName name="___TAB7" localSheetId="10">#REF!</definedName>
    <definedName name="___TAB7">#REF!</definedName>
    <definedName name="___TAB8" localSheetId="4">#REF!</definedName>
    <definedName name="___TAB8" localSheetId="14">#REF!</definedName>
    <definedName name="___TAB8" localSheetId="5">#REF!</definedName>
    <definedName name="___TAB8" localSheetId="10">#REF!</definedName>
    <definedName name="___TAB8">#REF!</definedName>
    <definedName name="___tab9" localSheetId="4">#REF!</definedName>
    <definedName name="___tab9" localSheetId="14">#REF!</definedName>
    <definedName name="___tab9" localSheetId="5">#REF!</definedName>
    <definedName name="___tab9" localSheetId="10">#REF!</definedName>
    <definedName name="___tab9">#REF!</definedName>
    <definedName name="___TB41" localSheetId="4">#REF!</definedName>
    <definedName name="___TB41" localSheetId="14">#REF!</definedName>
    <definedName name="___TB41" localSheetId="5">#REF!</definedName>
    <definedName name="___TB41" localSheetId="10">#REF!</definedName>
    <definedName name="___TB41">#REF!</definedName>
    <definedName name="___WEO1" localSheetId="4">#REF!</definedName>
    <definedName name="___WEO1" localSheetId="14">#REF!</definedName>
    <definedName name="___WEO1" localSheetId="5">#REF!</definedName>
    <definedName name="___WEO1" localSheetId="10">#REF!</definedName>
    <definedName name="___WEO1">#REF!</definedName>
    <definedName name="___WEO2" localSheetId="4">#REF!</definedName>
    <definedName name="___WEO2" localSheetId="14">#REF!</definedName>
    <definedName name="___WEO2" localSheetId="5">#REF!</definedName>
    <definedName name="___WEO2" localSheetId="10">#REF!</definedName>
    <definedName name="___WEO2">#REF!</definedName>
    <definedName name="__123Graph_A" localSheetId="4" hidden="1">#REF!</definedName>
    <definedName name="__123Graph_A" localSheetId="14" hidden="1">#REF!</definedName>
    <definedName name="__123Graph_A" localSheetId="5" hidden="1">#REF!</definedName>
    <definedName name="__123Graph_A" localSheetId="10" hidden="1">#REF!</definedName>
    <definedName name="__123Graph_A" hidden="1">#REF!</definedName>
    <definedName name="__123Graph_ABERLGRAP" localSheetId="4" hidden="1">'[5]Time series'!#REF!</definedName>
    <definedName name="__123Graph_ABERLGRAP" localSheetId="14" hidden="1">'[5]Time series'!#REF!</definedName>
    <definedName name="__123Graph_ABERLGRAP" localSheetId="5" hidden="1">'[5]Time series'!#REF!</definedName>
    <definedName name="__123Graph_ABERLGRAP" hidden="1">'[5]Time series'!#REF!</definedName>
    <definedName name="__123Graph_ACATCH1" localSheetId="4" hidden="1">'[5]Time series'!#REF!</definedName>
    <definedName name="__123Graph_ACATCH1" localSheetId="14" hidden="1">'[5]Time series'!#REF!</definedName>
    <definedName name="__123Graph_ACATCH1" localSheetId="5" hidden="1">'[5]Time series'!#REF!</definedName>
    <definedName name="__123Graph_ACATCH1" hidden="1">'[5]Time series'!#REF!</definedName>
    <definedName name="__123Graph_ACONVERG1" localSheetId="4" hidden="1">'[5]Time series'!#REF!</definedName>
    <definedName name="__123Graph_ACONVERG1" localSheetId="14" hidden="1">'[5]Time series'!#REF!</definedName>
    <definedName name="__123Graph_ACONVERG1" localSheetId="5" hidden="1">'[5]Time series'!#REF!</definedName>
    <definedName name="__123Graph_ACONVERG1" hidden="1">'[5]Time series'!#REF!</definedName>
    <definedName name="__123Graph_AECTOT" localSheetId="4" hidden="1">#REF!</definedName>
    <definedName name="__123Graph_AECTOT" localSheetId="14" hidden="1">#REF!</definedName>
    <definedName name="__123Graph_AECTOT" localSheetId="5" hidden="1">#REF!</definedName>
    <definedName name="__123Graph_AECTOT" localSheetId="7" hidden="1">#REF!</definedName>
    <definedName name="__123Graph_AECTOT" localSheetId="8" hidden="1">#REF!</definedName>
    <definedName name="__123Graph_AECTOT" hidden="1">#REF!</definedName>
    <definedName name="__123Graph_AEXP" localSheetId="4" hidden="1">#REF!</definedName>
    <definedName name="__123Graph_AEXP" localSheetId="14" hidden="1">#REF!</definedName>
    <definedName name="__123Graph_AEXP" localSheetId="5" hidden="1">#REF!</definedName>
    <definedName name="__123Graph_AEXP" localSheetId="7" hidden="1">#REF!</definedName>
    <definedName name="__123Graph_AEXP" localSheetId="8" hidden="1">#REF!</definedName>
    <definedName name="__123Graph_AEXP" localSheetId="10" hidden="1">#REF!</definedName>
    <definedName name="__123Graph_AEXP" hidden="1">#REF!</definedName>
    <definedName name="__123Graph_AGRAPH2" localSheetId="4" hidden="1">'[5]Time series'!#REF!</definedName>
    <definedName name="__123Graph_AGRAPH2" localSheetId="14" hidden="1">'[5]Time series'!#REF!</definedName>
    <definedName name="__123Graph_AGRAPH2" localSheetId="5" hidden="1">'[5]Time series'!#REF!</definedName>
    <definedName name="__123Graph_AGRAPH2" localSheetId="7" hidden="1">'[5]Time series'!#REF!</definedName>
    <definedName name="__123Graph_AGRAPH2" localSheetId="8" hidden="1">'[5]Time series'!#REF!</definedName>
    <definedName name="__123Graph_AGRAPH2" hidden="1">'[5]Time series'!#REF!</definedName>
    <definedName name="__123Graph_AGRAPH41" localSheetId="4" hidden="1">'[5]Time series'!#REF!</definedName>
    <definedName name="__123Graph_AGRAPH41" localSheetId="14" hidden="1">'[5]Time series'!#REF!</definedName>
    <definedName name="__123Graph_AGRAPH41" localSheetId="5" hidden="1">'[5]Time series'!#REF!</definedName>
    <definedName name="__123Graph_AGRAPH41" localSheetId="7" hidden="1">'[5]Time series'!#REF!</definedName>
    <definedName name="__123Graph_AGRAPH41" localSheetId="8" hidden="1">'[5]Time series'!#REF!</definedName>
    <definedName name="__123Graph_AGRAPH41" hidden="1">'[5]Time series'!#REF!</definedName>
    <definedName name="__123Graph_AGRAPH42" localSheetId="4" hidden="1">'[5]Time series'!#REF!</definedName>
    <definedName name="__123Graph_AGRAPH42" localSheetId="14" hidden="1">'[5]Time series'!#REF!</definedName>
    <definedName name="__123Graph_AGRAPH42" localSheetId="5" hidden="1">'[5]Time series'!#REF!</definedName>
    <definedName name="__123Graph_AGRAPH42" hidden="1">'[5]Time series'!#REF!</definedName>
    <definedName name="__123Graph_AGRAPH44" localSheetId="4" hidden="1">'[5]Time series'!#REF!</definedName>
    <definedName name="__123Graph_AGRAPH44" localSheetId="14" hidden="1">'[5]Time series'!#REF!</definedName>
    <definedName name="__123Graph_AGRAPH44" localSheetId="5" hidden="1">'[5]Time series'!#REF!</definedName>
    <definedName name="__123Graph_AGRAPH44" hidden="1">'[5]Time series'!#REF!</definedName>
    <definedName name="__123Graph_APERIB" localSheetId="4" hidden="1">'[5]Time series'!#REF!</definedName>
    <definedName name="__123Graph_APERIB" localSheetId="14" hidden="1">'[5]Time series'!#REF!</definedName>
    <definedName name="__123Graph_APERIB" localSheetId="5" hidden="1">'[5]Time series'!#REF!</definedName>
    <definedName name="__123Graph_APERIB" hidden="1">'[5]Time series'!#REF!</definedName>
    <definedName name="__123Graph_APRODABSC" localSheetId="4" hidden="1">'[5]Time series'!#REF!</definedName>
    <definedName name="__123Graph_APRODABSC" localSheetId="14" hidden="1">'[5]Time series'!#REF!</definedName>
    <definedName name="__123Graph_APRODABSC" localSheetId="5" hidden="1">'[5]Time series'!#REF!</definedName>
    <definedName name="__123Graph_APRODABSC" hidden="1">'[5]Time series'!#REF!</definedName>
    <definedName name="__123Graph_APRODABSD" localSheetId="4" hidden="1">'[5]Time series'!#REF!</definedName>
    <definedName name="__123Graph_APRODABSD" localSheetId="14" hidden="1">'[5]Time series'!#REF!</definedName>
    <definedName name="__123Graph_APRODABSD" localSheetId="5" hidden="1">'[5]Time series'!#REF!</definedName>
    <definedName name="__123Graph_APRODABSD" hidden="1">'[5]Time series'!#REF!</definedName>
    <definedName name="__123Graph_APRODTRE2" localSheetId="4" hidden="1">'[5]Time series'!#REF!</definedName>
    <definedName name="__123Graph_APRODTRE2" localSheetId="14" hidden="1">'[5]Time series'!#REF!</definedName>
    <definedName name="__123Graph_APRODTRE2" localSheetId="5" hidden="1">'[5]Time series'!#REF!</definedName>
    <definedName name="__123Graph_APRODTRE2" hidden="1">'[5]Time series'!#REF!</definedName>
    <definedName name="__123Graph_APRODTRE3" localSheetId="4" hidden="1">'[5]Time series'!#REF!</definedName>
    <definedName name="__123Graph_APRODTRE3" localSheetId="14" hidden="1">'[5]Time series'!#REF!</definedName>
    <definedName name="__123Graph_APRODTRE3" localSheetId="5" hidden="1">'[5]Time series'!#REF!</definedName>
    <definedName name="__123Graph_APRODTRE3" hidden="1">'[5]Time series'!#REF!</definedName>
    <definedName name="__123Graph_APRODTRE4" localSheetId="4" hidden="1">'[5]Time series'!#REF!</definedName>
    <definedName name="__123Graph_APRODTRE4" localSheetId="14" hidden="1">'[5]Time series'!#REF!</definedName>
    <definedName name="__123Graph_APRODTRE4" localSheetId="5" hidden="1">'[5]Time series'!#REF!</definedName>
    <definedName name="__123Graph_APRODTRE4" hidden="1">'[5]Time series'!#REF!</definedName>
    <definedName name="__123Graph_APRODTREND" localSheetId="4" hidden="1">'[5]Time series'!#REF!</definedName>
    <definedName name="__123Graph_APRODTREND" localSheetId="14" hidden="1">'[5]Time series'!#REF!</definedName>
    <definedName name="__123Graph_APRODTREND" localSheetId="5" hidden="1">'[5]Time series'!#REF!</definedName>
    <definedName name="__123Graph_APRODTREND" hidden="1">'[5]Time series'!#REF!</definedName>
    <definedName name="__123Graph_ATEST1" hidden="1">[6]REER!$AZ$144:$AZ$210</definedName>
    <definedName name="__123Graph_AUTRECHT" localSheetId="4" hidden="1">'[5]Time series'!#REF!</definedName>
    <definedName name="__123Graph_AUTRECHT" localSheetId="14" hidden="1">'[5]Time series'!#REF!</definedName>
    <definedName name="__123Graph_AUTRECHT" localSheetId="5" hidden="1">'[5]Time series'!#REF!</definedName>
    <definedName name="__123Graph_AUTRECHT" localSheetId="7" hidden="1">'[5]Time series'!#REF!</definedName>
    <definedName name="__123Graph_AUTRECHT" localSheetId="8" hidden="1">'[5]Time series'!#REF!</definedName>
    <definedName name="__123Graph_AUTRECHT" localSheetId="10" hidden="1">'[5]Time series'!#REF!</definedName>
    <definedName name="__123Graph_AUTRECHT" hidden="1">'[5]Time series'!#REF!</definedName>
    <definedName name="__123Graph_B" localSheetId="4" hidden="1">#REF!</definedName>
    <definedName name="__123Graph_B" localSheetId="14" hidden="1">#REF!</definedName>
    <definedName name="__123Graph_B" localSheetId="5" hidden="1">#REF!</definedName>
    <definedName name="__123Graph_B" localSheetId="7" hidden="1">#REF!</definedName>
    <definedName name="__123Graph_B" localSheetId="8" hidden="1">#REF!</definedName>
    <definedName name="__123Graph_B" localSheetId="10" hidden="1">#REF!</definedName>
    <definedName name="__123Graph_B" hidden="1">#REF!</definedName>
    <definedName name="__123Graph_BBERLGRAP" localSheetId="4" hidden="1">'[5]Time series'!#REF!</definedName>
    <definedName name="__123Graph_BBERLGRAP" localSheetId="14" hidden="1">'[5]Time series'!#REF!</definedName>
    <definedName name="__123Graph_BBERLGRAP" localSheetId="5" hidden="1">'[5]Time series'!#REF!</definedName>
    <definedName name="__123Graph_BBERLGRAP" localSheetId="7" hidden="1">'[5]Time series'!#REF!</definedName>
    <definedName name="__123Graph_BBERLGRAP" localSheetId="8" hidden="1">'[5]Time series'!#REF!</definedName>
    <definedName name="__123Graph_BBERLGRAP" hidden="1">'[5]Time series'!#REF!</definedName>
    <definedName name="__123Graph_BCATCH1" localSheetId="4" hidden="1">'[5]Time series'!#REF!</definedName>
    <definedName name="__123Graph_BCATCH1" localSheetId="14" hidden="1">'[5]Time series'!#REF!</definedName>
    <definedName name="__123Graph_BCATCH1" localSheetId="5" hidden="1">'[5]Time series'!#REF!</definedName>
    <definedName name="__123Graph_BCATCH1" localSheetId="7" hidden="1">'[5]Time series'!#REF!</definedName>
    <definedName name="__123Graph_BCATCH1" localSheetId="8" hidden="1">'[5]Time series'!#REF!</definedName>
    <definedName name="__123Graph_BCATCH1" hidden="1">'[5]Time series'!#REF!</definedName>
    <definedName name="__123Graph_BCONVERG1" localSheetId="4" hidden="1">'[5]Time series'!#REF!</definedName>
    <definedName name="__123Graph_BCONVERG1" localSheetId="14" hidden="1">'[5]Time series'!#REF!</definedName>
    <definedName name="__123Graph_BCONVERG1" localSheetId="5" hidden="1">'[5]Time series'!#REF!</definedName>
    <definedName name="__123Graph_BCONVERG1" localSheetId="7" hidden="1">'[5]Time series'!#REF!</definedName>
    <definedName name="__123Graph_BCONVERG1" localSheetId="8" hidden="1">'[5]Time series'!#REF!</definedName>
    <definedName name="__123Graph_BCONVERG1" hidden="1">'[5]Time series'!#REF!</definedName>
    <definedName name="__123Graph_BCurrent" localSheetId="4" hidden="1">[7]G!#REF!</definedName>
    <definedName name="__123Graph_BCurrent" localSheetId="14" hidden="1">[7]G!#REF!</definedName>
    <definedName name="__123Graph_BCurrent" localSheetId="5" hidden="1">[7]G!#REF!</definedName>
    <definedName name="__123Graph_BCurrent" localSheetId="7" hidden="1">[7]G!#REF!</definedName>
    <definedName name="__123Graph_BCurrent" localSheetId="8" hidden="1">[7]G!#REF!</definedName>
    <definedName name="__123Graph_BCurrent" localSheetId="10" hidden="1">[7]G!#REF!</definedName>
    <definedName name="__123Graph_BCurrent" hidden="1">[7]G!#REF!</definedName>
    <definedName name="__123Graph_BECTOT" localSheetId="4" hidden="1">#REF!</definedName>
    <definedName name="__123Graph_BECTOT" localSheetId="14" hidden="1">#REF!</definedName>
    <definedName name="__123Graph_BECTOT" localSheetId="5" hidden="1">#REF!</definedName>
    <definedName name="__123Graph_BECTOT" localSheetId="7" hidden="1">#REF!</definedName>
    <definedName name="__123Graph_BECTOT" localSheetId="8" hidden="1">#REF!</definedName>
    <definedName name="__123Graph_BECTOT" hidden="1">#REF!</definedName>
    <definedName name="__123Graph_BGDP" localSheetId="4" hidden="1">'[8]Quarterly Program'!#REF!</definedName>
    <definedName name="__123Graph_BGDP" localSheetId="14" hidden="1">'[8]Quarterly Program'!#REF!</definedName>
    <definedName name="__123Graph_BGDP" localSheetId="5" hidden="1">'[8]Quarterly Program'!#REF!</definedName>
    <definedName name="__123Graph_BGDP" localSheetId="7" hidden="1">'[8]Quarterly Program'!#REF!</definedName>
    <definedName name="__123Graph_BGDP" localSheetId="8" hidden="1">'[8]Quarterly Program'!#REF!</definedName>
    <definedName name="__123Graph_BGDP" localSheetId="10" hidden="1">'[8]Quarterly Program'!#REF!</definedName>
    <definedName name="__123Graph_BGDP" hidden="1">'[8]Quarterly Program'!#REF!</definedName>
    <definedName name="__123Graph_BGRAPH2" localSheetId="4" hidden="1">'[5]Time series'!#REF!</definedName>
    <definedName name="__123Graph_BGRAPH2" localSheetId="14" hidden="1">'[5]Time series'!#REF!</definedName>
    <definedName name="__123Graph_BGRAPH2" localSheetId="5" hidden="1">'[5]Time series'!#REF!</definedName>
    <definedName name="__123Graph_BGRAPH2" localSheetId="7" hidden="1">'[5]Time series'!#REF!</definedName>
    <definedName name="__123Graph_BGRAPH2" localSheetId="8" hidden="1">'[5]Time series'!#REF!</definedName>
    <definedName name="__123Graph_BGRAPH2" hidden="1">'[5]Time series'!#REF!</definedName>
    <definedName name="__123Graph_BGRAPH41" localSheetId="4" hidden="1">'[5]Time series'!#REF!</definedName>
    <definedName name="__123Graph_BGRAPH41" localSheetId="14" hidden="1">'[5]Time series'!#REF!</definedName>
    <definedName name="__123Graph_BGRAPH41" localSheetId="5" hidden="1">'[5]Time series'!#REF!</definedName>
    <definedName name="__123Graph_BGRAPH41" localSheetId="7" hidden="1">'[5]Time series'!#REF!</definedName>
    <definedName name="__123Graph_BGRAPH41" localSheetId="8" hidden="1">'[5]Time series'!#REF!</definedName>
    <definedName name="__123Graph_BGRAPH41" hidden="1">'[5]Time series'!#REF!</definedName>
    <definedName name="__123Graph_BMONEY" localSheetId="4" hidden="1">'[8]Quarterly Program'!#REF!</definedName>
    <definedName name="__123Graph_BMONEY" localSheetId="14" hidden="1">'[8]Quarterly Program'!#REF!</definedName>
    <definedName name="__123Graph_BMONEY" localSheetId="5" hidden="1">'[8]Quarterly Program'!#REF!</definedName>
    <definedName name="__123Graph_BMONEY" hidden="1">'[8]Quarterly Program'!#REF!</definedName>
    <definedName name="__123Graph_BPERIB" localSheetId="4" hidden="1">'[5]Time series'!#REF!</definedName>
    <definedName name="__123Graph_BPERIB" localSheetId="14" hidden="1">'[5]Time series'!#REF!</definedName>
    <definedName name="__123Graph_BPERIB" localSheetId="5" hidden="1">'[5]Time series'!#REF!</definedName>
    <definedName name="__123Graph_BPERIB" hidden="1">'[5]Time series'!#REF!</definedName>
    <definedName name="__123Graph_BPRODABSC" localSheetId="4" hidden="1">'[5]Time series'!#REF!</definedName>
    <definedName name="__123Graph_BPRODABSC" localSheetId="14" hidden="1">'[5]Time series'!#REF!</definedName>
    <definedName name="__123Graph_BPRODABSC" localSheetId="5" hidden="1">'[5]Time series'!#REF!</definedName>
    <definedName name="__123Graph_BPRODABSC" hidden="1">'[5]Time series'!#REF!</definedName>
    <definedName name="__123Graph_BPRODABSD" localSheetId="4" hidden="1">'[5]Time series'!#REF!</definedName>
    <definedName name="__123Graph_BPRODABSD" localSheetId="14" hidden="1">'[5]Time series'!#REF!</definedName>
    <definedName name="__123Graph_BPRODABSD" localSheetId="5" hidden="1">'[5]Time series'!#REF!</definedName>
    <definedName name="__123Graph_BPRODABSD" hidden="1">'[5]Time series'!#REF!</definedName>
    <definedName name="__123Graph_BREER3" hidden="1">[6]REER!$BB$144:$BB$212</definedName>
    <definedName name="__123Graph_BTEST1" hidden="1">[6]REER!$AY$144:$AY$210</definedName>
    <definedName name="__123Graph_C" localSheetId="4" hidden="1">#REF!</definedName>
    <definedName name="__123Graph_C" localSheetId="14" hidden="1">#REF!</definedName>
    <definedName name="__123Graph_C" localSheetId="5" hidden="1">#REF!</definedName>
    <definedName name="__123Graph_C" localSheetId="7" hidden="1">#REF!</definedName>
    <definedName name="__123Graph_C" localSheetId="8" hidden="1">#REF!</definedName>
    <definedName name="__123Graph_C" hidden="1">#REF!</definedName>
    <definedName name="__123Graph_CBERLGRAP" localSheetId="4" hidden="1">'[5]Time series'!#REF!</definedName>
    <definedName name="__123Graph_CBERLGRAP" localSheetId="14" hidden="1">'[5]Time series'!#REF!</definedName>
    <definedName name="__123Graph_CBERLGRAP" localSheetId="5" hidden="1">'[5]Time series'!#REF!</definedName>
    <definedName name="__123Graph_CBERLGRAP" localSheetId="7" hidden="1">'[5]Time series'!#REF!</definedName>
    <definedName name="__123Graph_CBERLGRAP" localSheetId="8" hidden="1">'[5]Time series'!#REF!</definedName>
    <definedName name="__123Graph_CBERLGRAP" hidden="1">'[5]Time series'!#REF!</definedName>
    <definedName name="__123Graph_CCATCH1" localSheetId="4" hidden="1">'[5]Time series'!#REF!</definedName>
    <definedName name="__123Graph_CCATCH1" localSheetId="14" hidden="1">'[5]Time series'!#REF!</definedName>
    <definedName name="__123Graph_CCATCH1" localSheetId="5" hidden="1">'[5]Time series'!#REF!</definedName>
    <definedName name="__123Graph_CCATCH1" localSheetId="7" hidden="1">'[5]Time series'!#REF!</definedName>
    <definedName name="__123Graph_CCATCH1" localSheetId="8" hidden="1">'[5]Time series'!#REF!</definedName>
    <definedName name="__123Graph_CCATCH1" hidden="1">'[5]Time series'!#REF!</definedName>
    <definedName name="__123Graph_CECTOT" localSheetId="4" hidden="1">#REF!</definedName>
    <definedName name="__123Graph_CECTOT" localSheetId="14" hidden="1">#REF!</definedName>
    <definedName name="__123Graph_CECTOT" localSheetId="5" hidden="1">#REF!</definedName>
    <definedName name="__123Graph_CECTOT" localSheetId="7" hidden="1">#REF!</definedName>
    <definedName name="__123Graph_CECTOT" localSheetId="8" hidden="1">#REF!</definedName>
    <definedName name="__123Graph_CECTOT" hidden="1">#REF!</definedName>
    <definedName name="__123Graph_CGRAPH41" localSheetId="4" hidden="1">'[5]Time series'!#REF!</definedName>
    <definedName name="__123Graph_CGRAPH41" localSheetId="14" hidden="1">'[5]Time series'!#REF!</definedName>
    <definedName name="__123Graph_CGRAPH41" localSheetId="5" hidden="1">'[5]Time series'!#REF!</definedName>
    <definedName name="__123Graph_CGRAPH41" localSheetId="7" hidden="1">'[5]Time series'!#REF!</definedName>
    <definedName name="__123Graph_CGRAPH41" localSheetId="8" hidden="1">'[5]Time series'!#REF!</definedName>
    <definedName name="__123Graph_CGRAPH41" hidden="1">'[5]Time series'!#REF!</definedName>
    <definedName name="__123Graph_CGRAPH44" localSheetId="4" hidden="1">'[5]Time series'!#REF!</definedName>
    <definedName name="__123Graph_CGRAPH44" localSheetId="14" hidden="1">'[5]Time series'!#REF!</definedName>
    <definedName name="__123Graph_CGRAPH44" localSheetId="5" hidden="1">'[5]Time series'!#REF!</definedName>
    <definedName name="__123Graph_CGRAPH44" localSheetId="7" hidden="1">'[5]Time series'!#REF!</definedName>
    <definedName name="__123Graph_CGRAPH44" localSheetId="8" hidden="1">'[5]Time series'!#REF!</definedName>
    <definedName name="__123Graph_CGRAPH44" hidden="1">'[5]Time series'!#REF!</definedName>
    <definedName name="__123Graph_CPERIA" localSheetId="4" hidden="1">'[5]Time series'!#REF!</definedName>
    <definedName name="__123Graph_CPERIA" localSheetId="14" hidden="1">'[5]Time series'!#REF!</definedName>
    <definedName name="__123Graph_CPERIA" localSheetId="5" hidden="1">'[5]Time series'!#REF!</definedName>
    <definedName name="__123Graph_CPERIA" hidden="1">'[5]Time series'!#REF!</definedName>
    <definedName name="__123Graph_CPERIB" localSheetId="4" hidden="1">'[5]Time series'!#REF!</definedName>
    <definedName name="__123Graph_CPERIB" localSheetId="14" hidden="1">'[5]Time series'!#REF!</definedName>
    <definedName name="__123Graph_CPERIB" localSheetId="5" hidden="1">'[5]Time series'!#REF!</definedName>
    <definedName name="__123Graph_CPERIB" hidden="1">'[5]Time series'!#REF!</definedName>
    <definedName name="__123Graph_CPRODABSC" localSheetId="4" hidden="1">'[5]Time series'!#REF!</definedName>
    <definedName name="__123Graph_CPRODABSC" localSheetId="14" hidden="1">'[5]Time series'!#REF!</definedName>
    <definedName name="__123Graph_CPRODABSC" localSheetId="5" hidden="1">'[5]Time series'!#REF!</definedName>
    <definedName name="__123Graph_CPRODABSC" hidden="1">'[5]Time series'!#REF!</definedName>
    <definedName name="__123Graph_CPRODTRE2" localSheetId="4" hidden="1">'[5]Time series'!#REF!</definedName>
    <definedName name="__123Graph_CPRODTRE2" localSheetId="14" hidden="1">'[5]Time series'!#REF!</definedName>
    <definedName name="__123Graph_CPRODTRE2" localSheetId="5" hidden="1">'[5]Time series'!#REF!</definedName>
    <definedName name="__123Graph_CPRODTRE2" hidden="1">'[5]Time series'!#REF!</definedName>
    <definedName name="__123Graph_CPRODTREND" localSheetId="4" hidden="1">'[5]Time series'!#REF!</definedName>
    <definedName name="__123Graph_CPRODTREND" localSheetId="14" hidden="1">'[5]Time series'!#REF!</definedName>
    <definedName name="__123Graph_CPRODTREND" localSheetId="5" hidden="1">'[5]Time series'!#REF!</definedName>
    <definedName name="__123Graph_CPRODTREND" hidden="1">'[5]Time series'!#REF!</definedName>
    <definedName name="__123Graph_CREER3" hidden="1">[6]REER!$BB$144:$BB$212</definedName>
    <definedName name="__123Graph_CTEST1" hidden="1">[6]REER!$BK$140:$BK$140</definedName>
    <definedName name="__123Graph_CUTRECHT" localSheetId="4" hidden="1">'[5]Time series'!#REF!</definedName>
    <definedName name="__123Graph_CUTRECHT" localSheetId="14" hidden="1">'[5]Time series'!#REF!</definedName>
    <definedName name="__123Graph_CUTRECHT" localSheetId="5" hidden="1">'[5]Time series'!#REF!</definedName>
    <definedName name="__123Graph_CUTRECHT" localSheetId="7" hidden="1">'[5]Time series'!#REF!</definedName>
    <definedName name="__123Graph_CUTRECHT" localSheetId="8" hidden="1">'[5]Time series'!#REF!</definedName>
    <definedName name="__123Graph_CUTRECHT" localSheetId="10" hidden="1">'[5]Time series'!#REF!</definedName>
    <definedName name="__123Graph_CUTRECHT" hidden="1">'[5]Time series'!#REF!</definedName>
    <definedName name="__123Graph_D" localSheetId="4" hidden="1">#REF!</definedName>
    <definedName name="__123Graph_D" localSheetId="14" hidden="1">#REF!</definedName>
    <definedName name="__123Graph_D" localSheetId="5" hidden="1">#REF!</definedName>
    <definedName name="__123Graph_D" localSheetId="7" hidden="1">#REF!</definedName>
    <definedName name="__123Graph_D" localSheetId="8" hidden="1">#REF!</definedName>
    <definedName name="__123Graph_D" hidden="1">#REF!</definedName>
    <definedName name="__123Graph_DBERLGRAP" localSheetId="4" hidden="1">'[5]Time series'!#REF!</definedName>
    <definedName name="__123Graph_DBERLGRAP" localSheetId="14" hidden="1">'[5]Time series'!#REF!</definedName>
    <definedName name="__123Graph_DBERLGRAP" localSheetId="5" hidden="1">'[5]Time series'!#REF!</definedName>
    <definedName name="__123Graph_DBERLGRAP" localSheetId="7" hidden="1">'[5]Time series'!#REF!</definedName>
    <definedName name="__123Graph_DBERLGRAP" localSheetId="8" hidden="1">'[5]Time series'!#REF!</definedName>
    <definedName name="__123Graph_DBERLGRAP" hidden="1">'[5]Time series'!#REF!</definedName>
    <definedName name="__123Graph_DCATCH1" localSheetId="4" hidden="1">'[5]Time series'!#REF!</definedName>
    <definedName name="__123Graph_DCATCH1" localSheetId="14" hidden="1">'[5]Time series'!#REF!</definedName>
    <definedName name="__123Graph_DCATCH1" localSheetId="5" hidden="1">'[5]Time series'!#REF!</definedName>
    <definedName name="__123Graph_DCATCH1" localSheetId="7" hidden="1">'[5]Time series'!#REF!</definedName>
    <definedName name="__123Graph_DCATCH1" localSheetId="8" hidden="1">'[5]Time series'!#REF!</definedName>
    <definedName name="__123Graph_DCATCH1" hidden="1">'[5]Time series'!#REF!</definedName>
    <definedName name="__123Graph_DCONVERG1" localSheetId="4" hidden="1">'[5]Time series'!#REF!</definedName>
    <definedName name="__123Graph_DCONVERG1" localSheetId="14" hidden="1">'[5]Time series'!#REF!</definedName>
    <definedName name="__123Graph_DCONVERG1" localSheetId="5" hidden="1">'[5]Time series'!#REF!</definedName>
    <definedName name="__123Graph_DCONVERG1" localSheetId="7" hidden="1">'[5]Time series'!#REF!</definedName>
    <definedName name="__123Graph_DCONVERG1" localSheetId="8" hidden="1">'[5]Time series'!#REF!</definedName>
    <definedName name="__123Graph_DCONVERG1" hidden="1">'[5]Time series'!#REF!</definedName>
    <definedName name="__123Graph_DECTOT" localSheetId="4" hidden="1">#REF!</definedName>
    <definedName name="__123Graph_DECTOT" localSheetId="14" hidden="1">#REF!</definedName>
    <definedName name="__123Graph_DECTOT" localSheetId="5" hidden="1">#REF!</definedName>
    <definedName name="__123Graph_DECTOT" localSheetId="7" hidden="1">#REF!</definedName>
    <definedName name="__123Graph_DECTOT" localSheetId="8" hidden="1">#REF!</definedName>
    <definedName name="__123Graph_DECTOT" hidden="1">#REF!</definedName>
    <definedName name="__123Graph_DGRAPH41" localSheetId="4" hidden="1">'[5]Time series'!#REF!</definedName>
    <definedName name="__123Graph_DGRAPH41" localSheetId="14" hidden="1">'[5]Time series'!#REF!</definedName>
    <definedName name="__123Graph_DGRAPH41" localSheetId="5" hidden="1">'[5]Time series'!#REF!</definedName>
    <definedName name="__123Graph_DGRAPH41" localSheetId="7" hidden="1">'[5]Time series'!#REF!</definedName>
    <definedName name="__123Graph_DGRAPH41" localSheetId="8" hidden="1">'[5]Time series'!#REF!</definedName>
    <definedName name="__123Graph_DGRAPH41" hidden="1">'[5]Time series'!#REF!</definedName>
    <definedName name="__123Graph_DPERIA" localSheetId="4" hidden="1">'[5]Time series'!#REF!</definedName>
    <definedName name="__123Graph_DPERIA" localSheetId="14" hidden="1">'[5]Time series'!#REF!</definedName>
    <definedName name="__123Graph_DPERIA" localSheetId="5" hidden="1">'[5]Time series'!#REF!</definedName>
    <definedName name="__123Graph_DPERIA" localSheetId="7" hidden="1">'[5]Time series'!#REF!</definedName>
    <definedName name="__123Graph_DPERIA" localSheetId="8" hidden="1">'[5]Time series'!#REF!</definedName>
    <definedName name="__123Graph_DPERIA" hidden="1">'[5]Time series'!#REF!</definedName>
    <definedName name="__123Graph_DPERIB" localSheetId="4" hidden="1">'[5]Time series'!#REF!</definedName>
    <definedName name="__123Graph_DPERIB" localSheetId="14" hidden="1">'[5]Time series'!#REF!</definedName>
    <definedName name="__123Graph_DPERIB" localSheetId="5" hidden="1">'[5]Time series'!#REF!</definedName>
    <definedName name="__123Graph_DPERIB" localSheetId="7" hidden="1">'[5]Time series'!#REF!</definedName>
    <definedName name="__123Graph_DPERIB" localSheetId="8" hidden="1">'[5]Time series'!#REF!</definedName>
    <definedName name="__123Graph_DPERIB" hidden="1">'[5]Time series'!#REF!</definedName>
    <definedName name="__123Graph_DPRODABSC" localSheetId="4" hidden="1">'[5]Time series'!#REF!</definedName>
    <definedName name="__123Graph_DPRODABSC" localSheetId="14" hidden="1">'[5]Time series'!#REF!</definedName>
    <definedName name="__123Graph_DPRODABSC" localSheetId="5" hidden="1">'[5]Time series'!#REF!</definedName>
    <definedName name="__123Graph_DPRODABSC" localSheetId="7" hidden="1">'[5]Time series'!#REF!</definedName>
    <definedName name="__123Graph_DPRODABSC" localSheetId="8" hidden="1">'[5]Time series'!#REF!</definedName>
    <definedName name="__123Graph_DPRODABSC" hidden="1">'[5]Time series'!#REF!</definedName>
    <definedName name="__123Graph_DREER3" hidden="1">[6]REER!$BB$144:$BB$210</definedName>
    <definedName name="__123Graph_DTEST1" hidden="1">[6]REER!$BB$144:$BB$210</definedName>
    <definedName name="__123Graph_DUTRECHT" localSheetId="4" hidden="1">'[5]Time series'!#REF!</definedName>
    <definedName name="__123Graph_DUTRECHT" localSheetId="14" hidden="1">'[5]Time series'!#REF!</definedName>
    <definedName name="__123Graph_DUTRECHT" localSheetId="5" hidden="1">'[5]Time series'!#REF!</definedName>
    <definedName name="__123Graph_DUTRECHT" localSheetId="7" hidden="1">'[5]Time series'!#REF!</definedName>
    <definedName name="__123Graph_DUTRECHT" localSheetId="8" hidden="1">'[5]Time series'!#REF!</definedName>
    <definedName name="__123Graph_DUTRECHT" localSheetId="10" hidden="1">'[5]Time series'!#REF!</definedName>
    <definedName name="__123Graph_DUTRECHT" hidden="1">'[5]Time series'!#REF!</definedName>
    <definedName name="__123Graph_E" localSheetId="4" hidden="1">#REF!</definedName>
    <definedName name="__123Graph_E" localSheetId="14" hidden="1">#REF!</definedName>
    <definedName name="__123Graph_E" localSheetId="5" hidden="1">#REF!</definedName>
    <definedName name="__123Graph_E" localSheetId="7" hidden="1">#REF!</definedName>
    <definedName name="__123Graph_E" localSheetId="8" hidden="1">#REF!</definedName>
    <definedName name="__123Graph_E" hidden="1">#REF!</definedName>
    <definedName name="__123Graph_EBERLGRAP" localSheetId="4" hidden="1">'[5]Time series'!#REF!</definedName>
    <definedName name="__123Graph_EBERLGRAP" localSheetId="14" hidden="1">'[5]Time series'!#REF!</definedName>
    <definedName name="__123Graph_EBERLGRAP" localSheetId="5" hidden="1">'[5]Time series'!#REF!</definedName>
    <definedName name="__123Graph_EBERLGRAP" localSheetId="7" hidden="1">'[5]Time series'!#REF!</definedName>
    <definedName name="__123Graph_EBERLGRAP" localSheetId="8" hidden="1">'[5]Time series'!#REF!</definedName>
    <definedName name="__123Graph_EBERLGRAP" hidden="1">'[5]Time series'!#REF!</definedName>
    <definedName name="__123Graph_ECONVERG1" localSheetId="4" hidden="1">'[5]Time series'!#REF!</definedName>
    <definedName name="__123Graph_ECONVERG1" localSheetId="14" hidden="1">'[5]Time series'!#REF!</definedName>
    <definedName name="__123Graph_ECONVERG1" localSheetId="5" hidden="1">'[5]Time series'!#REF!</definedName>
    <definedName name="__123Graph_ECONVERG1" localSheetId="7" hidden="1">'[5]Time series'!#REF!</definedName>
    <definedName name="__123Graph_ECONVERG1" localSheetId="8" hidden="1">'[5]Time series'!#REF!</definedName>
    <definedName name="__123Graph_ECONVERG1" hidden="1">'[5]Time series'!#REF!</definedName>
    <definedName name="__123Graph_EECTOT" localSheetId="4" hidden="1">#REF!</definedName>
    <definedName name="__123Graph_EECTOT" localSheetId="14" hidden="1">#REF!</definedName>
    <definedName name="__123Graph_EECTOT" localSheetId="5" hidden="1">#REF!</definedName>
    <definedName name="__123Graph_EECTOT" localSheetId="7" hidden="1">#REF!</definedName>
    <definedName name="__123Graph_EECTOT" localSheetId="8" hidden="1">#REF!</definedName>
    <definedName name="__123Graph_EECTOT" hidden="1">#REF!</definedName>
    <definedName name="__123Graph_EGRAPH41" localSheetId="4" hidden="1">'[5]Time series'!#REF!</definedName>
    <definedName name="__123Graph_EGRAPH41" localSheetId="14" hidden="1">'[5]Time series'!#REF!</definedName>
    <definedName name="__123Graph_EGRAPH41" localSheetId="5" hidden="1">'[5]Time series'!#REF!</definedName>
    <definedName name="__123Graph_EGRAPH41" localSheetId="7" hidden="1">'[5]Time series'!#REF!</definedName>
    <definedName name="__123Graph_EGRAPH41" localSheetId="8" hidden="1">'[5]Time series'!#REF!</definedName>
    <definedName name="__123Graph_EGRAPH41" hidden="1">'[5]Time series'!#REF!</definedName>
    <definedName name="__123Graph_EPERIA" localSheetId="4" hidden="1">'[5]Time series'!#REF!</definedName>
    <definedName name="__123Graph_EPERIA" localSheetId="14" hidden="1">'[5]Time series'!#REF!</definedName>
    <definedName name="__123Graph_EPERIA" localSheetId="5" hidden="1">'[5]Time series'!#REF!</definedName>
    <definedName name="__123Graph_EPERIA" localSheetId="7" hidden="1">'[5]Time series'!#REF!</definedName>
    <definedName name="__123Graph_EPERIA" localSheetId="8" hidden="1">'[5]Time series'!#REF!</definedName>
    <definedName name="__123Graph_EPERIA" hidden="1">'[5]Time series'!#REF!</definedName>
    <definedName name="__123Graph_EPRODABSC" localSheetId="4" hidden="1">'[5]Time series'!#REF!</definedName>
    <definedName name="__123Graph_EPRODABSC" localSheetId="14" hidden="1">'[5]Time series'!#REF!</definedName>
    <definedName name="__123Graph_EPRODABSC" localSheetId="5" hidden="1">'[5]Time series'!#REF!</definedName>
    <definedName name="__123Graph_EPRODABSC" localSheetId="7" hidden="1">'[5]Time series'!#REF!</definedName>
    <definedName name="__123Graph_EPRODABSC" localSheetId="8" hidden="1">'[5]Time series'!#REF!</definedName>
    <definedName name="__123Graph_EPRODABSC" hidden="1">'[5]Time series'!#REF!</definedName>
    <definedName name="__123Graph_EREER3" hidden="1">[6]REER!$BR$144:$BR$211</definedName>
    <definedName name="__123Graph_ETEST1" hidden="1">[6]REER!$BR$144:$BR$211</definedName>
    <definedName name="__123Graph_FBERLGRAP" localSheetId="4" hidden="1">'[5]Time series'!#REF!</definedName>
    <definedName name="__123Graph_FBERLGRAP" localSheetId="14" hidden="1">'[5]Time series'!#REF!</definedName>
    <definedName name="__123Graph_FBERLGRAP" localSheetId="5" hidden="1">'[5]Time series'!#REF!</definedName>
    <definedName name="__123Graph_FBERLGRAP" localSheetId="7" hidden="1">'[5]Time series'!#REF!</definedName>
    <definedName name="__123Graph_FBERLGRAP" localSheetId="8" hidden="1">'[5]Time series'!#REF!</definedName>
    <definedName name="__123Graph_FBERLGRAP" localSheetId="10" hidden="1">'[5]Time series'!#REF!</definedName>
    <definedName name="__123Graph_FBERLGRAP" hidden="1">'[5]Time series'!#REF!</definedName>
    <definedName name="__123Graph_FGRAPH41" localSheetId="4" hidden="1">'[5]Time series'!#REF!</definedName>
    <definedName name="__123Graph_FGRAPH41" localSheetId="14" hidden="1">'[5]Time series'!#REF!</definedName>
    <definedName name="__123Graph_FGRAPH41" localSheetId="5" hidden="1">'[5]Time series'!#REF!</definedName>
    <definedName name="__123Graph_FGRAPH41" localSheetId="7" hidden="1">'[5]Time series'!#REF!</definedName>
    <definedName name="__123Graph_FGRAPH41" localSheetId="8" hidden="1">'[5]Time series'!#REF!</definedName>
    <definedName name="__123Graph_FGRAPH41" hidden="1">'[5]Time series'!#REF!</definedName>
    <definedName name="__123Graph_FPRODABSC" localSheetId="4" hidden="1">'[5]Time series'!#REF!</definedName>
    <definedName name="__123Graph_FPRODABSC" localSheetId="14" hidden="1">'[5]Time series'!#REF!</definedName>
    <definedName name="__123Graph_FPRODABSC" localSheetId="5" hidden="1">'[5]Time series'!#REF!</definedName>
    <definedName name="__123Graph_FPRODABSC" localSheetId="7" hidden="1">'[5]Time series'!#REF!</definedName>
    <definedName name="__123Graph_FPRODABSC" localSheetId="8" hidden="1">'[5]Time series'!#REF!</definedName>
    <definedName name="__123Graph_FPRODABSC" hidden="1">'[5]Time series'!#REF!</definedName>
    <definedName name="__123Graph_FREER3" hidden="1">[6]REER!$BN$140:$BN$140</definedName>
    <definedName name="__123Graph_FTEST1" hidden="1">[6]REER!$BN$140:$BN$140</definedName>
    <definedName name="__123Graph_X" localSheetId="4" hidden="1">'[9]i2-KA'!#REF!</definedName>
    <definedName name="__123Graph_X" localSheetId="14" hidden="1">'[9]i2-KA'!#REF!</definedName>
    <definedName name="__123Graph_X" localSheetId="5" hidden="1">'[9]i2-KA'!#REF!</definedName>
    <definedName name="__123Graph_X" localSheetId="7" hidden="1">'[9]i2-KA'!#REF!</definedName>
    <definedName name="__123Graph_X" localSheetId="8" hidden="1">'[9]i2-KA'!#REF!</definedName>
    <definedName name="__123Graph_X" hidden="1">'[9]i2-KA'!#REF!</definedName>
    <definedName name="__123Graph_XCurrent" localSheetId="4" hidden="1">'[9]i2-KA'!#REF!</definedName>
    <definedName name="__123Graph_XCurrent" localSheetId="14" hidden="1">'[9]i2-KA'!#REF!</definedName>
    <definedName name="__123Graph_XCurrent" localSheetId="5" hidden="1">'[9]i2-KA'!#REF!</definedName>
    <definedName name="__123Graph_XCurrent" localSheetId="7" hidden="1">'[9]i2-KA'!#REF!</definedName>
    <definedName name="__123Graph_XCurrent" localSheetId="8" hidden="1">'[9]i2-KA'!#REF!</definedName>
    <definedName name="__123Graph_XCurrent" hidden="1">'[9]i2-KA'!#REF!</definedName>
    <definedName name="__123Graph_XECTOT" localSheetId="4" hidden="1">#REF!</definedName>
    <definedName name="__123Graph_XECTOT" localSheetId="14" hidden="1">#REF!</definedName>
    <definedName name="__123Graph_XECTOT" localSheetId="5" hidden="1">#REF!</definedName>
    <definedName name="__123Graph_XECTOT" localSheetId="7" hidden="1">#REF!</definedName>
    <definedName name="__123Graph_XECTOT" localSheetId="8" hidden="1">#REF!</definedName>
    <definedName name="__123Graph_XECTOT" hidden="1">#REF!</definedName>
    <definedName name="__123Graph_XEXP" localSheetId="4" hidden="1">[10]EdssGeeGAS!#REF!</definedName>
    <definedName name="__123Graph_XEXP" localSheetId="14" hidden="1">[10]EdssGeeGAS!#REF!</definedName>
    <definedName name="__123Graph_XEXP" localSheetId="5" hidden="1">[10]EdssGeeGAS!#REF!</definedName>
    <definedName name="__123Graph_XEXP" localSheetId="7" hidden="1">[10]EdssGeeGAS!#REF!</definedName>
    <definedName name="__123Graph_XEXP" localSheetId="8" hidden="1">[10]EdssGeeGAS!#REF!</definedName>
    <definedName name="__123Graph_XEXP" hidden="1">[10]EdssGeeGAS!#REF!</definedName>
    <definedName name="__123Graph_XChart1" localSheetId="4" hidden="1">'[9]i2-KA'!#REF!</definedName>
    <definedName name="__123Graph_XChart1" localSheetId="14" hidden="1">'[9]i2-KA'!#REF!</definedName>
    <definedName name="__123Graph_XChart1" localSheetId="5" hidden="1">'[9]i2-KA'!#REF!</definedName>
    <definedName name="__123Graph_XChart1" localSheetId="7" hidden="1">'[9]i2-KA'!#REF!</definedName>
    <definedName name="__123Graph_XChart1" localSheetId="8" hidden="1">'[9]i2-KA'!#REF!</definedName>
    <definedName name="__123Graph_XChart1" hidden="1">'[9]i2-KA'!#REF!</definedName>
    <definedName name="__123Graph_XChart2" localSheetId="4" hidden="1">'[9]i2-KA'!#REF!</definedName>
    <definedName name="__123Graph_XChart2" localSheetId="14" hidden="1">'[9]i2-KA'!#REF!</definedName>
    <definedName name="__123Graph_XChart2" localSheetId="5" hidden="1">'[9]i2-KA'!#REF!</definedName>
    <definedName name="__123Graph_XChart2" localSheetId="7" hidden="1">'[9]i2-KA'!#REF!</definedName>
    <definedName name="__123Graph_XChart2" localSheetId="8" hidden="1">'[9]i2-KA'!#REF!</definedName>
    <definedName name="__123Graph_XChart2" hidden="1">'[9]i2-KA'!#REF!</definedName>
    <definedName name="__123Graph_XTEST1" hidden="1">[6]REER!$C$9:$C$75</definedName>
    <definedName name="__BOP1" localSheetId="4">#REF!</definedName>
    <definedName name="__BOP1" localSheetId="14">#REF!</definedName>
    <definedName name="__BOP1" localSheetId="5">#REF!</definedName>
    <definedName name="__BOP1" localSheetId="7">#REF!</definedName>
    <definedName name="__BOP1" localSheetId="8">#REF!</definedName>
    <definedName name="__BOP1" localSheetId="10">#REF!</definedName>
    <definedName name="__BOP1">#REF!</definedName>
    <definedName name="__BOP2" localSheetId="4">[1]BoP!#REF!</definedName>
    <definedName name="__BOP2" localSheetId="14">[1]BoP!#REF!</definedName>
    <definedName name="__BOP2" localSheetId="5">[1]BoP!#REF!</definedName>
    <definedName name="__BOP2" localSheetId="6">[1]BoP!#REF!</definedName>
    <definedName name="__BOP2" localSheetId="7">[1]BoP!#REF!</definedName>
    <definedName name="__BOP2" localSheetId="8">[1]BoP!#REF!</definedName>
    <definedName name="__BOP2" localSheetId="10">[1]BoP!#REF!</definedName>
    <definedName name="__BOP2">[1]BoP!#REF!</definedName>
    <definedName name="__dat1" localSheetId="4">'[2]work Q real'!#REF!</definedName>
    <definedName name="__dat1" localSheetId="14">'[2]work Q real'!#REF!</definedName>
    <definedName name="__dat1" localSheetId="5">'[2]work Q real'!#REF!</definedName>
    <definedName name="__dat1" localSheetId="7">'[2]work Q real'!#REF!</definedName>
    <definedName name="__dat1" localSheetId="8">'[2]work Q real'!#REF!</definedName>
    <definedName name="__dat1">'[2]work Q real'!#REF!</definedName>
    <definedName name="__dat2" localSheetId="4">#REF!</definedName>
    <definedName name="__dat2" localSheetId="14">#REF!</definedName>
    <definedName name="__dat2" localSheetId="5">#REF!</definedName>
    <definedName name="__dat2" localSheetId="7">#REF!</definedName>
    <definedName name="__dat2" localSheetId="8">#REF!</definedName>
    <definedName name="__dat2" localSheetId="10">#REF!</definedName>
    <definedName name="__dat2">#REF!</definedName>
    <definedName name="__EXP5" localSheetId="4">#REF!</definedName>
    <definedName name="__EXP5" localSheetId="14">#REF!</definedName>
    <definedName name="__EXP5" localSheetId="5">#REF!</definedName>
    <definedName name="__EXP5" localSheetId="10">#REF!</definedName>
    <definedName name="__EXP5">#REF!</definedName>
    <definedName name="__EXP6" localSheetId="4">#REF!</definedName>
    <definedName name="__EXP6" localSheetId="14">#REF!</definedName>
    <definedName name="__EXP6" localSheetId="5">#REF!</definedName>
    <definedName name="__EXP6" localSheetId="10">#REF!</definedName>
    <definedName name="__EXP6">#REF!</definedName>
    <definedName name="__EXP7" localSheetId="4">#REF!</definedName>
    <definedName name="__EXP7" localSheetId="14">#REF!</definedName>
    <definedName name="__EXP7" localSheetId="5">#REF!</definedName>
    <definedName name="__EXP7" localSheetId="10">#REF!</definedName>
    <definedName name="__EXP7">#REF!</definedName>
    <definedName name="__EXP9" localSheetId="4">#REF!</definedName>
    <definedName name="__EXP9" localSheetId="14">#REF!</definedName>
    <definedName name="__EXP9" localSheetId="5">#REF!</definedName>
    <definedName name="__EXP9" localSheetId="10">#REF!</definedName>
    <definedName name="__EXP9">#REF!</definedName>
    <definedName name="__IMP10" localSheetId="4">#REF!</definedName>
    <definedName name="__IMP10" localSheetId="14">#REF!</definedName>
    <definedName name="__IMP10" localSheetId="5">#REF!</definedName>
    <definedName name="__IMP10" localSheetId="10">#REF!</definedName>
    <definedName name="__IMP10">#REF!</definedName>
    <definedName name="__IMP2" localSheetId="4">#REF!</definedName>
    <definedName name="__IMP2" localSheetId="14">#REF!</definedName>
    <definedName name="__IMP2" localSheetId="5">#REF!</definedName>
    <definedName name="__IMP2" localSheetId="10">#REF!</definedName>
    <definedName name="__IMP2">#REF!</definedName>
    <definedName name="__IMP4" localSheetId="4">#REF!</definedName>
    <definedName name="__IMP4" localSheetId="14">#REF!</definedName>
    <definedName name="__IMP4" localSheetId="5">#REF!</definedName>
    <definedName name="__IMP4" localSheetId="10">#REF!</definedName>
    <definedName name="__IMP4">#REF!</definedName>
    <definedName name="__IMP6" localSheetId="4">#REF!</definedName>
    <definedName name="__IMP6" localSheetId="14">#REF!</definedName>
    <definedName name="__IMP6" localSheetId="5">#REF!</definedName>
    <definedName name="__IMP6" localSheetId="10">#REF!</definedName>
    <definedName name="__IMP6">#REF!</definedName>
    <definedName name="__IMP7" localSheetId="4">#REF!</definedName>
    <definedName name="__IMP7" localSheetId="14">#REF!</definedName>
    <definedName name="__IMP7" localSheetId="5">#REF!</definedName>
    <definedName name="__IMP7" localSheetId="10">#REF!</definedName>
    <definedName name="__IMP7">#REF!</definedName>
    <definedName name="__IMP8" localSheetId="4">#REF!</definedName>
    <definedName name="__IMP8" localSheetId="14">#REF!</definedName>
    <definedName name="__IMP8" localSheetId="5">#REF!</definedName>
    <definedName name="__IMP8" localSheetId="10">#REF!</definedName>
    <definedName name="__IMP8">#REF!</definedName>
    <definedName name="__MTS2" localSheetId="4">'[3]Annual Tables'!#REF!</definedName>
    <definedName name="__MTS2" localSheetId="14">'[3]Annual Tables'!#REF!</definedName>
    <definedName name="__MTS2" localSheetId="5">'[3]Annual Tables'!#REF!</definedName>
    <definedName name="__MTS2" localSheetId="10">'[3]Annual Tables'!#REF!</definedName>
    <definedName name="__MTS2">'[3]Annual Tables'!#REF!</definedName>
    <definedName name="__OUT1" localSheetId="4">#REF!</definedName>
    <definedName name="__OUT1" localSheetId="14">#REF!</definedName>
    <definedName name="__OUT1" localSheetId="5">#REF!</definedName>
    <definedName name="__OUT1" localSheetId="7">#REF!</definedName>
    <definedName name="__OUT1" localSheetId="8">#REF!</definedName>
    <definedName name="__OUT1" localSheetId="10">#REF!</definedName>
    <definedName name="__OUT1">#REF!</definedName>
    <definedName name="__OUT2" localSheetId="4">#REF!</definedName>
    <definedName name="__OUT2" localSheetId="14">#REF!</definedName>
    <definedName name="__OUT2" localSheetId="5">#REF!</definedName>
    <definedName name="__OUT2" localSheetId="10">#REF!</definedName>
    <definedName name="__OUT2">#REF!</definedName>
    <definedName name="__PAG2" localSheetId="4">[3]Index!#REF!</definedName>
    <definedName name="__PAG2" localSheetId="14">[3]Index!#REF!</definedName>
    <definedName name="__PAG2" localSheetId="5">[3]Index!#REF!</definedName>
    <definedName name="__PAG2" localSheetId="10">[3]Index!#REF!</definedName>
    <definedName name="__PAG2">[3]Index!#REF!</definedName>
    <definedName name="__PAG3" localSheetId="4">[3]Index!#REF!</definedName>
    <definedName name="__PAG3" localSheetId="14">[3]Index!#REF!</definedName>
    <definedName name="__PAG3" localSheetId="5">[3]Index!#REF!</definedName>
    <definedName name="__PAG3">[3]Index!#REF!</definedName>
    <definedName name="__PAG4" localSheetId="4">[3]Index!#REF!</definedName>
    <definedName name="__PAG4" localSheetId="14">[3]Index!#REF!</definedName>
    <definedName name="__PAG4" localSheetId="5">[3]Index!#REF!</definedName>
    <definedName name="__PAG4">[3]Index!#REF!</definedName>
    <definedName name="__PAG5" localSheetId="4">[3]Index!#REF!</definedName>
    <definedName name="__PAG5" localSheetId="14">[3]Index!#REF!</definedName>
    <definedName name="__PAG5" localSheetId="5">[3]Index!#REF!</definedName>
    <definedName name="__PAG5">[3]Index!#REF!</definedName>
    <definedName name="__PAG6" localSheetId="4">[3]Index!#REF!</definedName>
    <definedName name="__PAG6" localSheetId="14">[3]Index!#REF!</definedName>
    <definedName name="__PAG6" localSheetId="5">[3]Index!#REF!</definedName>
    <definedName name="__PAG6">[3]Index!#REF!</definedName>
    <definedName name="__PAG7" localSheetId="4">#REF!</definedName>
    <definedName name="__PAG7" localSheetId="14">#REF!</definedName>
    <definedName name="__PAG7" localSheetId="5">#REF!</definedName>
    <definedName name="__PAG7" localSheetId="7">#REF!</definedName>
    <definedName name="__PAG7" localSheetId="8">#REF!</definedName>
    <definedName name="__PAG7" localSheetId="10">#REF!</definedName>
    <definedName name="__PAG7">#REF!</definedName>
    <definedName name="__pro2001">[11]pro2001!$A$1:$B$72</definedName>
    <definedName name="__RES2" localSheetId="4">[1]RES!#REF!</definedName>
    <definedName name="__RES2" localSheetId="14">[1]RES!#REF!</definedName>
    <definedName name="__RES2" localSheetId="5">[1]RES!#REF!</definedName>
    <definedName name="__RES2" localSheetId="7">[1]RES!#REF!</definedName>
    <definedName name="__RES2" localSheetId="8">[1]RES!#REF!</definedName>
    <definedName name="__RES2">[1]RES!#REF!</definedName>
    <definedName name="__TAB1" localSheetId="4">#REF!</definedName>
    <definedName name="__TAB1" localSheetId="14">#REF!</definedName>
    <definedName name="__TAB1" localSheetId="5">#REF!</definedName>
    <definedName name="__TAB1" localSheetId="7">#REF!</definedName>
    <definedName name="__TAB1" localSheetId="8">#REF!</definedName>
    <definedName name="__TAB1" localSheetId="10">#REF!</definedName>
    <definedName name="__TAB1">#REF!</definedName>
    <definedName name="__TAB10" localSheetId="4">#REF!</definedName>
    <definedName name="__TAB10" localSheetId="14">#REF!</definedName>
    <definedName name="__TAB10" localSheetId="5">#REF!</definedName>
    <definedName name="__TAB10" localSheetId="10">#REF!</definedName>
    <definedName name="__TAB10">#REF!</definedName>
    <definedName name="__TAB12" localSheetId="4">#REF!</definedName>
    <definedName name="__TAB12" localSheetId="14">#REF!</definedName>
    <definedName name="__TAB12" localSheetId="5">#REF!</definedName>
    <definedName name="__TAB12" localSheetId="10">#REF!</definedName>
    <definedName name="__TAB12">#REF!</definedName>
    <definedName name="__Tab19" localSheetId="4">#REF!</definedName>
    <definedName name="__Tab19" localSheetId="14">#REF!</definedName>
    <definedName name="__Tab19" localSheetId="5">#REF!</definedName>
    <definedName name="__Tab19" localSheetId="10">#REF!</definedName>
    <definedName name="__Tab19">#REF!</definedName>
    <definedName name="__TAB2" localSheetId="4">#REF!</definedName>
    <definedName name="__TAB2" localSheetId="14">#REF!</definedName>
    <definedName name="__TAB2" localSheetId="5">#REF!</definedName>
    <definedName name="__TAB2" localSheetId="10">#REF!</definedName>
    <definedName name="__TAB2">#REF!</definedName>
    <definedName name="__Tab20" localSheetId="4">#REF!</definedName>
    <definedName name="__Tab20" localSheetId="14">#REF!</definedName>
    <definedName name="__Tab20" localSheetId="5">#REF!</definedName>
    <definedName name="__Tab20" localSheetId="10">#REF!</definedName>
    <definedName name="__Tab20">#REF!</definedName>
    <definedName name="__Tab21" localSheetId="4">#REF!</definedName>
    <definedName name="__Tab21" localSheetId="14">#REF!</definedName>
    <definedName name="__Tab21" localSheetId="5">#REF!</definedName>
    <definedName name="__Tab21" localSheetId="10">#REF!</definedName>
    <definedName name="__Tab21">#REF!</definedName>
    <definedName name="__Tab22" localSheetId="4">#REF!</definedName>
    <definedName name="__Tab22" localSheetId="14">#REF!</definedName>
    <definedName name="__Tab22" localSheetId="5">#REF!</definedName>
    <definedName name="__Tab22" localSheetId="10">#REF!</definedName>
    <definedName name="__Tab22">#REF!</definedName>
    <definedName name="__Tab23" localSheetId="4">#REF!</definedName>
    <definedName name="__Tab23" localSheetId="14">#REF!</definedName>
    <definedName name="__Tab23" localSheetId="5">#REF!</definedName>
    <definedName name="__Tab23" localSheetId="10">#REF!</definedName>
    <definedName name="__Tab23">#REF!</definedName>
    <definedName name="__Tab24" localSheetId="4">#REF!</definedName>
    <definedName name="__Tab24" localSheetId="14">#REF!</definedName>
    <definedName name="__Tab24" localSheetId="5">#REF!</definedName>
    <definedName name="__Tab24" localSheetId="10">#REF!</definedName>
    <definedName name="__Tab24">#REF!</definedName>
    <definedName name="__Tab26" localSheetId="4">#REF!</definedName>
    <definedName name="__Tab26" localSheetId="14">#REF!</definedName>
    <definedName name="__Tab26" localSheetId="5">#REF!</definedName>
    <definedName name="__Tab26" localSheetId="10">#REF!</definedName>
    <definedName name="__Tab26">#REF!</definedName>
    <definedName name="__Tab27" localSheetId="4">#REF!</definedName>
    <definedName name="__Tab27" localSheetId="14">#REF!</definedName>
    <definedName name="__Tab27" localSheetId="5">#REF!</definedName>
    <definedName name="__Tab27" localSheetId="10">#REF!</definedName>
    <definedName name="__Tab27">#REF!</definedName>
    <definedName name="__Tab28" localSheetId="4">#REF!</definedName>
    <definedName name="__Tab28" localSheetId="14">#REF!</definedName>
    <definedName name="__Tab28" localSheetId="5">#REF!</definedName>
    <definedName name="__Tab28" localSheetId="10">#REF!</definedName>
    <definedName name="__Tab28">#REF!</definedName>
    <definedName name="__Tab29" localSheetId="4">#REF!</definedName>
    <definedName name="__Tab29" localSheetId="14">#REF!</definedName>
    <definedName name="__Tab29" localSheetId="5">#REF!</definedName>
    <definedName name="__Tab29" localSheetId="10">#REF!</definedName>
    <definedName name="__Tab29">#REF!</definedName>
    <definedName name="__TAB3" localSheetId="4">#REF!</definedName>
    <definedName name="__TAB3" localSheetId="14">#REF!</definedName>
    <definedName name="__TAB3" localSheetId="5">#REF!</definedName>
    <definedName name="__TAB3" localSheetId="10">#REF!</definedName>
    <definedName name="__TAB3">#REF!</definedName>
    <definedName name="__Tab30" localSheetId="4">#REF!</definedName>
    <definedName name="__Tab30" localSheetId="14">#REF!</definedName>
    <definedName name="__Tab30" localSheetId="5">#REF!</definedName>
    <definedName name="__Tab30" localSheetId="10">#REF!</definedName>
    <definedName name="__Tab30">#REF!</definedName>
    <definedName name="__Tab31" localSheetId="4">#REF!</definedName>
    <definedName name="__Tab31" localSheetId="14">#REF!</definedName>
    <definedName name="__Tab31" localSheetId="5">#REF!</definedName>
    <definedName name="__Tab31" localSheetId="10">#REF!</definedName>
    <definedName name="__Tab31">#REF!</definedName>
    <definedName name="__Tab32" localSheetId="4">#REF!</definedName>
    <definedName name="__Tab32" localSheetId="14">#REF!</definedName>
    <definedName name="__Tab32" localSheetId="5">#REF!</definedName>
    <definedName name="__Tab32" localSheetId="10">#REF!</definedName>
    <definedName name="__Tab32">#REF!</definedName>
    <definedName name="__Tab33" localSheetId="4">#REF!</definedName>
    <definedName name="__Tab33" localSheetId="14">#REF!</definedName>
    <definedName name="__Tab33" localSheetId="5">#REF!</definedName>
    <definedName name="__Tab33" localSheetId="10">#REF!</definedName>
    <definedName name="__Tab33">#REF!</definedName>
    <definedName name="__Tab34" localSheetId="4">#REF!</definedName>
    <definedName name="__Tab34" localSheetId="14">#REF!</definedName>
    <definedName name="__Tab34" localSheetId="5">#REF!</definedName>
    <definedName name="__Tab34" localSheetId="10">#REF!</definedName>
    <definedName name="__Tab34">#REF!</definedName>
    <definedName name="__Tab35" localSheetId="4">#REF!</definedName>
    <definedName name="__Tab35" localSheetId="14">#REF!</definedName>
    <definedName name="__Tab35" localSheetId="5">#REF!</definedName>
    <definedName name="__Tab35" localSheetId="10">#REF!</definedName>
    <definedName name="__Tab35">#REF!</definedName>
    <definedName name="__TAB4" localSheetId="4">#REF!</definedName>
    <definedName name="__TAB4" localSheetId="14">#REF!</definedName>
    <definedName name="__TAB4" localSheetId="5">#REF!</definedName>
    <definedName name="__TAB4" localSheetId="10">#REF!</definedName>
    <definedName name="__TAB4">#REF!</definedName>
    <definedName name="__TAB5" localSheetId="4">#REF!</definedName>
    <definedName name="__TAB5" localSheetId="14">#REF!</definedName>
    <definedName name="__TAB5" localSheetId="5">#REF!</definedName>
    <definedName name="__TAB5" localSheetId="10">#REF!</definedName>
    <definedName name="__TAB5">#REF!</definedName>
    <definedName name="__tab6" localSheetId="4">#REF!</definedName>
    <definedName name="__tab6" localSheetId="14">#REF!</definedName>
    <definedName name="__tab6" localSheetId="5">#REF!</definedName>
    <definedName name="__tab6" localSheetId="10">#REF!</definedName>
    <definedName name="__tab6">#REF!</definedName>
    <definedName name="__TAB7" localSheetId="4">#REF!</definedName>
    <definedName name="__TAB7" localSheetId="14">#REF!</definedName>
    <definedName name="__TAB7" localSheetId="5">#REF!</definedName>
    <definedName name="__TAB7" localSheetId="10">#REF!</definedName>
    <definedName name="__TAB7">#REF!</definedName>
    <definedName name="__TAB8" localSheetId="4">#REF!</definedName>
    <definedName name="__TAB8" localSheetId="14">#REF!</definedName>
    <definedName name="__TAB8" localSheetId="5">#REF!</definedName>
    <definedName name="__TAB8" localSheetId="10">#REF!</definedName>
    <definedName name="__TAB8">#REF!</definedName>
    <definedName name="__tab9" localSheetId="4">#REF!</definedName>
    <definedName name="__tab9" localSheetId="14">#REF!</definedName>
    <definedName name="__tab9" localSheetId="5">#REF!</definedName>
    <definedName name="__tab9" localSheetId="10">#REF!</definedName>
    <definedName name="__tab9">#REF!</definedName>
    <definedName name="__TB41" localSheetId="4">#REF!</definedName>
    <definedName name="__TB41" localSheetId="14">#REF!</definedName>
    <definedName name="__TB41" localSheetId="5">#REF!</definedName>
    <definedName name="__TB41" localSheetId="10">#REF!</definedName>
    <definedName name="__TB41">#REF!</definedName>
    <definedName name="__WEO1" localSheetId="4">#REF!</definedName>
    <definedName name="__WEO1" localSheetId="14">#REF!</definedName>
    <definedName name="__WEO1" localSheetId="5">#REF!</definedName>
    <definedName name="__WEO1" localSheetId="10">#REF!</definedName>
    <definedName name="__WEO1">#REF!</definedName>
    <definedName name="__WEO2" localSheetId="4">#REF!</definedName>
    <definedName name="__WEO2" localSheetId="14">#REF!</definedName>
    <definedName name="__WEO2" localSheetId="5">#REF!</definedName>
    <definedName name="__WEO2" localSheetId="10">#REF!</definedName>
    <definedName name="__WEO2">#REF!</definedName>
    <definedName name="_1__123Graph_AChart_1" localSheetId="4" hidden="1">'[12]Table 1'!#REF!</definedName>
    <definedName name="_1__123Graph_AChart_1" localSheetId="14" hidden="1">'[12]Table 1'!#REF!</definedName>
    <definedName name="_1__123Graph_AChart_1" localSheetId="5" hidden="1">'[12]Table 1'!#REF!</definedName>
    <definedName name="_1__123Graph_AChart_1" hidden="1">'[12]Table 1'!#REF!</definedName>
    <definedName name="_1_123Graph_A" localSheetId="4" hidden="1">#REF!</definedName>
    <definedName name="_1_123Graph_A" localSheetId="14" hidden="1">#REF!</definedName>
    <definedName name="_1_123Graph_A" localSheetId="5" hidden="1">#REF!</definedName>
    <definedName name="_1_123Graph_A" localSheetId="7" hidden="1">#REF!</definedName>
    <definedName name="_1_123Graph_A" localSheetId="8" hidden="1">#REF!</definedName>
    <definedName name="_1_123Graph_A" localSheetId="10" hidden="1">#REF!</definedName>
    <definedName name="_1_123Graph_A" hidden="1">#REF!</definedName>
    <definedName name="_10__123Graph_ACHART_2" localSheetId="10" hidden="1">'[13]Employment Data Sectors (wages)'!$A$8173:$A$8184</definedName>
    <definedName name="_10__123Graph_ACHART_2" hidden="1">'[13]Employment Data Sectors (wages)'!$A$8173:$A$8184</definedName>
    <definedName name="_10__123Graph_ACHART_8" hidden="1">'[14]Employment Data Sectors (wages)'!$W$8175:$W$8186</definedName>
    <definedName name="_10__123Graph_BCHART_1" hidden="1">'[15]Employment Data Sectors (wages)'!$B$8173:$B$8184</definedName>
    <definedName name="_100__123Graph_BCHART_8" hidden="1">'[16]Employment Data Sectors (wages)'!$W$13:$W$8187</definedName>
    <definedName name="_105__123Graph_CCHART_1" hidden="1">'[16]Employment Data Sectors (wages)'!$C$8173:$C$8184</definedName>
    <definedName name="_11__123Graph_BCHART_1" hidden="1">'[14]Employment Data Sectors (wages)'!$B$8173:$B$8184</definedName>
    <definedName name="_11__123Graph_BCHART_2" hidden="1">'[15]Employment Data Sectors (wages)'!$B$8173:$B$8184</definedName>
    <definedName name="_110__123Graph_CCHART_2" hidden="1">'[16]Employment Data Sectors (wages)'!$C$8173:$C$8184</definedName>
    <definedName name="_115__123Graph_CCHART_3" hidden="1">'[16]Employment Data Sectors (wages)'!$C$11:$C$8185</definedName>
    <definedName name="_12__123Graph_ACHART_3" localSheetId="10" hidden="1">'[13]Employment Data Sectors (wages)'!$A$11:$A$8185</definedName>
    <definedName name="_12__123Graph_ACHART_3" hidden="1">'[13]Employment Data Sectors (wages)'!$A$11:$A$8185</definedName>
    <definedName name="_12__123Graph_BCHART_2" hidden="1">'[14]Employment Data Sectors (wages)'!$B$8173:$B$8184</definedName>
    <definedName name="_12__123Graph_BCHART_3" hidden="1">'[15]Employment Data Sectors (wages)'!$B$11:$B$8185</definedName>
    <definedName name="_120__123Graph_CCHART_4" hidden="1">'[16]Employment Data Sectors (wages)'!$C$12:$C$23</definedName>
    <definedName name="_123Graph_AB" localSheetId="4" hidden="1">#REF!</definedName>
    <definedName name="_123Graph_AB" localSheetId="14" hidden="1">#REF!</definedName>
    <definedName name="_123Graph_AB" localSheetId="5" hidden="1">#REF!</definedName>
    <definedName name="_123Graph_AB" localSheetId="7" hidden="1">#REF!</definedName>
    <definedName name="_123Graph_AB" localSheetId="8" hidden="1">#REF!</definedName>
    <definedName name="_123Graph_AB" localSheetId="10" hidden="1">#REF!</definedName>
    <definedName name="_123Graph_AB" hidden="1">#REF!</definedName>
    <definedName name="_123Graph_B" localSheetId="4" hidden="1">#REF!</definedName>
    <definedName name="_123Graph_B" localSheetId="14" hidden="1">#REF!</definedName>
    <definedName name="_123Graph_B" localSheetId="5" hidden="1">#REF!</definedName>
    <definedName name="_123Graph_B" localSheetId="7" hidden="1">#REF!</definedName>
    <definedName name="_123Graph_B" localSheetId="8" hidden="1">#REF!</definedName>
    <definedName name="_123Graph_B" localSheetId="10" hidden="1">#REF!</definedName>
    <definedName name="_123Graph_B" hidden="1">#REF!</definedName>
    <definedName name="_123Graph_DB" localSheetId="4" hidden="1">#REF!</definedName>
    <definedName name="_123Graph_DB" localSheetId="14" hidden="1">#REF!</definedName>
    <definedName name="_123Graph_DB" localSheetId="5" hidden="1">#REF!</definedName>
    <definedName name="_123Graph_DB" localSheetId="7" hidden="1">#REF!</definedName>
    <definedName name="_123Graph_DB" localSheetId="8" hidden="1">#REF!</definedName>
    <definedName name="_123Graph_DB" localSheetId="10" hidden="1">#REF!</definedName>
    <definedName name="_123Graph_DB" hidden="1">#REF!</definedName>
    <definedName name="_123Graph_EB" localSheetId="4" hidden="1">#REF!</definedName>
    <definedName name="_123Graph_EB" localSheetId="14" hidden="1">#REF!</definedName>
    <definedName name="_123Graph_EB" localSheetId="5" hidden="1">#REF!</definedName>
    <definedName name="_123Graph_EB" localSheetId="10" hidden="1">#REF!</definedName>
    <definedName name="_123Graph_EB" hidden="1">#REF!</definedName>
    <definedName name="_123Graph_FB" localSheetId="4" hidden="1">#REF!</definedName>
    <definedName name="_123Graph_FB" localSheetId="14" hidden="1">#REF!</definedName>
    <definedName name="_123Graph_FB" localSheetId="5" hidden="1">#REF!</definedName>
    <definedName name="_123Graph_FB" localSheetId="10" hidden="1">#REF!</definedName>
    <definedName name="_123Graph_FB" hidden="1">#REF!</definedName>
    <definedName name="_125__123Graph_CCHART_5" hidden="1">'[16]Employment Data Sectors (wages)'!$C$24:$C$35</definedName>
    <definedName name="_13__123Graph_BCHART_3" hidden="1">'[14]Employment Data Sectors (wages)'!$B$11:$B$8185</definedName>
    <definedName name="_13__123Graph_BCHART_4" hidden="1">'[15]Employment Data Sectors (wages)'!$B$12:$B$23</definedName>
    <definedName name="_130__123Graph_CCHART_6" hidden="1">'[16]Employment Data Sectors (wages)'!$U$49:$U$8103</definedName>
    <definedName name="_132Graph_CB" localSheetId="4" hidden="1">#REF!</definedName>
    <definedName name="_132Graph_CB" localSheetId="14" hidden="1">#REF!</definedName>
    <definedName name="_132Graph_CB" localSheetId="5" hidden="1">#REF!</definedName>
    <definedName name="_132Graph_CB" localSheetId="7" hidden="1">#REF!</definedName>
    <definedName name="_132Graph_CB" localSheetId="8" hidden="1">#REF!</definedName>
    <definedName name="_132Graph_CB" localSheetId="10" hidden="1">#REF!</definedName>
    <definedName name="_132Graph_CB" hidden="1">#REF!</definedName>
    <definedName name="_135__123Graph_CCHART_7" hidden="1">'[16]Employment Data Sectors (wages)'!$Y$14:$Y$25</definedName>
    <definedName name="_14__123Graph_ACHART_4" localSheetId="10" hidden="1">'[13]Employment Data Sectors (wages)'!$A$12:$A$23</definedName>
    <definedName name="_14__123Graph_ACHART_4" hidden="1">'[13]Employment Data Sectors (wages)'!$A$12:$A$23</definedName>
    <definedName name="_14__123Graph_BCHART_4" hidden="1">'[14]Employment Data Sectors (wages)'!$B$12:$B$23</definedName>
    <definedName name="_14__123Graph_BCHART_5" hidden="1">'[15]Employment Data Sectors (wages)'!$B$24:$B$35</definedName>
    <definedName name="_140__123Graph_CCHART_8" hidden="1">'[16]Employment Data Sectors (wages)'!$W$14:$W$25</definedName>
    <definedName name="_145__123Graph_DCHART_7" hidden="1">'[16]Employment Data Sectors (wages)'!$Y$26:$Y$37</definedName>
    <definedName name="_15__123Graph_BCHART_5" hidden="1">'[14]Employment Data Sectors (wages)'!$B$24:$B$35</definedName>
    <definedName name="_15__123Graph_BCHART_6" hidden="1">'[15]Employment Data Sectors (wages)'!$AS$49:$AS$8103</definedName>
    <definedName name="_150__123Graph_DCHART_8" hidden="1">'[16]Employment Data Sectors (wages)'!$W$26:$W$37</definedName>
    <definedName name="_155__123Graph_ECHART_7" hidden="1">'[16]Employment Data Sectors (wages)'!$Y$38:$Y$49</definedName>
    <definedName name="_16__123Graph_ACHART_5" localSheetId="10" hidden="1">'[13]Employment Data Sectors (wages)'!$A$24:$A$35</definedName>
    <definedName name="_16__123Graph_ACHART_5" hidden="1">'[13]Employment Data Sectors (wages)'!$A$24:$A$35</definedName>
    <definedName name="_16__123Graph_BCHART_6" hidden="1">'[14]Employment Data Sectors (wages)'!$AS$49:$AS$8103</definedName>
    <definedName name="_16__123Graph_BCHART_7" hidden="1">'[15]Employment Data Sectors (wages)'!$Y$13:$Y$8187</definedName>
    <definedName name="_160__123Graph_ECHART_8" hidden="1">'[16]Employment Data Sectors (wages)'!$H$86:$H$99</definedName>
    <definedName name="_165__123Graph_FCHART_8" hidden="1">'[16]Employment Data Sectors (wages)'!$H$6:$H$17</definedName>
    <definedName name="_17__123Graph_BCHART_7" hidden="1">'[14]Employment Data Sectors (wages)'!$Y$13:$Y$8187</definedName>
    <definedName name="_17__123Graph_BCHART_8" hidden="1">'[15]Employment Data Sectors (wages)'!$W$13:$W$8187</definedName>
    <definedName name="_18__123Graph_ACHART_6" localSheetId="10" hidden="1">'[13]Employment Data Sectors (wages)'!$Y$49:$Y$8103</definedName>
    <definedName name="_18__123Graph_ACHART_6" hidden="1">'[13]Employment Data Sectors (wages)'!$Y$49:$Y$8103</definedName>
    <definedName name="_18__123Graph_BCHART_8" hidden="1">'[14]Employment Data Sectors (wages)'!$W$13:$W$8187</definedName>
    <definedName name="_18__123Graph_CCHART_1" hidden="1">'[15]Employment Data Sectors (wages)'!$C$8173:$C$8184</definedName>
    <definedName name="_19__123Graph_CCHART_1" hidden="1">'[14]Employment Data Sectors (wages)'!$C$8173:$C$8184</definedName>
    <definedName name="_19__123Graph_CCHART_2" hidden="1">'[15]Employment Data Sectors (wages)'!$C$8173:$C$8184</definedName>
    <definedName name="_1992BOPB" localSheetId="4">#REF!</definedName>
    <definedName name="_1992BOPB" localSheetId="14">#REF!</definedName>
    <definedName name="_1992BOPB" localSheetId="5">#REF!</definedName>
    <definedName name="_1992BOPB" localSheetId="7">#REF!</definedName>
    <definedName name="_1992BOPB" localSheetId="8">#REF!</definedName>
    <definedName name="_1992BOPB" localSheetId="10">#REF!</definedName>
    <definedName name="_1992BOPB">#REF!</definedName>
    <definedName name="_1Macros_Import_.qbop" localSheetId="4">[17]!'[Macros Import].qbop'</definedName>
    <definedName name="_1Macros_Import_.qbop" localSheetId="14">[17]!'[Macros Import].qbop'</definedName>
    <definedName name="_1Macros_Import_.qbop" localSheetId="5">[17]!'[Macros Import].qbop'</definedName>
    <definedName name="_1Macros_Import_.qbop">[17]!'[Macros Import].qbop'</definedName>
    <definedName name="_2__123Graph_ADEV_EMPL" localSheetId="4" hidden="1">'[5]Time series'!#REF!</definedName>
    <definedName name="_2__123Graph_ADEV_EMPL" localSheetId="14" hidden="1">'[5]Time series'!#REF!</definedName>
    <definedName name="_2__123Graph_ADEV_EMPL" localSheetId="5" hidden="1">'[5]Time series'!#REF!</definedName>
    <definedName name="_2__123Graph_ADEV_EMPL" localSheetId="7" hidden="1">'[5]Time series'!#REF!</definedName>
    <definedName name="_2__123Graph_ADEV_EMPL" localSheetId="8" hidden="1">'[5]Time series'!#REF!</definedName>
    <definedName name="_2__123Graph_ADEV_EMPL" hidden="1">'[5]Time series'!#REF!</definedName>
    <definedName name="_2__123Graph_ACHART_1" hidden="1">'[15]Employment Data Sectors (wages)'!$A$8173:$A$8184</definedName>
    <definedName name="_20__123Graph_ACHART_7" localSheetId="10" hidden="1">'[13]Employment Data Sectors (wages)'!$Y$8175:$Y$8186</definedName>
    <definedName name="_20__123Graph_ACHART_7" hidden="1">'[13]Employment Data Sectors (wages)'!$Y$8175:$Y$8186</definedName>
    <definedName name="_20__123Graph_CCHART_2" hidden="1">'[14]Employment Data Sectors (wages)'!$C$8173:$C$8184</definedName>
    <definedName name="_20__123Graph_CCHART_3" hidden="1">'[15]Employment Data Sectors (wages)'!$C$11:$C$8185</definedName>
    <definedName name="_20Macros_Import_.qbop" localSheetId="4">[17]!'[Macros Import].qbop'</definedName>
    <definedName name="_20Macros_Import_.qbop" localSheetId="14">[17]!'[Macros Import].qbop'</definedName>
    <definedName name="_20Macros_Import_.qbop" localSheetId="5">[17]!'[Macros Import].qbop'</definedName>
    <definedName name="_20Macros_Import_.qbop">[17]!'[Macros Import].qbop'</definedName>
    <definedName name="_21__123Graph_CCHART_3" hidden="1">'[14]Employment Data Sectors (wages)'!$C$11:$C$8185</definedName>
    <definedName name="_21__123Graph_CCHART_4" hidden="1">'[15]Employment Data Sectors (wages)'!$C$12:$C$23</definedName>
    <definedName name="_22__123Graph_ACHART_8" localSheetId="10" hidden="1">'[13]Employment Data Sectors (wages)'!$W$8175:$W$8186</definedName>
    <definedName name="_22__123Graph_ACHART_8" hidden="1">'[13]Employment Data Sectors (wages)'!$W$8175:$W$8186</definedName>
    <definedName name="_22__123Graph_CCHART_4" hidden="1">'[14]Employment Data Sectors (wages)'!$C$12:$C$23</definedName>
    <definedName name="_22__123Graph_CCHART_5" hidden="1">'[15]Employment Data Sectors (wages)'!$C$24:$C$35</definedName>
    <definedName name="_23__123Graph_CCHART_5" hidden="1">'[14]Employment Data Sectors (wages)'!$C$24:$C$35</definedName>
    <definedName name="_23__123Graph_CCHART_6" hidden="1">'[15]Employment Data Sectors (wages)'!$U$49:$U$8103</definedName>
    <definedName name="_24__123Graph_BCHART_1" localSheetId="10" hidden="1">'[13]Employment Data Sectors (wages)'!$B$8173:$B$8184</definedName>
    <definedName name="_24__123Graph_BCHART_1" hidden="1">'[13]Employment Data Sectors (wages)'!$B$8173:$B$8184</definedName>
    <definedName name="_24__123Graph_CCHART_6" hidden="1">'[14]Employment Data Sectors (wages)'!$U$49:$U$8103</definedName>
    <definedName name="_24__123Graph_CCHART_7" hidden="1">'[15]Employment Data Sectors (wages)'!$Y$14:$Y$25</definedName>
    <definedName name="_25__123Graph_ACHART_1" hidden="1">'[16]Employment Data Sectors (wages)'!$A$8173:$A$8184</definedName>
    <definedName name="_25__123Graph_CCHART_7" hidden="1">'[14]Employment Data Sectors (wages)'!$Y$14:$Y$25</definedName>
    <definedName name="_25__123Graph_CCHART_8" hidden="1">'[15]Employment Data Sectors (wages)'!$W$14:$W$25</definedName>
    <definedName name="_26__123Graph_BCHART_2" localSheetId="10" hidden="1">'[13]Employment Data Sectors (wages)'!$B$8173:$B$8184</definedName>
    <definedName name="_26__123Graph_BCHART_2" hidden="1">'[13]Employment Data Sectors (wages)'!$B$8173:$B$8184</definedName>
    <definedName name="_26__123Graph_CCHART_8" hidden="1">'[14]Employment Data Sectors (wages)'!$W$14:$W$25</definedName>
    <definedName name="_26__123Graph_DCHART_7" hidden="1">'[15]Employment Data Sectors (wages)'!$Y$26:$Y$37</definedName>
    <definedName name="_27__123Graph_DCHART_7" hidden="1">'[14]Employment Data Sectors (wages)'!$Y$26:$Y$37</definedName>
    <definedName name="_27__123Graph_DCHART_8" hidden="1">'[15]Employment Data Sectors (wages)'!$W$26:$W$37</definedName>
    <definedName name="_28__123Graph_BCHART_3" localSheetId="10" hidden="1">'[13]Employment Data Sectors (wages)'!$B$11:$B$8185</definedName>
    <definedName name="_28__123Graph_BCHART_3" hidden="1">'[13]Employment Data Sectors (wages)'!$B$11:$B$8185</definedName>
    <definedName name="_28__123Graph_DCHART_8" hidden="1">'[14]Employment Data Sectors (wages)'!$W$26:$W$37</definedName>
    <definedName name="_28__123Graph_ECHART_7" hidden="1">'[15]Employment Data Sectors (wages)'!$Y$38:$Y$49</definedName>
    <definedName name="_29__123Graph_ECHART_7" hidden="1">'[14]Employment Data Sectors (wages)'!$Y$38:$Y$49</definedName>
    <definedName name="_29__123Graph_ECHART_8" hidden="1">'[15]Employment Data Sectors (wages)'!$H$86:$H$99</definedName>
    <definedName name="_2Macros_Import_.qbop" localSheetId="4">[17]!'[Macros Import].qbop'</definedName>
    <definedName name="_2Macros_Import_.qbop" localSheetId="14">[17]!'[Macros Import].qbop'</definedName>
    <definedName name="_2Macros_Import_.qbop" localSheetId="5">[17]!'[Macros Import].qbop'</definedName>
    <definedName name="_2Macros_Import_.qbop">[17]!'[Macros Import].qbop'</definedName>
    <definedName name="_3__123Graph_ACHART_1" hidden="1">'[14]Employment Data Sectors (wages)'!$A$8173:$A$8184</definedName>
    <definedName name="_3__123Graph_ACHART_2" hidden="1">'[15]Employment Data Sectors (wages)'!$A$8173:$A$8184</definedName>
    <definedName name="_3__123Graph_BDEV_EMPL" localSheetId="4" hidden="1">'[5]Time series'!#REF!</definedName>
    <definedName name="_3__123Graph_BDEV_EMPL" localSheetId="14" hidden="1">'[5]Time series'!#REF!</definedName>
    <definedName name="_3__123Graph_BDEV_EMPL" localSheetId="5" hidden="1">'[5]Time series'!#REF!</definedName>
    <definedName name="_3__123Graph_BDEV_EMPL" localSheetId="7" hidden="1">'[5]Time series'!#REF!</definedName>
    <definedName name="_3__123Graph_BDEV_EMPL" localSheetId="8" hidden="1">'[5]Time series'!#REF!</definedName>
    <definedName name="_3__123Graph_BDEV_EMPL" localSheetId="10" hidden="1">'[5]Time series'!#REF!</definedName>
    <definedName name="_3__123Graph_BDEV_EMPL" hidden="1">'[5]Time series'!#REF!</definedName>
    <definedName name="_30__123Graph_ACHART_2" hidden="1">'[16]Employment Data Sectors (wages)'!$A$8173:$A$8184</definedName>
    <definedName name="_30__123Graph_BCHART_4" localSheetId="10" hidden="1">'[13]Employment Data Sectors (wages)'!$B$12:$B$23</definedName>
    <definedName name="_30__123Graph_BCHART_4" hidden="1">'[13]Employment Data Sectors (wages)'!$B$12:$B$23</definedName>
    <definedName name="_30__123Graph_ECHART_8" hidden="1">'[14]Employment Data Sectors (wages)'!$H$86:$H$99</definedName>
    <definedName name="_30__123Graph_FCHART_8" hidden="1">'[15]Employment Data Sectors (wages)'!$H$6:$H$17</definedName>
    <definedName name="_31__123Graph_FCHART_8" hidden="1">'[14]Employment Data Sectors (wages)'!$H$6:$H$17</definedName>
    <definedName name="_32__123Graph_BCHART_5" localSheetId="10" hidden="1">'[13]Employment Data Sectors (wages)'!$B$24:$B$35</definedName>
    <definedName name="_32__123Graph_BCHART_5" hidden="1">'[13]Employment Data Sectors (wages)'!$B$24:$B$35</definedName>
    <definedName name="_34__123Graph_BCHART_6" localSheetId="10" hidden="1">'[13]Employment Data Sectors (wages)'!$AS$49:$AS$8103</definedName>
    <definedName name="_34__123Graph_BCHART_6" hidden="1">'[13]Employment Data Sectors (wages)'!$AS$49:$AS$8103</definedName>
    <definedName name="_35__123Graph_ACHART_3" hidden="1">'[16]Employment Data Sectors (wages)'!$A$11:$A$8185</definedName>
    <definedName name="_36__123Graph_BCHART_7" localSheetId="10" hidden="1">'[13]Employment Data Sectors (wages)'!$Y$13:$Y$8187</definedName>
    <definedName name="_36__123Graph_BCHART_7" hidden="1">'[13]Employment Data Sectors (wages)'!$Y$13:$Y$8187</definedName>
    <definedName name="_38__123Graph_BCHART_8" localSheetId="10" hidden="1">'[13]Employment Data Sectors (wages)'!$W$13:$W$8187</definedName>
    <definedName name="_38__123Graph_BCHART_8" hidden="1">'[13]Employment Data Sectors (wages)'!$W$13:$W$8187</definedName>
    <definedName name="_4__123Graph_ACHART_2" hidden="1">'[14]Employment Data Sectors (wages)'!$A$8173:$A$8184</definedName>
    <definedName name="_4__123Graph_ACHART_3" hidden="1">'[15]Employment Data Sectors (wages)'!$A$11:$A$8185</definedName>
    <definedName name="_4__123Graph_CDEV_EMPL" localSheetId="4" hidden="1">'[5]Time series'!#REF!</definedName>
    <definedName name="_4__123Graph_CDEV_EMPL" localSheetId="14" hidden="1">'[5]Time series'!#REF!</definedName>
    <definedName name="_4__123Graph_CDEV_EMPL" localSheetId="5" hidden="1">'[5]Time series'!#REF!</definedName>
    <definedName name="_4__123Graph_CDEV_EMPL" localSheetId="7" hidden="1">'[5]Time series'!#REF!</definedName>
    <definedName name="_4__123Graph_CDEV_EMPL" localSheetId="8" hidden="1">'[5]Time series'!#REF!</definedName>
    <definedName name="_4__123Graph_CDEV_EMPL" localSheetId="10" hidden="1">'[5]Time series'!#REF!</definedName>
    <definedName name="_4__123Graph_CDEV_EMPL" hidden="1">'[5]Time series'!#REF!</definedName>
    <definedName name="_40__123Graph_ACHART_4" hidden="1">'[16]Employment Data Sectors (wages)'!$A$12:$A$23</definedName>
    <definedName name="_40__123Graph_CCHART_1" localSheetId="10" hidden="1">'[13]Employment Data Sectors (wages)'!$C$8173:$C$8184</definedName>
    <definedName name="_40__123Graph_CCHART_1" hidden="1">'[13]Employment Data Sectors (wages)'!$C$8173:$C$8184</definedName>
    <definedName name="_42__123Graph_CCHART_2" localSheetId="10" hidden="1">'[13]Employment Data Sectors (wages)'!$C$8173:$C$8184</definedName>
    <definedName name="_42__123Graph_CCHART_2" hidden="1">'[13]Employment Data Sectors (wages)'!$C$8173:$C$8184</definedName>
    <definedName name="_44__123Graph_CCHART_3" localSheetId="10" hidden="1">'[13]Employment Data Sectors (wages)'!$C$11:$C$8185</definedName>
    <definedName name="_44__123Graph_CCHART_3" hidden="1">'[13]Employment Data Sectors (wages)'!$C$11:$C$8185</definedName>
    <definedName name="_45__123Graph_ACHART_5" hidden="1">'[16]Employment Data Sectors (wages)'!$A$24:$A$35</definedName>
    <definedName name="_46__123Graph_CCHART_4" localSheetId="10" hidden="1">'[13]Employment Data Sectors (wages)'!$C$12:$C$23</definedName>
    <definedName name="_46__123Graph_CCHART_4" hidden="1">'[13]Employment Data Sectors (wages)'!$C$12:$C$23</definedName>
    <definedName name="_48__123Graph_CCHART_5" localSheetId="10" hidden="1">'[13]Employment Data Sectors (wages)'!$C$24:$C$35</definedName>
    <definedName name="_48__123Graph_CCHART_5" hidden="1">'[13]Employment Data Sectors (wages)'!$C$24:$C$35</definedName>
    <definedName name="_5__123Graph_ACHART_3" hidden="1">'[14]Employment Data Sectors (wages)'!$A$11:$A$8185</definedName>
    <definedName name="_5__123Graph_ACHART_4" hidden="1">'[15]Employment Data Sectors (wages)'!$A$12:$A$23</definedName>
    <definedName name="_5__123Graph_CSWE_EMPL" localSheetId="4" hidden="1">'[5]Time series'!#REF!</definedName>
    <definedName name="_5__123Graph_CSWE_EMPL" localSheetId="14" hidden="1">'[5]Time series'!#REF!</definedName>
    <definedName name="_5__123Graph_CSWE_EMPL" localSheetId="5" hidden="1">'[5]Time series'!#REF!</definedName>
    <definedName name="_5__123Graph_CSWE_EMPL" localSheetId="7" hidden="1">'[5]Time series'!#REF!</definedName>
    <definedName name="_5__123Graph_CSWE_EMPL" localSheetId="8" hidden="1">'[5]Time series'!#REF!</definedName>
    <definedName name="_5__123Graph_CSWE_EMPL" localSheetId="10" hidden="1">'[5]Time series'!#REF!</definedName>
    <definedName name="_5__123Graph_CSWE_EMPL" hidden="1">'[5]Time series'!#REF!</definedName>
    <definedName name="_50__123Graph_ACHART_6" hidden="1">'[16]Employment Data Sectors (wages)'!$Y$49:$Y$8103</definedName>
    <definedName name="_50__123Graph_CCHART_6" localSheetId="10" hidden="1">'[13]Employment Data Sectors (wages)'!$U$49:$U$8103</definedName>
    <definedName name="_50__123Graph_CCHART_6" hidden="1">'[13]Employment Data Sectors (wages)'!$U$49:$U$8103</definedName>
    <definedName name="_52__123Graph_CCHART_7" localSheetId="10" hidden="1">'[13]Employment Data Sectors (wages)'!$Y$14:$Y$25</definedName>
    <definedName name="_52__123Graph_CCHART_7" hidden="1">'[13]Employment Data Sectors (wages)'!$Y$14:$Y$25</definedName>
    <definedName name="_54__123Graph_CCHART_8" localSheetId="10" hidden="1">'[13]Employment Data Sectors (wages)'!$W$14:$W$25</definedName>
    <definedName name="_54__123Graph_CCHART_8" hidden="1">'[13]Employment Data Sectors (wages)'!$W$14:$W$25</definedName>
    <definedName name="_55__123Graph_ACHART_7" hidden="1">'[16]Employment Data Sectors (wages)'!$Y$8175:$Y$8186</definedName>
    <definedName name="_56__123Graph_DCHART_7" localSheetId="10" hidden="1">'[13]Employment Data Sectors (wages)'!$Y$26:$Y$37</definedName>
    <definedName name="_56__123Graph_DCHART_7" hidden="1">'[13]Employment Data Sectors (wages)'!$Y$26:$Y$37</definedName>
    <definedName name="_58__123Graph_DCHART_8" localSheetId="10" hidden="1">'[13]Employment Data Sectors (wages)'!$W$26:$W$37</definedName>
    <definedName name="_58__123Graph_DCHART_8" hidden="1">'[13]Employment Data Sectors (wages)'!$W$26:$W$37</definedName>
    <definedName name="_6__123Graph_ACHART_4" hidden="1">'[14]Employment Data Sectors (wages)'!$A$12:$A$23</definedName>
    <definedName name="_6__123Graph_ACHART_5" hidden="1">'[15]Employment Data Sectors (wages)'!$A$24:$A$35</definedName>
    <definedName name="_60__123Graph_ACHART_8" hidden="1">'[16]Employment Data Sectors (wages)'!$W$8175:$W$8186</definedName>
    <definedName name="_60__123Graph_ECHART_7" localSheetId="10" hidden="1">'[13]Employment Data Sectors (wages)'!$Y$38:$Y$49</definedName>
    <definedName name="_60__123Graph_ECHART_7" hidden="1">'[13]Employment Data Sectors (wages)'!$Y$38:$Y$49</definedName>
    <definedName name="_62__123Graph_ECHART_8" localSheetId="10" hidden="1">'[13]Employment Data Sectors (wages)'!$H$86:$H$99</definedName>
    <definedName name="_62__123Graph_ECHART_8" hidden="1">'[13]Employment Data Sectors (wages)'!$H$86:$H$99</definedName>
    <definedName name="_64__123Graph_FCHART_8" localSheetId="10" hidden="1">'[13]Employment Data Sectors (wages)'!$H$6:$H$17</definedName>
    <definedName name="_64__123Graph_FCHART_8" hidden="1">'[13]Employment Data Sectors (wages)'!$H$6:$H$17</definedName>
    <definedName name="_65__123Graph_BCHART_1" hidden="1">'[16]Employment Data Sectors (wages)'!$B$8173:$B$8184</definedName>
    <definedName name="_6Macros_Import_.qbop" localSheetId="4">[17]!'[Macros Import].qbop'</definedName>
    <definedName name="_6Macros_Import_.qbop" localSheetId="14">[17]!'[Macros Import].qbop'</definedName>
    <definedName name="_6Macros_Import_.qbop" localSheetId="5">[17]!'[Macros Import].qbop'</definedName>
    <definedName name="_6Macros_Import_.qbop">[17]!'[Macros Import].qbop'</definedName>
    <definedName name="_7__123Graph_ACHART_5" hidden="1">'[14]Employment Data Sectors (wages)'!$A$24:$A$35</definedName>
    <definedName name="_7__123Graph_ACHART_6" hidden="1">'[15]Employment Data Sectors (wages)'!$Y$49:$Y$8103</definedName>
    <definedName name="_70__123Graph_BCHART_2" hidden="1">'[16]Employment Data Sectors (wages)'!$B$8173:$B$8184</definedName>
    <definedName name="_75__123Graph_BCHART_3" hidden="1">'[16]Employment Data Sectors (wages)'!$B$11:$B$8185</definedName>
    <definedName name="_8__123Graph_ACHART_1" localSheetId="10" hidden="1">'[13]Employment Data Sectors (wages)'!$A$8173:$A$8184</definedName>
    <definedName name="_8__123Graph_ACHART_1" hidden="1">'[13]Employment Data Sectors (wages)'!$A$8173:$A$8184</definedName>
    <definedName name="_8__123Graph_ACHART_6" hidden="1">'[14]Employment Data Sectors (wages)'!$Y$49:$Y$8103</definedName>
    <definedName name="_8__123Graph_ACHART_7" hidden="1">'[15]Employment Data Sectors (wages)'!$Y$8175:$Y$8186</definedName>
    <definedName name="_80__123Graph_BCHART_4" hidden="1">'[16]Employment Data Sectors (wages)'!$B$12:$B$23</definedName>
    <definedName name="_85__123Graph_BCHART_5" hidden="1">'[16]Employment Data Sectors (wages)'!$B$24:$B$35</definedName>
    <definedName name="_9__123Graph_ACHART_7" hidden="1">'[14]Employment Data Sectors (wages)'!$Y$8175:$Y$8186</definedName>
    <definedName name="_9__123Graph_ACHART_8" hidden="1">'[15]Employment Data Sectors (wages)'!$W$8175:$W$8186</definedName>
    <definedName name="_90__123Graph_BCHART_6" hidden="1">'[16]Employment Data Sectors (wages)'!$AS$49:$AS$8103</definedName>
    <definedName name="_95__123Graph_BCHART_7" hidden="1">'[16]Employment Data Sectors (wages)'!$Y$13:$Y$8187</definedName>
    <definedName name="_AMO_ContentDefinition_909831962" hidden="1">"'Partitions:10'"</definedName>
    <definedName name="_AMO_ContentDefinition_909831962.0" hidden="1">"'&lt;ContentDefinition name=""P:\Staat_ESVG\ESVG2010\Steuereinnahmen\SAS\DATA\Ergebnistabellen\steuern_klass.sas7bdat"" rsid=""909831962"" type=""DataSet"" format=""ReportXml"" imgfmt=""ActiveX"" created=""09/29/2014 13:23:49"" modifed=""09/27/2016 16:5'"</definedName>
    <definedName name="_AMO_ContentDefinition_909831962.1" hidden="1">"'7:08"" user=""HELPERSTORFER Christian"" apply=""False"" css=""C:\Program Files (x86)\SASHome\x86\SASAddinforMicrosoftOffice\6.1\Styles\AMODefault.css"" range=""P__Staat_ESVG_ESVG2010_Steuereinnahmen_SAS_DATA_Ergebnistabellen_steuern_klass_sas7bdat"" '"</definedName>
    <definedName name="_AMO_ContentDefinition_909831962.2" hidden="1">"'auto=""False"" xTime=""00:00:00"" rTime=""00:00:06.1464788"" bgnew=""False"" nFmt=""False"" grphSet=""False"" imgY=""0"" imgX=""0"" redirect=""False""&gt;_x000D_
  &lt;files /&gt;_x000D_
  &lt;parents /&gt;_x000D_
  &lt;children /&gt;_x000D_
  &lt;param n=""AMO_Version"" v=""6.1"" /&gt;_x000D_
  &lt;param n'"</definedName>
    <definedName name="_AMO_ContentDefinition_909831962.3" hidden="1">"'=""DisplayName"" v=""P:\Staat_ESVG\ESVG2010\Steuereinnahmen\SAS\DATA\Ergebnistabellen\steuern_klass.sas7bdat"" /&gt;_x000D_
  &lt;param n=""DisplayType"" v=""Datei"" /&gt;_x000D_
  &lt;param n=""DataSourceType"" v=""SAS DATASET"" /&gt;_x000D_
  &lt;param n=""SASFilter"" v="""" /&gt;_x000D_
  &lt;p'"</definedName>
    <definedName name="_AMO_ContentDefinition_909831962.4" hidden="1">"'aram n=""MoreSheetsForRows"" v=""True"" /&gt;_x000D_
  &lt;param n=""PageSize"" v=""500"" /&gt;_x000D_
  &lt;param n=""ShowRowNumbers"" v=""False"" /&gt;_x000D_
  &lt;param n=""ShowInfoInSheet"" v=""False"" /&gt;_x000D_
  &lt;param n=""CredKey"" v=""P:\Staat_ESVG\ESVG2010\Steuereinnahmen\SAS\DATA\E'"</definedName>
    <definedName name="_AMO_ContentDefinition_909831962.5" hidden="1">"'rgebnistabellen\steuern_klass.sas7bdat"" /&gt;_x000D_
  &lt;param n=""ClassName"" v=""SAS.OfficeAddin.DataViewItem"" /&gt;_x000D_
  &lt;param n=""ServerName"" v="""" /&gt;_x000D_
  &lt;param n=""DataSource"" v=""&amp;lt;SasDataSource Version=&amp;quot;4.2&amp;quot; Type=&amp;quot;SAS.Servers.Dataset&amp;qu'"</definedName>
    <definedName name="_AMO_ContentDefinition_909831962.6" hidden="1">"'ot; FilterDS=&amp;quot;&amp;amp;lt;?xml version=&amp;amp;quot;1.0&amp;amp;quot; encoding=&amp;amp;quot;utf-16&amp;amp;quot;?&amp;amp;gt;&amp;amp;lt;FilterTree&amp;amp;gt;&amp;amp;lt;TreeRoot /&amp;amp;gt;&amp;amp;lt;/FilterTree&amp;amp;gt;&amp;quot; ColSelFlg=&amp;quot;0&amp;quot; Name=&amp;quot;P:\Staat_ESVG\ESVG2010'"</definedName>
    <definedName name="_AMO_ContentDefinition_909831962.7" hidden="1">"'\Steuereinnahmen\SAS\DATA\Ergebnistabellen\steuern_klass.sas7bdat&amp;quot; /&amp;gt;"" /&gt;_x000D_
  &lt;param n=""ExcelTableColumnCount"" v=""27"" /&gt;_x000D_
  &lt;param n=""ExcelTableRowCount"" v=""7580"" /&gt;_x000D_
  &lt;param n=""DataRowCount"" v=""7580"" /&gt;_x000D_
  &lt;param n=""DataColCo'"</definedName>
    <definedName name="_AMO_ContentDefinition_909831962.8" hidden="1">"'unt"" v=""27"" /&gt;_x000D_
  &lt;param n=""ObsColumn"" v=""false"" /&gt;_x000D_
  &lt;param n=""ExcelFormattingHash"" v=""-614629894"" /&gt;_x000D_
  &lt;param n=""ExcelFormatting"" v=""Automatic"" /&gt;_x000D_
  &lt;ExcelXMLOptions AdjColWidths=""True"" RowOpt=""InsertCells"" ColOpt=""InsertCell'"</definedName>
    <definedName name="_AMO_ContentDefinition_909831962.9" hidden="1">"'s"" /&gt;_x000D_
&lt;/ContentDefinition&gt;'"</definedName>
    <definedName name="_AMO_ContentLocation_909831962__A1" hidden="1">"'Partitions:2'"</definedName>
    <definedName name="_AMO_ContentLocation_909831962__A1.0" hidden="1">"'&lt;ContentLocation path=""A1"" rsid=""909831962"" tag="""" fid=""0""&gt;_x000D_
  &lt;param n=""_NumRows"" v=""7581"" /&gt;_x000D_
  &lt;param n=""_NumCols"" v=""27"" /&gt;_x000D_
  &lt;param n=""SASDataState"" v=""none"" /&gt;_x000D_
  &lt;param n=""SASDataStart"" v=""1"" /&gt;_x000D_
  &lt;param n=""SASData'"</definedName>
    <definedName name="_AMO_ContentLocation_909831962__A1.1" hidden="1">"'End"" v=""7580"" /&gt;_x000D_
&lt;/ContentLocation&gt;'"</definedName>
    <definedName name="_AMO_SingleObject_909831962__A1" localSheetId="4" hidden="1">#REF!</definedName>
    <definedName name="_AMO_SingleObject_909831962__A1" localSheetId="14" hidden="1">#REF!</definedName>
    <definedName name="_AMO_SingleObject_909831962__A1" localSheetId="5" hidden="1">#REF!</definedName>
    <definedName name="_AMO_SingleObject_909831962__A1" localSheetId="7" hidden="1">#REF!</definedName>
    <definedName name="_AMO_SingleObject_909831962__A1" localSheetId="8" hidden="1">#REF!</definedName>
    <definedName name="_AMO_SingleObject_909831962__A1" hidden="1">#REF!</definedName>
    <definedName name="_AMO_XmlVersion" hidden="1">"'1'"</definedName>
    <definedName name="_BOP1" localSheetId="4">#REF!</definedName>
    <definedName name="_BOP1" localSheetId="14">#REF!</definedName>
    <definedName name="_BOP1" localSheetId="5">#REF!</definedName>
    <definedName name="_BOP1" localSheetId="7">#REF!</definedName>
    <definedName name="_BOP1" localSheetId="8">#REF!</definedName>
    <definedName name="_BOP1" localSheetId="10">#REF!</definedName>
    <definedName name="_BOP1">#REF!</definedName>
    <definedName name="_BOP2" localSheetId="4">[1]BoP!#REF!</definedName>
    <definedName name="_BOP2" localSheetId="14">[1]BoP!#REF!</definedName>
    <definedName name="_BOP2" localSheetId="5">[1]BoP!#REF!</definedName>
    <definedName name="_BOP2" localSheetId="7">[1]BoP!#REF!</definedName>
    <definedName name="_BOP2" localSheetId="8">[1]BoP!#REF!</definedName>
    <definedName name="_BOP2" localSheetId="10">[1]BoP!#REF!</definedName>
    <definedName name="_BOP2">[1]BoP!#REF!</definedName>
    <definedName name="_dat1" localSheetId="4">'[2]work Q real'!#REF!</definedName>
    <definedName name="_dat1" localSheetId="14">'[2]work Q real'!#REF!</definedName>
    <definedName name="_dat1" localSheetId="5">'[2]work Q real'!#REF!</definedName>
    <definedName name="_dat1" localSheetId="7">'[2]work Q real'!#REF!</definedName>
    <definedName name="_dat1" localSheetId="8">'[2]work Q real'!#REF!</definedName>
    <definedName name="_dat1">'[2]work Q real'!#REF!</definedName>
    <definedName name="_dat2" localSheetId="4">#REF!</definedName>
    <definedName name="_dat2" localSheetId="14">#REF!</definedName>
    <definedName name="_dat2" localSheetId="5">#REF!</definedName>
    <definedName name="_dat2" localSheetId="7">#REF!</definedName>
    <definedName name="_dat2" localSheetId="8">#REF!</definedName>
    <definedName name="_dat2" localSheetId="10">#REF!</definedName>
    <definedName name="_dat2">#REF!</definedName>
    <definedName name="_ECB18" localSheetId="4">#REF!</definedName>
    <definedName name="_ECB18" localSheetId="14">#REF!</definedName>
    <definedName name="_ECB18" localSheetId="5">#REF!</definedName>
    <definedName name="_ECB18">#REF!</definedName>
    <definedName name="_ECB19" localSheetId="4">#REF!</definedName>
    <definedName name="_ECB19" localSheetId="14">#REF!</definedName>
    <definedName name="_ECB19" localSheetId="5">#REF!</definedName>
    <definedName name="_ECB19">#REF!</definedName>
    <definedName name="_ECB20" localSheetId="4">#REF!</definedName>
    <definedName name="_ECB20" localSheetId="14">#REF!</definedName>
    <definedName name="_ECB20" localSheetId="5">#REF!</definedName>
    <definedName name="_ECB20">#REF!</definedName>
    <definedName name="_EXP5" localSheetId="4">#REF!</definedName>
    <definedName name="_EXP5" localSheetId="14">#REF!</definedName>
    <definedName name="_EXP5" localSheetId="5">#REF!</definedName>
    <definedName name="_EXP5" localSheetId="10">#REF!</definedName>
    <definedName name="_EXP5">#REF!</definedName>
    <definedName name="_EXP6" localSheetId="4">#REF!</definedName>
    <definedName name="_EXP6" localSheetId="14">#REF!</definedName>
    <definedName name="_EXP6" localSheetId="5">#REF!</definedName>
    <definedName name="_EXP6" localSheetId="10">#REF!</definedName>
    <definedName name="_EXP6">#REF!</definedName>
    <definedName name="_EXP7" localSheetId="4">#REF!</definedName>
    <definedName name="_EXP7" localSheetId="14">#REF!</definedName>
    <definedName name="_EXP7" localSheetId="5">#REF!</definedName>
    <definedName name="_EXP7" localSheetId="10">#REF!</definedName>
    <definedName name="_EXP7">#REF!</definedName>
    <definedName name="_EXP9" localSheetId="4">#REF!</definedName>
    <definedName name="_EXP9" localSheetId="14">#REF!</definedName>
    <definedName name="_EXP9" localSheetId="5">#REF!</definedName>
    <definedName name="_EXP9" localSheetId="10">#REF!</definedName>
    <definedName name="_EXP9">#REF!</definedName>
    <definedName name="_Fill" localSheetId="4" hidden="1">#REF!</definedName>
    <definedName name="_Fill" localSheetId="14" hidden="1">#REF!</definedName>
    <definedName name="_Fill" localSheetId="5" hidden="1">#REF!</definedName>
    <definedName name="_Fill" localSheetId="10" hidden="1">#REF!</definedName>
    <definedName name="_Fill" hidden="1">#REF!</definedName>
    <definedName name="_xlnm._FilterDatabase" localSheetId="6" hidden="1">'Graf 4+5'!#REF!</definedName>
    <definedName name="_CHF18" localSheetId="4">#REF!</definedName>
    <definedName name="_CHF18" localSheetId="14">#REF!</definedName>
    <definedName name="_CHF18" localSheetId="5">#REF!</definedName>
    <definedName name="_CHF18">#REF!</definedName>
    <definedName name="_IMP10" localSheetId="4">#REF!</definedName>
    <definedName name="_IMP10" localSheetId="14">#REF!</definedName>
    <definedName name="_IMP10" localSheetId="5">#REF!</definedName>
    <definedName name="_IMP10" localSheetId="6">#REF!</definedName>
    <definedName name="_IMP10" localSheetId="10">#REF!</definedName>
    <definedName name="_IMP10">#REF!</definedName>
    <definedName name="_IMP2" localSheetId="4">#REF!</definedName>
    <definedName name="_IMP2" localSheetId="14">#REF!</definedName>
    <definedName name="_IMP2" localSheetId="5">#REF!</definedName>
    <definedName name="_IMP2" localSheetId="6">#REF!</definedName>
    <definedName name="_IMP2" localSheetId="10">#REF!</definedName>
    <definedName name="_IMP2">#REF!</definedName>
    <definedName name="_IMP4" localSheetId="4">#REF!</definedName>
    <definedName name="_IMP4" localSheetId="14">#REF!</definedName>
    <definedName name="_IMP4" localSheetId="5">#REF!</definedName>
    <definedName name="_IMP4" localSheetId="6">#REF!</definedName>
    <definedName name="_IMP4" localSheetId="10">#REF!</definedName>
    <definedName name="_IMP4">#REF!</definedName>
    <definedName name="_IMP6" localSheetId="4">#REF!</definedName>
    <definedName name="_IMP6" localSheetId="14">#REF!</definedName>
    <definedName name="_IMP6" localSheetId="5">#REF!</definedName>
    <definedName name="_IMP6" localSheetId="10">#REF!</definedName>
    <definedName name="_IMP6">#REF!</definedName>
    <definedName name="_IMP7" localSheetId="4">#REF!</definedName>
    <definedName name="_IMP7" localSheetId="14">#REF!</definedName>
    <definedName name="_IMP7" localSheetId="5">#REF!</definedName>
    <definedName name="_IMP7" localSheetId="10">#REF!</definedName>
    <definedName name="_IMP7">#REF!</definedName>
    <definedName name="_IMP8" localSheetId="4">#REF!</definedName>
    <definedName name="_IMP8" localSheetId="14">#REF!</definedName>
    <definedName name="_IMP8" localSheetId="5">#REF!</definedName>
    <definedName name="_IMP8" localSheetId="10">#REF!</definedName>
    <definedName name="_IMP8">#REF!</definedName>
    <definedName name="_JPY18" localSheetId="4">#REF!</definedName>
    <definedName name="_JPY18" localSheetId="14">#REF!</definedName>
    <definedName name="_JPY18" localSheetId="5">#REF!</definedName>
    <definedName name="_JPY18">#REF!</definedName>
    <definedName name="_JPY19" localSheetId="4">#REF!</definedName>
    <definedName name="_JPY19" localSheetId="14">#REF!</definedName>
    <definedName name="_JPY19" localSheetId="5">#REF!</definedName>
    <definedName name="_JPY19">#REF!</definedName>
    <definedName name="_JPY20" localSheetId="4">#REF!</definedName>
    <definedName name="_JPY20" localSheetId="14">#REF!</definedName>
    <definedName name="_JPY20" localSheetId="5">#REF!</definedName>
    <definedName name="_JPY20">#REF!</definedName>
    <definedName name="_MTS2" localSheetId="4">'[3]Annual Tables'!#REF!</definedName>
    <definedName name="_MTS2" localSheetId="14">'[3]Annual Tables'!#REF!</definedName>
    <definedName name="_MTS2" localSheetId="5">'[3]Annual Tables'!#REF!</definedName>
    <definedName name="_MTS2" localSheetId="7">'[3]Annual Tables'!#REF!</definedName>
    <definedName name="_MTS2" localSheetId="8">'[3]Annual Tables'!#REF!</definedName>
    <definedName name="_MTS2" localSheetId="10">'[3]Annual Tables'!#REF!</definedName>
    <definedName name="_MTS2">'[3]Annual Tables'!#REF!</definedName>
    <definedName name="_Order1" hidden="1">255</definedName>
    <definedName name="_Order2" hidden="1">255</definedName>
    <definedName name="_OUT1" localSheetId="4">#REF!</definedName>
    <definedName name="_OUT1" localSheetId="14">#REF!</definedName>
    <definedName name="_OUT1" localSheetId="5">#REF!</definedName>
    <definedName name="_OUT1" localSheetId="7">#REF!</definedName>
    <definedName name="_OUT1" localSheetId="8">#REF!</definedName>
    <definedName name="_OUT1" localSheetId="10">#REF!</definedName>
    <definedName name="_OUT1">#REF!</definedName>
    <definedName name="_OUT2" localSheetId="4">#REF!</definedName>
    <definedName name="_OUT2" localSheetId="14">#REF!</definedName>
    <definedName name="_OUT2" localSheetId="5">#REF!</definedName>
    <definedName name="_OUT2" localSheetId="10">#REF!</definedName>
    <definedName name="_OUT2">#REF!</definedName>
    <definedName name="_PAG2" localSheetId="4">[3]Index!#REF!</definedName>
    <definedName name="_PAG2" localSheetId="14">[3]Index!#REF!</definedName>
    <definedName name="_PAG2" localSheetId="5">[3]Index!#REF!</definedName>
    <definedName name="_PAG2" localSheetId="7">[3]Index!#REF!</definedName>
    <definedName name="_PAG2" localSheetId="8">[3]Index!#REF!</definedName>
    <definedName name="_PAG2" localSheetId="10">[3]Index!#REF!</definedName>
    <definedName name="_PAG2">[3]Index!#REF!</definedName>
    <definedName name="_PAG3" localSheetId="4">[3]Index!#REF!</definedName>
    <definedName name="_PAG3" localSheetId="14">[3]Index!#REF!</definedName>
    <definedName name="_PAG3" localSheetId="5">[3]Index!#REF!</definedName>
    <definedName name="_PAG3" localSheetId="7">[3]Index!#REF!</definedName>
    <definedName name="_PAG3" localSheetId="8">[3]Index!#REF!</definedName>
    <definedName name="_PAG3" localSheetId="10">[3]Index!#REF!</definedName>
    <definedName name="_PAG3">[3]Index!#REF!</definedName>
    <definedName name="_PAG4" localSheetId="4">[3]Index!#REF!</definedName>
    <definedName name="_PAG4" localSheetId="14">[3]Index!#REF!</definedName>
    <definedName name="_PAG4" localSheetId="5">[3]Index!#REF!</definedName>
    <definedName name="_PAG4" localSheetId="7">[3]Index!#REF!</definedName>
    <definedName name="_PAG4" localSheetId="8">[3]Index!#REF!</definedName>
    <definedName name="_PAG4" localSheetId="10">[3]Index!#REF!</definedName>
    <definedName name="_PAG4">[3]Index!#REF!</definedName>
    <definedName name="_PAG5" localSheetId="4">[3]Index!#REF!</definedName>
    <definedName name="_PAG5" localSheetId="14">[3]Index!#REF!</definedName>
    <definedName name="_PAG5" localSheetId="5">[3]Index!#REF!</definedName>
    <definedName name="_PAG5" localSheetId="10">[3]Index!#REF!</definedName>
    <definedName name="_PAG5">[3]Index!#REF!</definedName>
    <definedName name="_PAG6" localSheetId="4">[3]Index!#REF!</definedName>
    <definedName name="_PAG6" localSheetId="14">[3]Index!#REF!</definedName>
    <definedName name="_PAG6" localSheetId="5">[3]Index!#REF!</definedName>
    <definedName name="_PAG6" localSheetId="10">[3]Index!#REF!</definedName>
    <definedName name="_PAG6">[3]Index!#REF!</definedName>
    <definedName name="_PAG7" localSheetId="4">#REF!</definedName>
    <definedName name="_PAG7" localSheetId="14">#REF!</definedName>
    <definedName name="_PAG7" localSheetId="5">#REF!</definedName>
    <definedName name="_PAG7" localSheetId="7">#REF!</definedName>
    <definedName name="_PAG7" localSheetId="8">#REF!</definedName>
    <definedName name="_PAG7" localSheetId="10">#REF!</definedName>
    <definedName name="_PAG7">#REF!</definedName>
    <definedName name="_pro2001">[11]pro2001!$A$1:$B$72</definedName>
    <definedName name="_r13" localSheetId="6">[18]splatnosti!$V$39</definedName>
    <definedName name="_r13" localSheetId="10">[18]splatnosti!$V$39</definedName>
    <definedName name="_r13">[18]splatnosti!$V$39</definedName>
    <definedName name="_r14" localSheetId="6">[18]splatnosti!$V$40</definedName>
    <definedName name="_r14" localSheetId="10">[18]splatnosti!$V$40</definedName>
    <definedName name="_r14">[18]splatnosti!$V$40</definedName>
    <definedName name="_r18">[19]splatnosti!$N$34</definedName>
    <definedName name="_r19">[19]splatnosti!$N$35</definedName>
    <definedName name="_r20">[19]splatnosti!$N$36</definedName>
    <definedName name="_Regression_X" localSheetId="4" hidden="1">#REF!</definedName>
    <definedName name="_Regression_X" localSheetId="14" hidden="1">#REF!</definedName>
    <definedName name="_Regression_X" localSheetId="5" hidden="1">#REF!</definedName>
    <definedName name="_Regression_X" localSheetId="7" hidden="1">#REF!</definedName>
    <definedName name="_Regression_X" localSheetId="8" hidden="1">#REF!</definedName>
    <definedName name="_Regression_X" localSheetId="10" hidden="1">#REF!</definedName>
    <definedName name="_Regression_X" hidden="1">#REF!</definedName>
    <definedName name="_Regression_Y" localSheetId="4" hidden="1">#REF!</definedName>
    <definedName name="_Regression_Y" localSheetId="14" hidden="1">#REF!</definedName>
    <definedName name="_Regression_Y" localSheetId="5" hidden="1">#REF!</definedName>
    <definedName name="_Regression_Y" localSheetId="7" hidden="1">#REF!</definedName>
    <definedName name="_Regression_Y" localSheetId="8" hidden="1">#REF!</definedName>
    <definedName name="_Regression_Y" localSheetId="10" hidden="1">#REF!</definedName>
    <definedName name="_Regression_Y" hidden="1">#REF!</definedName>
    <definedName name="_RES2" localSheetId="4">[1]RES!#REF!</definedName>
    <definedName name="_RES2" localSheetId="14">[1]RES!#REF!</definedName>
    <definedName name="_RES2" localSheetId="5">[1]RES!#REF!</definedName>
    <definedName name="_RES2" localSheetId="6">[1]RES!#REF!</definedName>
    <definedName name="_RES2" localSheetId="7">[1]RES!#REF!</definedName>
    <definedName name="_RES2" localSheetId="8">[1]RES!#REF!</definedName>
    <definedName name="_RES2" localSheetId="10">[1]RES!#REF!</definedName>
    <definedName name="_RES2">[1]RES!#REF!</definedName>
    <definedName name="_RULC">[20]REER!$BA$144:$BA$206</definedName>
    <definedName name="_TAB1" localSheetId="4">#REF!</definedName>
    <definedName name="_TAB1" localSheetId="14">#REF!</definedName>
    <definedName name="_TAB1" localSheetId="5">#REF!</definedName>
    <definedName name="_TAB1" localSheetId="7">#REF!</definedName>
    <definedName name="_TAB1" localSheetId="8">#REF!</definedName>
    <definedName name="_TAB1" localSheetId="10">#REF!</definedName>
    <definedName name="_TAB1">#REF!</definedName>
    <definedName name="_TAB10" localSheetId="4">#REF!</definedName>
    <definedName name="_TAB10" localSheetId="14">#REF!</definedName>
    <definedName name="_TAB10" localSheetId="5">#REF!</definedName>
    <definedName name="_TAB10" localSheetId="10">#REF!</definedName>
    <definedName name="_TAB10">#REF!</definedName>
    <definedName name="_TAB12" localSheetId="4">#REF!</definedName>
    <definedName name="_TAB12" localSheetId="14">#REF!</definedName>
    <definedName name="_TAB12" localSheetId="5">#REF!</definedName>
    <definedName name="_TAB12" localSheetId="10">#REF!</definedName>
    <definedName name="_TAB12">#REF!</definedName>
    <definedName name="_Tab19" localSheetId="4">#REF!</definedName>
    <definedName name="_Tab19" localSheetId="14">#REF!</definedName>
    <definedName name="_Tab19" localSheetId="5">#REF!</definedName>
    <definedName name="_Tab19" localSheetId="10">#REF!</definedName>
    <definedName name="_Tab19">#REF!</definedName>
    <definedName name="_TAB2" localSheetId="4">#REF!</definedName>
    <definedName name="_TAB2" localSheetId="14">#REF!</definedName>
    <definedName name="_TAB2" localSheetId="5">#REF!</definedName>
    <definedName name="_TAB2" localSheetId="10">#REF!</definedName>
    <definedName name="_TAB2">#REF!</definedName>
    <definedName name="_Tab20" localSheetId="4">#REF!</definedName>
    <definedName name="_Tab20" localSheetId="14">#REF!</definedName>
    <definedName name="_Tab20" localSheetId="5">#REF!</definedName>
    <definedName name="_Tab20" localSheetId="10">#REF!</definedName>
    <definedName name="_Tab20">#REF!</definedName>
    <definedName name="_Tab21" localSheetId="4">#REF!</definedName>
    <definedName name="_Tab21" localSheetId="14">#REF!</definedName>
    <definedName name="_Tab21" localSheetId="5">#REF!</definedName>
    <definedName name="_Tab21" localSheetId="10">#REF!</definedName>
    <definedName name="_Tab21">#REF!</definedName>
    <definedName name="_Tab22" localSheetId="4">#REF!</definedName>
    <definedName name="_Tab22" localSheetId="14">#REF!</definedName>
    <definedName name="_Tab22" localSheetId="5">#REF!</definedName>
    <definedName name="_Tab22" localSheetId="10">#REF!</definedName>
    <definedName name="_Tab22">#REF!</definedName>
    <definedName name="_Tab23" localSheetId="4">#REF!</definedName>
    <definedName name="_Tab23" localSheetId="14">#REF!</definedName>
    <definedName name="_Tab23" localSheetId="5">#REF!</definedName>
    <definedName name="_Tab23" localSheetId="10">#REF!</definedName>
    <definedName name="_Tab23">#REF!</definedName>
    <definedName name="_Tab24" localSheetId="4">#REF!</definedName>
    <definedName name="_Tab24" localSheetId="14">#REF!</definedName>
    <definedName name="_Tab24" localSheetId="5">#REF!</definedName>
    <definedName name="_Tab24" localSheetId="10">#REF!</definedName>
    <definedName name="_Tab24">#REF!</definedName>
    <definedName name="_Tab26" localSheetId="4">#REF!</definedName>
    <definedName name="_Tab26" localSheetId="14">#REF!</definedName>
    <definedName name="_Tab26" localSheetId="5">#REF!</definedName>
    <definedName name="_Tab26" localSheetId="10">#REF!</definedName>
    <definedName name="_Tab26">#REF!</definedName>
    <definedName name="_Tab27" localSheetId="4">#REF!</definedName>
    <definedName name="_Tab27" localSheetId="14">#REF!</definedName>
    <definedName name="_Tab27" localSheetId="5">#REF!</definedName>
    <definedName name="_Tab27" localSheetId="10">#REF!</definedName>
    <definedName name="_Tab27">#REF!</definedName>
    <definedName name="_Tab28" localSheetId="4">#REF!</definedName>
    <definedName name="_Tab28" localSheetId="14">#REF!</definedName>
    <definedName name="_Tab28" localSheetId="5">#REF!</definedName>
    <definedName name="_Tab28" localSheetId="10">#REF!</definedName>
    <definedName name="_Tab28">#REF!</definedName>
    <definedName name="_Tab29" localSheetId="4">#REF!</definedName>
    <definedName name="_Tab29" localSheetId="14">#REF!</definedName>
    <definedName name="_Tab29" localSheetId="5">#REF!</definedName>
    <definedName name="_Tab29" localSheetId="10">#REF!</definedName>
    <definedName name="_Tab29">#REF!</definedName>
    <definedName name="_TAB3" localSheetId="4">#REF!</definedName>
    <definedName name="_TAB3" localSheetId="14">#REF!</definedName>
    <definedName name="_TAB3" localSheetId="5">#REF!</definedName>
    <definedName name="_TAB3" localSheetId="10">#REF!</definedName>
    <definedName name="_TAB3">#REF!</definedName>
    <definedName name="_Tab30" localSheetId="4">#REF!</definedName>
    <definedName name="_Tab30" localSheetId="14">#REF!</definedName>
    <definedName name="_Tab30" localSheetId="5">#REF!</definedName>
    <definedName name="_Tab30" localSheetId="10">#REF!</definedName>
    <definedName name="_Tab30">#REF!</definedName>
    <definedName name="_Tab31" localSheetId="4">#REF!</definedName>
    <definedName name="_Tab31" localSheetId="14">#REF!</definedName>
    <definedName name="_Tab31" localSheetId="5">#REF!</definedName>
    <definedName name="_Tab31" localSheetId="10">#REF!</definedName>
    <definedName name="_Tab31">#REF!</definedName>
    <definedName name="_Tab32" localSheetId="4">#REF!</definedName>
    <definedName name="_Tab32" localSheetId="14">#REF!</definedName>
    <definedName name="_Tab32" localSheetId="5">#REF!</definedName>
    <definedName name="_Tab32" localSheetId="10">#REF!</definedName>
    <definedName name="_Tab32">#REF!</definedName>
    <definedName name="_Tab33" localSheetId="4">#REF!</definedName>
    <definedName name="_Tab33" localSheetId="14">#REF!</definedName>
    <definedName name="_Tab33" localSheetId="5">#REF!</definedName>
    <definedName name="_Tab33" localSheetId="10">#REF!</definedName>
    <definedName name="_Tab33">#REF!</definedName>
    <definedName name="_Tab34" localSheetId="4">#REF!</definedName>
    <definedName name="_Tab34" localSheetId="14">#REF!</definedName>
    <definedName name="_Tab34" localSheetId="5">#REF!</definedName>
    <definedName name="_Tab34" localSheetId="10">#REF!</definedName>
    <definedName name="_Tab34">#REF!</definedName>
    <definedName name="_Tab35" localSheetId="4">#REF!</definedName>
    <definedName name="_Tab35" localSheetId="14">#REF!</definedName>
    <definedName name="_Tab35" localSheetId="5">#REF!</definedName>
    <definedName name="_Tab35" localSheetId="10">#REF!</definedName>
    <definedName name="_Tab35">#REF!</definedName>
    <definedName name="_TAB4" localSheetId="4">#REF!</definedName>
    <definedName name="_TAB4" localSheetId="14">#REF!</definedName>
    <definedName name="_TAB4" localSheetId="5">#REF!</definedName>
    <definedName name="_TAB4" localSheetId="10">#REF!</definedName>
    <definedName name="_TAB4">#REF!</definedName>
    <definedName name="_TAB5" localSheetId="4">#REF!</definedName>
    <definedName name="_TAB5" localSheetId="14">#REF!</definedName>
    <definedName name="_TAB5" localSheetId="5">#REF!</definedName>
    <definedName name="_TAB5" localSheetId="10">#REF!</definedName>
    <definedName name="_TAB5">#REF!</definedName>
    <definedName name="_tab6" localSheetId="4">#REF!</definedName>
    <definedName name="_tab6" localSheetId="14">#REF!</definedName>
    <definedName name="_tab6" localSheetId="5">#REF!</definedName>
    <definedName name="_tab6" localSheetId="10">#REF!</definedName>
    <definedName name="_tab6">#REF!</definedName>
    <definedName name="_TAB7" localSheetId="4">#REF!</definedName>
    <definedName name="_TAB7" localSheetId="14">#REF!</definedName>
    <definedName name="_TAB7" localSheetId="5">#REF!</definedName>
    <definedName name="_TAB7" localSheetId="10">#REF!</definedName>
    <definedName name="_TAB7">#REF!</definedName>
    <definedName name="_TAB8" localSheetId="4">#REF!</definedName>
    <definedName name="_TAB8" localSheetId="14">#REF!</definedName>
    <definedName name="_TAB8" localSheetId="5">#REF!</definedName>
    <definedName name="_TAB8" localSheetId="10">#REF!</definedName>
    <definedName name="_TAB8">#REF!</definedName>
    <definedName name="_tab9" localSheetId="4">#REF!</definedName>
    <definedName name="_tab9" localSheetId="14">#REF!</definedName>
    <definedName name="_tab9" localSheetId="5">#REF!</definedName>
    <definedName name="_tab9" localSheetId="10">#REF!</definedName>
    <definedName name="_tab9">#REF!</definedName>
    <definedName name="_TB41" localSheetId="4">#REF!</definedName>
    <definedName name="_TB41" localSheetId="14">#REF!</definedName>
    <definedName name="_TB41" localSheetId="5">#REF!</definedName>
    <definedName name="_TB41" localSheetId="10">#REF!</definedName>
    <definedName name="_TB41">#REF!</definedName>
    <definedName name="_Toc116467586" localSheetId="7">'Graf 6'!#REF!</definedName>
    <definedName name="_Toc116467587" localSheetId="8">'Graf 7'!$C$2</definedName>
    <definedName name="_Toc116561360" localSheetId="9">'Tabuľka 2'!$C$4</definedName>
    <definedName name="_Toc116561390" localSheetId="6">'Graf 4+5'!$B$19</definedName>
    <definedName name="_Toc495423391" localSheetId="2">Zhrnutie!$A$5</definedName>
    <definedName name="_Toc526688278" localSheetId="16">'Tabuľka 4'!$B$5</definedName>
    <definedName name="_Toc53500237" localSheetId="17">'Tabuľka 5'!$B$5</definedName>
    <definedName name="_USD18" localSheetId="4">#REF!</definedName>
    <definedName name="_USD18" localSheetId="14">#REF!</definedName>
    <definedName name="_USD18" localSheetId="5">#REF!</definedName>
    <definedName name="_USD18">#REF!</definedName>
    <definedName name="_USD19" localSheetId="4">#REF!</definedName>
    <definedName name="_USD19" localSheetId="14">#REF!</definedName>
    <definedName name="_USD19" localSheetId="5">#REF!</definedName>
    <definedName name="_USD19">#REF!</definedName>
    <definedName name="_WEO1" localSheetId="4">#REF!</definedName>
    <definedName name="_WEO1" localSheetId="14">#REF!</definedName>
    <definedName name="_WEO1" localSheetId="5">#REF!</definedName>
    <definedName name="_WEO1" localSheetId="7">#REF!</definedName>
    <definedName name="_WEO1" localSheetId="8">#REF!</definedName>
    <definedName name="_WEO1" localSheetId="10">#REF!</definedName>
    <definedName name="_WEO1">#REF!</definedName>
    <definedName name="_WEO2" localSheetId="4">#REF!</definedName>
    <definedName name="_WEO2" localSheetId="14">#REF!</definedName>
    <definedName name="_WEO2" localSheetId="5">#REF!</definedName>
    <definedName name="_WEO2" localSheetId="10">#REF!</definedName>
    <definedName name="_WEO2">#REF!</definedName>
    <definedName name="_xlchart.v1.0" hidden="1">'Graf 3'!$D$4:$D$10</definedName>
    <definedName name="_xlchart.v1.1" hidden="1">'Graf 3'!$I$4:$I$10</definedName>
    <definedName name="_xlchart.v1.2" hidden="1">'Graf 3'!$H$4:$H$10</definedName>
    <definedName name="_xlchart.v1.3" hidden="1">'Graf 3'!$I$4:$I$10</definedName>
    <definedName name="a" hidden="1">[20]REER!$AZ$144:$AZ$210</definedName>
    <definedName name="aaa" localSheetId="4" hidden="1">'[9]i2-KA'!#REF!</definedName>
    <definedName name="aaa" localSheetId="14" hidden="1">'[9]i2-KA'!#REF!</definedName>
    <definedName name="aaa" localSheetId="5" hidden="1">'[9]i2-KA'!#REF!</definedName>
    <definedName name="aaa" localSheetId="7" hidden="1">'[9]i2-KA'!#REF!</definedName>
    <definedName name="aaa" localSheetId="8" hidden="1">'[9]i2-KA'!#REF!</definedName>
    <definedName name="aaa" hidden="1">'[9]i2-KA'!#REF!</definedName>
    <definedName name="aaaaaaaaaaaaaa">[21]!aaaaaaaaaaaaaa</definedName>
    <definedName name="aas">[22]Contents!$A$1:$C$25</definedName>
    <definedName name="aloha" localSheetId="4" hidden="1">'[23]i2-KA'!#REF!</definedName>
    <definedName name="aloha" localSheetId="14" hidden="1">'[23]i2-KA'!#REF!</definedName>
    <definedName name="aloha" localSheetId="5" hidden="1">'[23]i2-KA'!#REF!</definedName>
    <definedName name="aloha" localSheetId="7" hidden="1">'[23]i2-KA'!#REF!</definedName>
    <definedName name="aloha" localSheetId="8" hidden="1">'[23]i2-KA'!#REF!</definedName>
    <definedName name="aloha" hidden="1">'[23]i2-KA'!#REF!</definedName>
    <definedName name="ANNUALNOM" localSheetId="4">#REF!</definedName>
    <definedName name="ANNUALNOM" localSheetId="14">#REF!</definedName>
    <definedName name="ANNUALNOM" localSheetId="5">#REF!</definedName>
    <definedName name="ANNUALNOM" localSheetId="7">#REF!</definedName>
    <definedName name="ANNUALNOM" localSheetId="8">#REF!</definedName>
    <definedName name="ANNUALNOM" localSheetId="10">#REF!</definedName>
    <definedName name="ANNUALNOM">#REF!</definedName>
    <definedName name="as">'[22]i-REER'!$A$2:$F$104</definedName>
    <definedName name="ASSUM" localSheetId="4">#REF!</definedName>
    <definedName name="ASSUM" localSheetId="14">#REF!</definedName>
    <definedName name="ASSUM" localSheetId="5">#REF!</definedName>
    <definedName name="ASSUM" localSheetId="7">#REF!</definedName>
    <definedName name="ASSUM" localSheetId="8">#REF!</definedName>
    <definedName name="ASSUM" localSheetId="10">#REF!</definedName>
    <definedName name="ASSUM">#REF!</definedName>
    <definedName name="ASSUMB" localSheetId="4">#REF!</definedName>
    <definedName name="ASSUMB" localSheetId="14">#REF!</definedName>
    <definedName name="ASSUMB" localSheetId="5">#REF!</definedName>
    <definedName name="ASSUMB" localSheetId="10">#REF!</definedName>
    <definedName name="ASSUMB">#REF!</definedName>
    <definedName name="atrade" localSheetId="4">[17]!atrade</definedName>
    <definedName name="atrade" localSheetId="14">[17]!atrade</definedName>
    <definedName name="atrade" localSheetId="5">[17]!atrade</definedName>
    <definedName name="atrade">[17]!atrade</definedName>
    <definedName name="b" localSheetId="4">#REF!</definedName>
    <definedName name="b" localSheetId="14">#REF!</definedName>
    <definedName name="b" localSheetId="5">#REF!</definedName>
    <definedName name="b" localSheetId="7">#REF!</definedName>
    <definedName name="b" localSheetId="8">#REF!</definedName>
    <definedName name="b" localSheetId="10">#REF!</definedName>
    <definedName name="b">#REF!</definedName>
    <definedName name="BAKLANBOPB" localSheetId="4">#REF!</definedName>
    <definedName name="BAKLANBOPB" localSheetId="14">#REF!</definedName>
    <definedName name="BAKLANBOPB" localSheetId="5">#REF!</definedName>
    <definedName name="BAKLANBOPB" localSheetId="10">#REF!</definedName>
    <definedName name="BAKLANBOPB">#REF!</definedName>
    <definedName name="BAKLANDEBT2B" localSheetId="4">#REF!</definedName>
    <definedName name="BAKLANDEBT2B" localSheetId="14">#REF!</definedName>
    <definedName name="BAKLANDEBT2B" localSheetId="5">#REF!</definedName>
    <definedName name="BAKLANDEBT2B" localSheetId="10">#REF!</definedName>
    <definedName name="BAKLANDEBT2B">#REF!</definedName>
    <definedName name="BAKLDEBT1B" localSheetId="4">#REF!</definedName>
    <definedName name="BAKLDEBT1B" localSheetId="14">#REF!</definedName>
    <definedName name="BAKLDEBT1B" localSheetId="5">#REF!</definedName>
    <definedName name="BAKLDEBT1B" localSheetId="10">#REF!</definedName>
    <definedName name="BAKLDEBT1B">#REF!</definedName>
    <definedName name="BASDAT" localSheetId="4">'[3]Annual Tables'!#REF!</definedName>
    <definedName name="BASDAT" localSheetId="14">'[3]Annual Tables'!#REF!</definedName>
    <definedName name="BASDAT" localSheetId="5">'[3]Annual Tables'!#REF!</definedName>
    <definedName name="BASDAT" localSheetId="10">'[3]Annual Tables'!#REF!</definedName>
    <definedName name="BASDAT">'[3]Annual Tables'!#REF!</definedName>
    <definedName name="bb" localSheetId="7" hidden="1">{"Riqfin97",#N/A,FALSE,"Tran";"Riqfinpro",#N/A,FALSE,"Tran"}</definedName>
    <definedName name="bb" localSheetId="8" hidden="1">{"Riqfin97",#N/A,FALSE,"Tran";"Riqfinpro",#N/A,FALSE,"Tran"}</definedName>
    <definedName name="bb" localSheetId="10" hidden="1">{"Riqfin97",#N/A,FALSE,"Tran";"Riqfinpro",#N/A,FALSE,"Tran"}</definedName>
    <definedName name="bb" localSheetId="1" hidden="1">{"Riqfin97",#N/A,FALSE,"Tran";"Riqfinpro",#N/A,FALSE,"Tran"}</definedName>
    <definedName name="bb" localSheetId="3" hidden="1">{"Riqfin97",#N/A,FALSE,"Tran";"Riqfinpro",#N/A,FALSE,"Tran"}</definedName>
    <definedName name="bb" hidden="1">{"Riqfin97",#N/A,FALSE,"Tran";"Riqfinpro",#N/A,FALSE,"Tran"}</definedName>
    <definedName name="bbb" localSheetId="7" hidden="1">{"Riqfin97",#N/A,FALSE,"Tran";"Riqfinpro",#N/A,FALSE,"Tran"}</definedName>
    <definedName name="bbb" localSheetId="8" hidden="1">{"Riqfin97",#N/A,FALSE,"Tran";"Riqfinpro",#N/A,FALSE,"Tran"}</definedName>
    <definedName name="bbb" localSheetId="10" hidden="1">{"Riqfin97",#N/A,FALSE,"Tran";"Riqfinpro",#N/A,FALSE,"Tran"}</definedName>
    <definedName name="bbb" localSheetId="1" hidden="1">{"Riqfin97",#N/A,FALSE,"Tran";"Riqfinpro",#N/A,FALSE,"Tran"}</definedName>
    <definedName name="bbb" localSheetId="3" hidden="1">{"Riqfin97",#N/A,FALSE,"Tran";"Riqfinpro",#N/A,FALSE,"Tran"}</definedName>
    <definedName name="bbb" hidden="1">{"Riqfin97",#N/A,FALSE,"Tran";"Riqfinpro",#N/A,FALSE,"Tran"}</definedName>
    <definedName name="bbbbbbbbbbbbbb">[21]!bbbbbbbbbbbbbb</definedName>
    <definedName name="BCA">#N/A</definedName>
    <definedName name="BCA_GDP">#N/A</definedName>
    <definedName name="BE">#N/A</definedName>
    <definedName name="BEA" localSheetId="4">'[24]WEO-BOP'!#REF!</definedName>
    <definedName name="BEA" localSheetId="14">'[24]WEO-BOP'!#REF!</definedName>
    <definedName name="BEA" localSheetId="5">'[24]WEO-BOP'!#REF!</definedName>
    <definedName name="BEA" localSheetId="7">'[24]WEO-BOP'!#REF!</definedName>
    <definedName name="BEA" localSheetId="8">'[24]WEO-BOP'!#REF!</definedName>
    <definedName name="BEA">'[24]WEO-BOP'!#REF!</definedName>
    <definedName name="BEAI">#N/A</definedName>
    <definedName name="BEAIB">#N/A</definedName>
    <definedName name="BEAIG">#N/A</definedName>
    <definedName name="BEAP">#N/A</definedName>
    <definedName name="BEAPB">#N/A</definedName>
    <definedName name="BEAPG">#N/A</definedName>
    <definedName name="BEDE" localSheetId="4">#REF!</definedName>
    <definedName name="BEDE" localSheetId="14">#REF!</definedName>
    <definedName name="BEDE" localSheetId="5">#REF!</definedName>
    <definedName name="BEDE" localSheetId="7">#REF!</definedName>
    <definedName name="BEDE" localSheetId="8">#REF!</definedName>
    <definedName name="BEDE" localSheetId="10">#REF!</definedName>
    <definedName name="BEDE">#REF!</definedName>
    <definedName name="BER" localSheetId="4">'[24]WEO-BOP'!#REF!</definedName>
    <definedName name="BER" localSheetId="14">'[24]WEO-BOP'!#REF!</definedName>
    <definedName name="BER" localSheetId="5">'[24]WEO-BOP'!#REF!</definedName>
    <definedName name="BER" localSheetId="7">'[24]WEO-BOP'!#REF!</definedName>
    <definedName name="BER" localSheetId="8">'[24]WEO-BOP'!#REF!</definedName>
    <definedName name="BER" localSheetId="10">'[24]WEO-BOP'!#REF!</definedName>
    <definedName name="BER">'[24]WEO-BOP'!#REF!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4">'[24]WEO-BOP'!#REF!</definedName>
    <definedName name="BFD" localSheetId="14">'[24]WEO-BOP'!#REF!</definedName>
    <definedName name="BFD" localSheetId="5">'[24]WEO-BOP'!#REF!</definedName>
    <definedName name="BFD" localSheetId="7">'[24]WEO-BOP'!#REF!</definedName>
    <definedName name="BFD" localSheetId="8">'[24]WEO-BOP'!#REF!</definedName>
    <definedName name="BFD">'[24]WEO-BOP'!#REF!</definedName>
    <definedName name="BFDI" localSheetId="4">'[24]WEO-BOP'!#REF!</definedName>
    <definedName name="BFDI" localSheetId="14">'[24]WEO-BOP'!#REF!</definedName>
    <definedName name="BFDI" localSheetId="5">'[24]WEO-BOP'!#REF!</definedName>
    <definedName name="BFDI">'[24]WEO-BOP'!#REF!</definedName>
    <definedName name="BFL">#N/A</definedName>
    <definedName name="BFL_D">#N/A</definedName>
    <definedName name="BFL_DF">#N/A</definedName>
    <definedName name="BFLB">#N/A</definedName>
    <definedName name="BFLB_D">#N/A</definedName>
    <definedName name="BFLB_DF">#N/A</definedName>
    <definedName name="BFLD_DF">[21]!BFLD_DF</definedName>
    <definedName name="BFLG">#N/A</definedName>
    <definedName name="BFLG_D">#N/A</definedName>
    <definedName name="BFLG_DF">#N/A</definedName>
    <definedName name="BFO" localSheetId="4">'[24]WEO-BOP'!#REF!</definedName>
    <definedName name="BFO" localSheetId="14">'[24]WEO-BOP'!#REF!</definedName>
    <definedName name="BFO" localSheetId="5">'[24]WEO-BOP'!#REF!</definedName>
    <definedName name="BFO" localSheetId="7">'[24]WEO-BOP'!#REF!</definedName>
    <definedName name="BFO" localSheetId="8">'[24]WEO-BOP'!#REF!</definedName>
    <definedName name="BFO">'[24]WEO-BOP'!#REF!</definedName>
    <definedName name="BFOA" localSheetId="4">'[24]WEO-BOP'!#REF!</definedName>
    <definedName name="BFOA" localSheetId="14">'[24]WEO-BOP'!#REF!</definedName>
    <definedName name="BFOA" localSheetId="5">'[24]WEO-BOP'!#REF!</definedName>
    <definedName name="BFOA">'[24]WEO-BOP'!#REF!</definedName>
    <definedName name="BFOAG" localSheetId="4">'[24]WEO-BOP'!#REF!</definedName>
    <definedName name="BFOAG" localSheetId="14">'[24]WEO-BOP'!#REF!</definedName>
    <definedName name="BFOAG" localSheetId="5">'[24]WEO-BOP'!#REF!</definedName>
    <definedName name="BFOAG">'[24]WEO-BOP'!#REF!</definedName>
    <definedName name="BFOG" localSheetId="4">'[24]WEO-BOP'!#REF!</definedName>
    <definedName name="BFOG" localSheetId="14">'[24]WEO-BOP'!#REF!</definedName>
    <definedName name="BFOG" localSheetId="5">'[24]WEO-BOP'!#REF!</definedName>
    <definedName name="BFOG">'[24]WEO-BOP'!#REF!</definedName>
    <definedName name="BFOL" localSheetId="4">'[24]WEO-BOP'!#REF!</definedName>
    <definedName name="BFOL" localSheetId="14">'[24]WEO-BOP'!#REF!</definedName>
    <definedName name="BFOL" localSheetId="5">'[24]WEO-BOP'!#REF!</definedName>
    <definedName name="BFOL">'[24]WEO-BOP'!#REF!</definedName>
    <definedName name="BFOL_B" localSheetId="4">'[24]WEO-BOP'!#REF!</definedName>
    <definedName name="BFOL_B" localSheetId="14">'[24]WEO-BOP'!#REF!</definedName>
    <definedName name="BFOL_B" localSheetId="5">'[24]WEO-BOP'!#REF!</definedName>
    <definedName name="BFOL_B">'[24]WEO-BOP'!#REF!</definedName>
    <definedName name="BFOL_G" localSheetId="4">'[24]WEO-BOP'!#REF!</definedName>
    <definedName name="BFOL_G" localSheetId="14">'[24]WEO-BOP'!#REF!</definedName>
    <definedName name="BFOL_G" localSheetId="5">'[24]WEO-BOP'!#REF!</definedName>
    <definedName name="BFOL_G">'[24]WEO-BOP'!#REF!</definedName>
    <definedName name="BFOLG" localSheetId="4">'[24]WEO-BOP'!#REF!</definedName>
    <definedName name="BFOLG" localSheetId="14">'[24]WEO-BOP'!#REF!</definedName>
    <definedName name="BFOLG" localSheetId="5">'[24]WEO-BOP'!#REF!</definedName>
    <definedName name="BFOLG">'[24]WEO-BOP'!#REF!</definedName>
    <definedName name="BFP" localSheetId="4">'[24]WEO-BOP'!#REF!</definedName>
    <definedName name="BFP" localSheetId="14">'[24]WEO-BOP'!#REF!</definedName>
    <definedName name="BFP" localSheetId="5">'[24]WEO-BOP'!#REF!</definedName>
    <definedName name="BFP">'[24]WEO-BOP'!#REF!</definedName>
    <definedName name="BFPA" localSheetId="4">'[24]WEO-BOP'!#REF!</definedName>
    <definedName name="BFPA" localSheetId="14">'[24]WEO-BOP'!#REF!</definedName>
    <definedName name="BFPA" localSheetId="5">'[24]WEO-BOP'!#REF!</definedName>
    <definedName name="BFPA">'[24]WEO-BOP'!#REF!</definedName>
    <definedName name="BFPAG" localSheetId="4">'[24]WEO-BOP'!#REF!</definedName>
    <definedName name="BFPAG" localSheetId="14">'[24]WEO-BOP'!#REF!</definedName>
    <definedName name="BFPAG" localSheetId="5">'[24]WEO-BOP'!#REF!</definedName>
    <definedName name="BFPAG">'[24]WEO-BOP'!#REF!</definedName>
    <definedName name="BFPG" localSheetId="4">'[24]WEO-BOP'!#REF!</definedName>
    <definedName name="BFPG" localSheetId="14">'[24]WEO-BOP'!#REF!</definedName>
    <definedName name="BFPG" localSheetId="5">'[24]WEO-BOP'!#REF!</definedName>
    <definedName name="BFPG">'[24]WEO-BOP'!#REF!</definedName>
    <definedName name="BFPL" localSheetId="4">'[24]WEO-BOP'!#REF!</definedName>
    <definedName name="BFPL" localSheetId="14">'[24]WEO-BOP'!#REF!</definedName>
    <definedName name="BFPL" localSheetId="5">'[24]WEO-BOP'!#REF!</definedName>
    <definedName name="BFPL">'[24]WEO-BOP'!#REF!</definedName>
    <definedName name="BFPLD" localSheetId="4">'[24]WEO-BOP'!#REF!</definedName>
    <definedName name="BFPLD" localSheetId="14">'[24]WEO-BOP'!#REF!</definedName>
    <definedName name="BFPLD" localSheetId="5">'[24]WEO-BOP'!#REF!</definedName>
    <definedName name="BFPLD">'[24]WEO-BOP'!#REF!</definedName>
    <definedName name="BFPLDG" localSheetId="4">'[24]WEO-BOP'!#REF!</definedName>
    <definedName name="BFPLDG" localSheetId="14">'[24]WEO-BOP'!#REF!</definedName>
    <definedName name="BFPLDG" localSheetId="5">'[24]WEO-BOP'!#REF!</definedName>
    <definedName name="BFPLDG">'[24]WEO-BOP'!#REF!</definedName>
    <definedName name="BFPLE" localSheetId="4">'[24]WEO-BOP'!#REF!</definedName>
    <definedName name="BFPLE" localSheetId="14">'[24]WEO-BOP'!#REF!</definedName>
    <definedName name="BFPLE" localSheetId="5">'[24]WEO-BOP'!#REF!</definedName>
    <definedName name="BFPLE">'[24]WEO-BOP'!#REF!</definedName>
    <definedName name="BFRA">#N/A</definedName>
    <definedName name="BGS" localSheetId="4">'[24]WEO-BOP'!#REF!</definedName>
    <definedName name="BGS" localSheetId="14">'[24]WEO-BOP'!#REF!</definedName>
    <definedName name="BGS" localSheetId="5">'[24]WEO-BOP'!#REF!</definedName>
    <definedName name="BGS">'[24]WEO-BOP'!#REF!</definedName>
    <definedName name="BI">#N/A</definedName>
    <definedName name="BID" localSheetId="4">'[24]WEO-BOP'!#REF!</definedName>
    <definedName name="BID" localSheetId="14">'[24]WEO-BOP'!#REF!</definedName>
    <definedName name="BID" localSheetId="5">'[24]WEO-BOP'!#REF!</definedName>
    <definedName name="BID">'[24]WEO-BOP'!#REF!</definedName>
    <definedName name="BK">#N/A</definedName>
    <definedName name="BKF">#N/A</definedName>
    <definedName name="BMG">[25]Q6!$E$28:$AH$28</definedName>
    <definedName name="BMII">#N/A</definedName>
    <definedName name="BMIIB">#N/A</definedName>
    <definedName name="BMIIG">#N/A</definedName>
    <definedName name="BMS" localSheetId="4">'[24]WEO-BOP'!#REF!</definedName>
    <definedName name="BMS" localSheetId="14">'[24]WEO-BOP'!#REF!</definedName>
    <definedName name="BMS" localSheetId="5">'[24]WEO-BOP'!#REF!</definedName>
    <definedName name="BMS" localSheetId="7">'[24]WEO-BOP'!#REF!</definedName>
    <definedName name="BMS" localSheetId="8">'[24]WEO-BOP'!#REF!</definedName>
    <definedName name="BMS">'[24]WEO-BOP'!#REF!</definedName>
    <definedName name="Bolivia" localSheetId="4">#REF!</definedName>
    <definedName name="Bolivia" localSheetId="14">#REF!</definedName>
    <definedName name="Bolivia" localSheetId="5">#REF!</definedName>
    <definedName name="Bolivia" localSheetId="7">#REF!</definedName>
    <definedName name="Bolivia" localSheetId="8">#REF!</definedName>
    <definedName name="Bolivia" localSheetId="10">#REF!</definedName>
    <definedName name="Bolivia">#REF!</definedName>
    <definedName name="BOP">#N/A</definedName>
    <definedName name="BOPB" localSheetId="4">#REF!</definedName>
    <definedName name="BOPB" localSheetId="14">#REF!</definedName>
    <definedName name="BOPB" localSheetId="5">#REF!</definedName>
    <definedName name="BOPB" localSheetId="7">#REF!</definedName>
    <definedName name="BOPB" localSheetId="8">#REF!</definedName>
    <definedName name="BOPB" localSheetId="10">#REF!</definedName>
    <definedName name="BOPB">#REF!</definedName>
    <definedName name="BOPMEMOB" localSheetId="4">#REF!</definedName>
    <definedName name="BOPMEMOB" localSheetId="14">#REF!</definedName>
    <definedName name="BOPMEMOB" localSheetId="5">#REF!</definedName>
    <definedName name="BOPMEMOB" localSheetId="10">#REF!</definedName>
    <definedName name="BOPMEMOB">#REF!</definedName>
    <definedName name="bracket_2" localSheetId="4">[26]Graf14_Graf15!#REF!</definedName>
    <definedName name="bracket_2" localSheetId="14">[26]Graf14_Graf15!#REF!</definedName>
    <definedName name="bracket_2" localSheetId="5">[26]Graf14_Graf15!#REF!</definedName>
    <definedName name="bracket_2" localSheetId="10">[26]Graf14_Graf15!#REF!</definedName>
    <definedName name="bracket_2">[26]Graf14_Graf15!#REF!</definedName>
    <definedName name="BRASS" localSheetId="4">'[24]WEO-BOP'!#REF!</definedName>
    <definedName name="BRASS" localSheetId="14">'[24]WEO-BOP'!#REF!</definedName>
    <definedName name="BRASS" localSheetId="5">'[24]WEO-BOP'!#REF!</definedName>
    <definedName name="BRASS">'[24]WEO-BOP'!#REF!</definedName>
    <definedName name="Brazil" localSheetId="4">#REF!</definedName>
    <definedName name="Brazil" localSheetId="14">#REF!</definedName>
    <definedName name="Brazil" localSheetId="5">#REF!</definedName>
    <definedName name="Brazil" localSheetId="7">#REF!</definedName>
    <definedName name="Brazil" localSheetId="8">#REF!</definedName>
    <definedName name="Brazil" localSheetId="10">#REF!</definedName>
    <definedName name="Brazil">#REF!</definedName>
    <definedName name="BTR" localSheetId="4">'[24]WEO-BOP'!#REF!</definedName>
    <definedName name="BTR" localSheetId="14">'[24]WEO-BOP'!#REF!</definedName>
    <definedName name="BTR" localSheetId="5">'[24]WEO-BOP'!#REF!</definedName>
    <definedName name="BTR" localSheetId="7">'[24]WEO-BOP'!#REF!</definedName>
    <definedName name="BTR" localSheetId="8">'[24]WEO-BOP'!#REF!</definedName>
    <definedName name="BTR" localSheetId="10">'[24]WEO-BOP'!#REF!</definedName>
    <definedName name="BTR">'[24]WEO-BOP'!#REF!</definedName>
    <definedName name="BTRG" localSheetId="4">'[24]WEO-BOP'!#REF!</definedName>
    <definedName name="BTRG" localSheetId="14">'[24]WEO-BOP'!#REF!</definedName>
    <definedName name="BTRG" localSheetId="5">'[24]WEO-BOP'!#REF!</definedName>
    <definedName name="BTRG">'[24]WEO-BOP'!#REF!</definedName>
    <definedName name="BUDGET" localSheetId="4">#REF!</definedName>
    <definedName name="BUDGET" localSheetId="14">#REF!</definedName>
    <definedName name="BUDGET" localSheetId="5">#REF!</definedName>
    <definedName name="BUDGET" localSheetId="7">#REF!</definedName>
    <definedName name="BUDGET" localSheetId="8">#REF!</definedName>
    <definedName name="BUDGET" localSheetId="10">#REF!</definedName>
    <definedName name="BUDGET">#REF!</definedName>
    <definedName name="Budget_expenditure" localSheetId="4">#REF!</definedName>
    <definedName name="Budget_expenditure" localSheetId="14">#REF!</definedName>
    <definedName name="Budget_expenditure" localSheetId="5">#REF!</definedName>
    <definedName name="Budget_expenditure" localSheetId="10">#REF!</definedName>
    <definedName name="Budget_expenditure">#REF!</definedName>
    <definedName name="Budget_revenue" localSheetId="4">#REF!</definedName>
    <definedName name="Budget_revenue" localSheetId="14">#REF!</definedName>
    <definedName name="Budget_revenue" localSheetId="5">#REF!</definedName>
    <definedName name="Budget_revenue" localSheetId="10">#REF!</definedName>
    <definedName name="Budget_revenue">#REF!</definedName>
    <definedName name="BXG">[25]Q6!$E$26:$AH$26</definedName>
    <definedName name="BXS" localSheetId="4">'[24]WEO-BOP'!#REF!</definedName>
    <definedName name="BXS" localSheetId="14">'[24]WEO-BOP'!#REF!</definedName>
    <definedName name="BXS" localSheetId="5">'[24]WEO-BOP'!#REF!</definedName>
    <definedName name="BXS" localSheetId="7">'[24]WEO-BOP'!#REF!</definedName>
    <definedName name="BXS" localSheetId="8">'[24]WEO-BOP'!#REF!</definedName>
    <definedName name="BXS">'[24]WEO-BOP'!#REF!</definedName>
    <definedName name="BXTSAq" localSheetId="4">#REF!</definedName>
    <definedName name="BXTSAq" localSheetId="14">#REF!</definedName>
    <definedName name="BXTSAq" localSheetId="5">#REF!</definedName>
    <definedName name="BXTSAq" localSheetId="7">#REF!</definedName>
    <definedName name="BXTSAq" localSheetId="8">#REF!</definedName>
    <definedName name="BXTSAq" localSheetId="10">#REF!</definedName>
    <definedName name="BXTSAq">#REF!</definedName>
    <definedName name="CalcMCV_4" localSheetId="4">#REF!</definedName>
    <definedName name="CalcMCV_4" localSheetId="14">#REF!</definedName>
    <definedName name="CalcMCV_4" localSheetId="5">#REF!</definedName>
    <definedName name="CalcMCV_4" localSheetId="10">#REF!</definedName>
    <definedName name="CalcMCV_4">#REF!</definedName>
    <definedName name="calcNGS_NGDP">#N/A</definedName>
    <definedName name="CAPACCB" localSheetId="4">#REF!</definedName>
    <definedName name="CAPACCB" localSheetId="14">#REF!</definedName>
    <definedName name="CAPACCB" localSheetId="5">#REF!</definedName>
    <definedName name="CAPACCB" localSheetId="7">#REF!</definedName>
    <definedName name="CAPACCB" localSheetId="8">#REF!</definedName>
    <definedName name="CAPACCB" localSheetId="10">#REF!</definedName>
    <definedName name="CAPACCB">#REF!</definedName>
    <definedName name="cc" localSheetId="7" hidden="1">{"Riqfin97",#N/A,FALSE,"Tran";"Riqfinpro",#N/A,FALSE,"Tran"}</definedName>
    <definedName name="cc" localSheetId="8" hidden="1">{"Riqfin97",#N/A,FALSE,"Tran";"Riqfinpro",#N/A,FALSE,"Tran"}</definedName>
    <definedName name="cc" localSheetId="10" hidden="1">{"Riqfin97",#N/A,FALSE,"Tran";"Riqfinpro",#N/A,FALSE,"Tran"}</definedName>
    <definedName name="cc" localSheetId="1" hidden="1">{"Riqfin97",#N/A,FALSE,"Tran";"Riqfinpro",#N/A,FALSE,"Tran"}</definedName>
    <definedName name="cc" localSheetId="3" hidden="1">{"Riqfin97",#N/A,FALSE,"Tran";"Riqfinpro",#N/A,FALSE,"Tran"}</definedName>
    <definedName name="cc" hidden="1">{"Riqfin97",#N/A,FALSE,"Tran";"Riqfinpro",#N/A,FALSE,"Tran"}</definedName>
    <definedName name="ccc" localSheetId="7" hidden="1">{"Riqfin97",#N/A,FALSE,"Tran";"Riqfinpro",#N/A,FALSE,"Tran"}</definedName>
    <definedName name="ccc" localSheetId="8" hidden="1">{"Riqfin97",#N/A,FALSE,"Tran";"Riqfinpro",#N/A,FALSE,"Tran"}</definedName>
    <definedName name="ccc" localSheetId="10" hidden="1">{"Riqfin97",#N/A,FALSE,"Tran";"Riqfinpro",#N/A,FALSE,"Tran"}</definedName>
    <definedName name="ccc" localSheetId="1" hidden="1">{"Riqfin97",#N/A,FALSE,"Tran";"Riqfinpro",#N/A,FALSE,"Tran"}</definedName>
    <definedName name="ccc" localSheetId="3" hidden="1">{"Riqfin97",#N/A,FALSE,"Tran";"Riqfinpro",#N/A,FALSE,"Tran"}</definedName>
    <definedName name="ccc" hidden="1">{"Riqfin97",#N/A,FALSE,"Tran";"Riqfinpro",#N/A,FALSE,"Tran"}</definedName>
    <definedName name="CCODE" localSheetId="4">#REF!</definedName>
    <definedName name="CCODE" localSheetId="14">#REF!</definedName>
    <definedName name="CCODE" localSheetId="5">#REF!</definedName>
    <definedName name="CCODE" localSheetId="7">#REF!</definedName>
    <definedName name="CCODE" localSheetId="8">#REF!</definedName>
    <definedName name="CCODE" localSheetId="10">#REF!</definedName>
    <definedName name="CCODE">#REF!</definedName>
    <definedName name="cgb" localSheetId="4">#REF!</definedName>
    <definedName name="cgb" localSheetId="14">#REF!</definedName>
    <definedName name="cgb" localSheetId="5">#REF!</definedName>
    <definedName name="cgb" localSheetId="10">#REF!</definedName>
    <definedName name="cgb">#REF!</definedName>
    <definedName name="cge" localSheetId="4">#REF!</definedName>
    <definedName name="cge" localSheetId="14">#REF!</definedName>
    <definedName name="cge" localSheetId="5">#REF!</definedName>
    <definedName name="cge" localSheetId="10">#REF!</definedName>
    <definedName name="cge">#REF!</definedName>
    <definedName name="cgr" localSheetId="4">#REF!</definedName>
    <definedName name="cgr" localSheetId="14">#REF!</definedName>
    <definedName name="cgr" localSheetId="5">#REF!</definedName>
    <definedName name="cgr" localSheetId="10">#REF!</definedName>
    <definedName name="cgr">#REF!</definedName>
    <definedName name="CONCK" localSheetId="4">#REF!</definedName>
    <definedName name="CONCK" localSheetId="14">#REF!</definedName>
    <definedName name="CONCK" localSheetId="5">#REF!</definedName>
    <definedName name="CONCK" localSheetId="10">#REF!</definedName>
    <definedName name="CONCK">#REF!</definedName>
    <definedName name="Cons" localSheetId="4">#REF!</definedName>
    <definedName name="Cons" localSheetId="14">#REF!</definedName>
    <definedName name="Cons" localSheetId="5">#REF!</definedName>
    <definedName name="Cons" localSheetId="10">#REF!</definedName>
    <definedName name="Cons">#REF!</definedName>
    <definedName name="CORULCSA">[27]E!$V$15:$V$98</definedName>
    <definedName name="Country" localSheetId="10">'[28]Input 1 - Basics'!$D$3</definedName>
    <definedName name="Country">'[28]Input 1 - Basics'!$D$3</definedName>
    <definedName name="CountryCode">[29]readme!$B$2</definedName>
    <definedName name="CurrVintage">[30]Current!$D$66</definedName>
    <definedName name="d" localSheetId="7" hidden="1">{"Riqfin97",#N/A,FALSE,"Tran";"Riqfinpro",#N/A,FALSE,"Tran"}</definedName>
    <definedName name="d" localSheetId="8" hidden="1">{"Riqfin97",#N/A,FALSE,"Tran";"Riqfinpro",#N/A,FALSE,"Tran"}</definedName>
    <definedName name="d" localSheetId="10" hidden="1">{"Riqfin97",#N/A,FALSE,"Tran";"Riqfinpro",#N/A,FALSE,"Tran"}</definedName>
    <definedName name="d" localSheetId="3" hidden="1">{"Riqfin97",#N/A,FALSE,"Tran";"Riqfinpro",#N/A,FALSE,"Tran"}</definedName>
    <definedName name="d" hidden="1">{"Riqfin97",#N/A,FALSE,"Tran";"Riqfinpro",#N/A,FALSE,"Tran"}</definedName>
    <definedName name="DABproj">#N/A</definedName>
    <definedName name="DAGproj">#N/A</definedName>
    <definedName name="daily_interest_rates" localSheetId="4">'[31]daily calculations'!#REF!</definedName>
    <definedName name="daily_interest_rates" localSheetId="14">'[31]daily calculations'!#REF!</definedName>
    <definedName name="daily_interest_rates" localSheetId="5">'[31]daily calculations'!#REF!</definedName>
    <definedName name="daily_interest_rates">'[31]daily calculations'!#REF!</definedName>
    <definedName name="DAproj">#N/A</definedName>
    <definedName name="das" localSheetId="4" hidden="1">[7]G!#REF!</definedName>
    <definedName name="das" localSheetId="14" hidden="1">[7]G!#REF!</definedName>
    <definedName name="das" localSheetId="5" hidden="1">[7]G!#REF!</definedName>
    <definedName name="das" hidden="1">[7]G!#REF!</definedName>
    <definedName name="DASD">#N/A</definedName>
    <definedName name="DASDB">#N/A</definedName>
    <definedName name="DASDG">#N/A</definedName>
    <definedName name="data_area" localSheetId="4">#REF!</definedName>
    <definedName name="data_area" localSheetId="14">#REF!</definedName>
    <definedName name="data_area" localSheetId="5">#REF!</definedName>
    <definedName name="data_area" localSheetId="7">#REF!</definedName>
    <definedName name="data_area" localSheetId="8">#REF!</definedName>
    <definedName name="data_area" localSheetId="10">#REF!</definedName>
    <definedName name="data_area">#REF!</definedName>
    <definedName name="_xlnm.Database" localSheetId="4">#REF!</definedName>
    <definedName name="_xlnm.Database" localSheetId="14">#REF!</definedName>
    <definedName name="_xlnm.Database" localSheetId="5">#REF!</definedName>
    <definedName name="_xlnm.Database" localSheetId="6">#REF!</definedName>
    <definedName name="_xlnm.Database" localSheetId="10">#REF!</definedName>
    <definedName name="_xlnm.Database">#REF!</definedName>
    <definedName name="DATB">[20]REER!$B$144:$B$240</definedName>
    <definedName name="datcr" localSheetId="4">'[2]Tab ann curr'!#REF!</definedName>
    <definedName name="datcr" localSheetId="14">'[2]Tab ann curr'!#REF!</definedName>
    <definedName name="datcr" localSheetId="5">'[2]Tab ann curr'!#REF!</definedName>
    <definedName name="datcr" localSheetId="7">'[2]Tab ann curr'!#REF!</definedName>
    <definedName name="datcr" localSheetId="8">'[2]Tab ann curr'!#REF!</definedName>
    <definedName name="datcr">'[2]Tab ann curr'!#REF!</definedName>
    <definedName name="date" localSheetId="4">#REF!</definedName>
    <definedName name="date" localSheetId="14">#REF!</definedName>
    <definedName name="date" localSheetId="5">#REF!</definedName>
    <definedName name="date" localSheetId="7">#REF!</definedName>
    <definedName name="date" localSheetId="8">#REF!</definedName>
    <definedName name="date" localSheetId="10">#REF!</definedName>
    <definedName name="date">#REF!</definedName>
    <definedName name="date_EXP">[32]Sheet1!$B$1:$G$1</definedName>
    <definedName name="date_FISC" localSheetId="4">#REF!</definedName>
    <definedName name="date_FISC" localSheetId="14">#REF!</definedName>
    <definedName name="date_FISC" localSheetId="5">#REF!</definedName>
    <definedName name="date_FISC" localSheetId="7">#REF!</definedName>
    <definedName name="date_FISC" localSheetId="8">#REF!</definedName>
    <definedName name="date_FISC" localSheetId="10">#REF!</definedName>
    <definedName name="date_FISC">#REF!</definedName>
    <definedName name="dateIntLiq" localSheetId="4">#REF!</definedName>
    <definedName name="dateIntLiq" localSheetId="14">#REF!</definedName>
    <definedName name="dateIntLiq" localSheetId="5">#REF!</definedName>
    <definedName name="dateIntLiq" localSheetId="10">#REF!</definedName>
    <definedName name="dateIntLiq">#REF!</definedName>
    <definedName name="dateMoney" localSheetId="4">#REF!</definedName>
    <definedName name="dateMoney" localSheetId="14">#REF!</definedName>
    <definedName name="dateMoney" localSheetId="5">#REF!</definedName>
    <definedName name="dateMoney" localSheetId="10">#REF!</definedName>
    <definedName name="dateMoney">#REF!</definedName>
    <definedName name="dateprofit">[20]C!$A$9:$A$125</definedName>
    <definedName name="dateRates" localSheetId="4">#REF!</definedName>
    <definedName name="dateRates" localSheetId="14">#REF!</definedName>
    <definedName name="dateRates" localSheetId="5">#REF!</definedName>
    <definedName name="dateRates" localSheetId="7">#REF!</definedName>
    <definedName name="dateRates" localSheetId="8">#REF!</definedName>
    <definedName name="dateRates" localSheetId="10">#REF!</definedName>
    <definedName name="dateRates">#REF!</definedName>
    <definedName name="dateRawQ" localSheetId="4">'[33]Raw Data'!#REF!</definedName>
    <definedName name="dateRawQ" localSheetId="14">'[33]Raw Data'!#REF!</definedName>
    <definedName name="dateRawQ" localSheetId="5">'[33]Raw Data'!#REF!</definedName>
    <definedName name="dateRawQ" localSheetId="6">'[33]Raw Data'!#REF!</definedName>
    <definedName name="dateRawQ" localSheetId="7">'[33]Raw Data'!#REF!</definedName>
    <definedName name="dateRawQ" localSheetId="8">'[33]Raw Data'!#REF!</definedName>
    <definedName name="dateRawQ" localSheetId="10">'[33]Raw Data'!#REF!</definedName>
    <definedName name="dateRawQ">'[33]Raw Data'!#REF!</definedName>
    <definedName name="dateReal" localSheetId="4">#REF!</definedName>
    <definedName name="dateReal" localSheetId="14">#REF!</definedName>
    <definedName name="dateReal" localSheetId="5">#REF!</definedName>
    <definedName name="dateReal" localSheetId="7">#REF!</definedName>
    <definedName name="dateReal" localSheetId="8">#REF!</definedName>
    <definedName name="dateReal" localSheetId="10">#REF!</definedName>
    <definedName name="dateReal">#REF!</definedName>
    <definedName name="dates" localSheetId="4">#REF!</definedName>
    <definedName name="dates" localSheetId="14">#REF!</definedName>
    <definedName name="dates" localSheetId="5">#REF!</definedName>
    <definedName name="dates" localSheetId="10">#REF!</definedName>
    <definedName name="dates">#REF!</definedName>
    <definedName name="dates_w" localSheetId="4">#REF!</definedName>
    <definedName name="dates_w" localSheetId="14">#REF!</definedName>
    <definedName name="dates_w" localSheetId="5">#REF!</definedName>
    <definedName name="dates_w" localSheetId="10">#REF!</definedName>
    <definedName name="dates_w">#REF!</definedName>
    <definedName name="dates1" localSheetId="4">#REF!</definedName>
    <definedName name="dates1" localSheetId="14">#REF!</definedName>
    <definedName name="dates1" localSheetId="5">#REF!</definedName>
    <definedName name="dates1" localSheetId="10">#REF!</definedName>
    <definedName name="dates1">#REF!</definedName>
    <definedName name="dates2" localSheetId="4">#REF!</definedName>
    <definedName name="dates2" localSheetId="14">#REF!</definedName>
    <definedName name="dates2" localSheetId="5">#REF!</definedName>
    <definedName name="dates2" localSheetId="10">#REF!</definedName>
    <definedName name="dates2">#REF!</definedName>
    <definedName name="datesb">[27]B!$B$20:$B$134</definedName>
    <definedName name="datesc" localSheetId="4">#REF!</definedName>
    <definedName name="datesc" localSheetId="14">#REF!</definedName>
    <definedName name="datesc" localSheetId="5">#REF!</definedName>
    <definedName name="datesc" localSheetId="7">#REF!</definedName>
    <definedName name="datesc" localSheetId="8">#REF!</definedName>
    <definedName name="datesc" localSheetId="10">#REF!</definedName>
    <definedName name="datesc">#REF!</definedName>
    <definedName name="datesd" localSheetId="4">#REF!</definedName>
    <definedName name="datesd" localSheetId="14">#REF!</definedName>
    <definedName name="datesd" localSheetId="5">#REF!</definedName>
    <definedName name="datesd" localSheetId="10">#REF!</definedName>
    <definedName name="datesd">#REF!</definedName>
    <definedName name="DATESG" localSheetId="4">#REF!</definedName>
    <definedName name="DATESG" localSheetId="14">#REF!</definedName>
    <definedName name="DATESG" localSheetId="5">#REF!</definedName>
    <definedName name="DATESG" localSheetId="10">#REF!</definedName>
    <definedName name="DATESG">#REF!</definedName>
    <definedName name="datesm" localSheetId="4">#REF!</definedName>
    <definedName name="datesm" localSheetId="14">#REF!</definedName>
    <definedName name="datesm" localSheetId="5">#REF!</definedName>
    <definedName name="datesm" localSheetId="10">#REF!</definedName>
    <definedName name="datesm">#REF!</definedName>
    <definedName name="datesq" localSheetId="4">#REF!</definedName>
    <definedName name="datesq" localSheetId="14">#REF!</definedName>
    <definedName name="datesq" localSheetId="5">#REF!</definedName>
    <definedName name="datesq" localSheetId="10">#REF!</definedName>
    <definedName name="datesq">#REF!</definedName>
    <definedName name="datesr" localSheetId="4">#REF!</definedName>
    <definedName name="datesr" localSheetId="14">#REF!</definedName>
    <definedName name="datesr" localSheetId="5">#REF!</definedName>
    <definedName name="datesr" localSheetId="10">#REF!</definedName>
    <definedName name="datesr">#REF!</definedName>
    <definedName name="datestran">[27]transfer!$A$9:$A$116</definedName>
    <definedName name="datgdp" localSheetId="4">#REF!</definedName>
    <definedName name="datgdp" localSheetId="14">#REF!</definedName>
    <definedName name="datgdp" localSheetId="5">#REF!</definedName>
    <definedName name="datgdp" localSheetId="7">#REF!</definedName>
    <definedName name="datgdp" localSheetId="8">#REF!</definedName>
    <definedName name="datgdp" localSheetId="10">#REF!</definedName>
    <definedName name="datgdp">#REF!</definedName>
    <definedName name="datin1">[20]REER!$B$9:$B$119</definedName>
    <definedName name="datin2">[20]REER!$B$144:$B$253</definedName>
    <definedName name="datq" localSheetId="4">#REF!</definedName>
    <definedName name="datq" localSheetId="14">#REF!</definedName>
    <definedName name="datq" localSheetId="5">#REF!</definedName>
    <definedName name="datq" localSheetId="7">#REF!</definedName>
    <definedName name="datq" localSheetId="8">#REF!</definedName>
    <definedName name="datq" localSheetId="10">#REF!</definedName>
    <definedName name="datq">#REF!</definedName>
    <definedName name="datq1" localSheetId="4">#REF!</definedName>
    <definedName name="datq1" localSheetId="14">#REF!</definedName>
    <definedName name="datq1" localSheetId="5">#REF!</definedName>
    <definedName name="datq1" localSheetId="10">#REF!</definedName>
    <definedName name="datq1">#REF!</definedName>
    <definedName name="datq2" localSheetId="4">#REF!</definedName>
    <definedName name="datq2" localSheetId="14">#REF!</definedName>
    <definedName name="datq2" localSheetId="5">#REF!</definedName>
    <definedName name="datq2" localSheetId="10">#REF!</definedName>
    <definedName name="datq2">#REF!</definedName>
    <definedName name="datreer">[20]REER!$B$144:$B$258</definedName>
    <definedName name="datt" localSheetId="4">#REF!</definedName>
    <definedName name="datt" localSheetId="14">#REF!</definedName>
    <definedName name="datt" localSheetId="5">#REF!</definedName>
    <definedName name="datt" localSheetId="7">#REF!</definedName>
    <definedName name="datt" localSheetId="8">#REF!</definedName>
    <definedName name="datt" localSheetId="10">#REF!</definedName>
    <definedName name="datt">#REF!</definedName>
    <definedName name="DBproj">#N/A</definedName>
    <definedName name="dd" localSheetId="7" hidden="1">{"Riqfin97",#N/A,FALSE,"Tran";"Riqfinpro",#N/A,FALSE,"Tran"}</definedName>
    <definedName name="dd" localSheetId="8" hidden="1">{"Riqfin97",#N/A,FALSE,"Tran";"Riqfinpro",#N/A,FALSE,"Tran"}</definedName>
    <definedName name="dd" localSheetId="10" hidden="1">{"Riqfin97",#N/A,FALSE,"Tran";"Riqfinpro",#N/A,FALSE,"Tran"}</definedName>
    <definedName name="dd" localSheetId="1" hidden="1">{"Riqfin97",#N/A,FALSE,"Tran";"Riqfinpro",#N/A,FALSE,"Tran"}</definedName>
    <definedName name="dd" localSheetId="3" hidden="1">{"Riqfin97",#N/A,FALSE,"Tran";"Riqfinpro",#N/A,FALSE,"Tran"}</definedName>
    <definedName name="dd" hidden="1">{"Riqfin97",#N/A,FALSE,"Tran";"Riqfinpro",#N/A,FALSE,"Tran"}</definedName>
    <definedName name="dd_balance" localSheetId="10">[34]!dd_balance1[saldo]</definedName>
    <definedName name="dd_balance">[34]!dd_balance1[saldo]</definedName>
    <definedName name="dd_cyklus" localSheetId="10">[35]!dd_cyclus[cyklus]</definedName>
    <definedName name="dd_cyklus">[35]!dd_cyclus[cyklus]</definedName>
    <definedName name="dd_oneoff" localSheetId="10">[35]hidden!$B$2:$B$3</definedName>
    <definedName name="dd_oneoff">[35]hidden!$B$2:$B$3</definedName>
    <definedName name="ddd" localSheetId="7" hidden="1">{"Riqfin97",#N/A,FALSE,"Tran";"Riqfinpro",#N/A,FALSE,"Tran"}</definedName>
    <definedName name="ddd" localSheetId="8" hidden="1">{"Riqfin97",#N/A,FALSE,"Tran";"Riqfinpro",#N/A,FALSE,"Tran"}</definedName>
    <definedName name="ddd" localSheetId="10" hidden="1">{"Riqfin97",#N/A,FALSE,"Tran";"Riqfinpro",#N/A,FALSE,"Tran"}</definedName>
    <definedName name="ddd" localSheetId="1" hidden="1">{"Riqfin97",#N/A,FALSE,"Tran";"Riqfinpro",#N/A,FALSE,"Tran"}</definedName>
    <definedName name="ddd" localSheetId="3" hidden="1">{"Riqfin97",#N/A,FALSE,"Tran";"Riqfinpro",#N/A,FALSE,"Tran"}</definedName>
    <definedName name="ddd" hidden="1">{"Riqfin97",#N/A,FALSE,"Tran";"Riqfinpro",#N/A,FALSE,"Tran"}</definedName>
    <definedName name="debt" localSheetId="4">#REF!</definedName>
    <definedName name="debt" localSheetId="14">#REF!</definedName>
    <definedName name="debt" localSheetId="5">#REF!</definedName>
    <definedName name="debt" localSheetId="7">#REF!</definedName>
    <definedName name="debt" localSheetId="8">#REF!</definedName>
    <definedName name="debt" localSheetId="10">#REF!</definedName>
    <definedName name="debt">#REF!</definedName>
    <definedName name="DEBT1" localSheetId="4">#REF!</definedName>
    <definedName name="DEBT1" localSheetId="14">#REF!</definedName>
    <definedName name="DEBT1" localSheetId="5">#REF!</definedName>
    <definedName name="DEBT1" localSheetId="10">#REF!</definedName>
    <definedName name="DEBT1">#REF!</definedName>
    <definedName name="DEBT10" localSheetId="4">#REF!</definedName>
    <definedName name="DEBT10" localSheetId="14">#REF!</definedName>
    <definedName name="DEBT10" localSheetId="5">#REF!</definedName>
    <definedName name="DEBT10" localSheetId="10">#REF!</definedName>
    <definedName name="DEBT10">#REF!</definedName>
    <definedName name="DEBT11" localSheetId="4">#REF!</definedName>
    <definedName name="DEBT11" localSheetId="14">#REF!</definedName>
    <definedName name="DEBT11" localSheetId="5">#REF!</definedName>
    <definedName name="DEBT11" localSheetId="10">#REF!</definedName>
    <definedName name="DEBT11">#REF!</definedName>
    <definedName name="DEBT12" localSheetId="4">#REF!</definedName>
    <definedName name="DEBT12" localSheetId="14">#REF!</definedName>
    <definedName name="DEBT12" localSheetId="5">#REF!</definedName>
    <definedName name="DEBT12" localSheetId="10">#REF!</definedName>
    <definedName name="DEBT12">#REF!</definedName>
    <definedName name="DEBT13" localSheetId="4">#REF!</definedName>
    <definedName name="DEBT13" localSheetId="14">#REF!</definedName>
    <definedName name="DEBT13" localSheetId="5">#REF!</definedName>
    <definedName name="DEBT13" localSheetId="10">#REF!</definedName>
    <definedName name="DEBT13">#REF!</definedName>
    <definedName name="DEBT14" localSheetId="4">#REF!</definedName>
    <definedName name="DEBT14" localSheetId="14">#REF!</definedName>
    <definedName name="DEBT14" localSheetId="5">#REF!</definedName>
    <definedName name="DEBT14" localSheetId="10">#REF!</definedName>
    <definedName name="DEBT14">#REF!</definedName>
    <definedName name="DEBT15" localSheetId="4">#REF!</definedName>
    <definedName name="DEBT15" localSheetId="14">#REF!</definedName>
    <definedName name="DEBT15" localSheetId="5">#REF!</definedName>
    <definedName name="DEBT15" localSheetId="10">#REF!</definedName>
    <definedName name="DEBT15">#REF!</definedName>
    <definedName name="DEBT16" localSheetId="4">#REF!</definedName>
    <definedName name="DEBT16" localSheetId="14">#REF!</definedName>
    <definedName name="DEBT16" localSheetId="5">#REF!</definedName>
    <definedName name="DEBT16" localSheetId="10">#REF!</definedName>
    <definedName name="DEBT16">#REF!</definedName>
    <definedName name="DEBT1B" localSheetId="4">#REF!</definedName>
    <definedName name="DEBT1B" localSheetId="14">#REF!</definedName>
    <definedName name="DEBT1B" localSheetId="5">#REF!</definedName>
    <definedName name="DEBT1B" localSheetId="10">#REF!</definedName>
    <definedName name="DEBT1B">#REF!</definedName>
    <definedName name="DEBT2" localSheetId="4">#REF!</definedName>
    <definedName name="DEBT2" localSheetId="14">#REF!</definedName>
    <definedName name="DEBT2" localSheetId="5">#REF!</definedName>
    <definedName name="DEBT2" localSheetId="10">#REF!</definedName>
    <definedName name="DEBT2">#REF!</definedName>
    <definedName name="DEBT2B" localSheetId="4">#REF!</definedName>
    <definedName name="DEBT2B" localSheetId="14">#REF!</definedName>
    <definedName name="DEBT2B" localSheetId="5">#REF!</definedName>
    <definedName name="DEBT2B" localSheetId="10">#REF!</definedName>
    <definedName name="DEBT2B">#REF!</definedName>
    <definedName name="DEBT3" localSheetId="4">#REF!</definedName>
    <definedName name="DEBT3" localSheetId="14">#REF!</definedName>
    <definedName name="DEBT3" localSheetId="5">#REF!</definedName>
    <definedName name="DEBT3" localSheetId="10">#REF!</definedName>
    <definedName name="DEBT3">#REF!</definedName>
    <definedName name="DEBT4" localSheetId="4">#REF!</definedName>
    <definedName name="DEBT4" localSheetId="14">#REF!</definedName>
    <definedName name="DEBT4" localSheetId="5">#REF!</definedName>
    <definedName name="DEBT4" localSheetId="10">#REF!</definedName>
    <definedName name="DEBT4">#REF!</definedName>
    <definedName name="DEBT5" localSheetId="4">#REF!</definedName>
    <definedName name="DEBT5" localSheetId="14">#REF!</definedName>
    <definedName name="DEBT5" localSheetId="5">#REF!</definedName>
    <definedName name="DEBT5" localSheetId="10">#REF!</definedName>
    <definedName name="DEBT5">#REF!</definedName>
    <definedName name="DEBT6" localSheetId="4">#REF!</definedName>
    <definedName name="DEBT6" localSheetId="14">#REF!</definedName>
    <definedName name="DEBT6" localSheetId="5">#REF!</definedName>
    <definedName name="DEBT6" localSheetId="10">#REF!</definedName>
    <definedName name="DEBT6">#REF!</definedName>
    <definedName name="DEBT7" localSheetId="4">#REF!</definedName>
    <definedName name="DEBT7" localSheetId="14">#REF!</definedName>
    <definedName name="DEBT7" localSheetId="5">#REF!</definedName>
    <definedName name="DEBT7" localSheetId="10">#REF!</definedName>
    <definedName name="DEBT7">#REF!</definedName>
    <definedName name="DEBT8" localSheetId="4">#REF!</definedName>
    <definedName name="DEBT8" localSheetId="14">#REF!</definedName>
    <definedName name="DEBT8" localSheetId="5">#REF!</definedName>
    <definedName name="DEBT8" localSheetId="10">#REF!</definedName>
    <definedName name="DEBT8">#REF!</definedName>
    <definedName name="DEBT9" localSheetId="4">#REF!</definedName>
    <definedName name="DEBT9" localSheetId="14">#REF!</definedName>
    <definedName name="DEBT9" localSheetId="5">#REF!</definedName>
    <definedName name="DEBT9" localSheetId="10">#REF!</definedName>
    <definedName name="DEBT9">#REF!</definedName>
    <definedName name="debtproj" localSheetId="4">#REF!</definedName>
    <definedName name="debtproj" localSheetId="14">#REF!</definedName>
    <definedName name="debtproj" localSheetId="5">#REF!</definedName>
    <definedName name="debtproj" localSheetId="10">#REF!</definedName>
    <definedName name="debtproj">#REF!</definedName>
    <definedName name="DEFLATORS" localSheetId="4">#REF!</definedName>
    <definedName name="DEFLATORS" localSheetId="14">#REF!</definedName>
    <definedName name="DEFLATORS" localSheetId="5">#REF!</definedName>
    <definedName name="DEFLATORS" localSheetId="10">#REF!</definedName>
    <definedName name="DEFLATORS">#REF!</definedName>
    <definedName name="degresivita" localSheetId="4">[26]Graf14_Graf15!#REF!</definedName>
    <definedName name="degresivita" localSheetId="14">[26]Graf14_Graf15!#REF!</definedName>
    <definedName name="degresivita" localSheetId="5">[26]Graf14_Graf15!#REF!</definedName>
    <definedName name="degresivita" localSheetId="10">[26]Graf14_Graf15!#REF!</definedName>
    <definedName name="degresivita">[26]Graf14_Graf15!#REF!</definedName>
    <definedName name="degresivita_2" localSheetId="4">[26]Graf14_Graf15!#REF!</definedName>
    <definedName name="degresivita_2" localSheetId="14">[26]Graf14_Graf15!#REF!</definedName>
    <definedName name="degresivita_2" localSheetId="5">[26]Graf14_Graf15!#REF!</definedName>
    <definedName name="degresivita_2" localSheetId="10">[26]Graf14_Graf15!#REF!</definedName>
    <definedName name="degresivita_2">[26]Graf14_Graf15!#REF!</definedName>
    <definedName name="deleteme1" localSheetId="4" hidden="1">#REF!</definedName>
    <definedName name="deleteme1" localSheetId="14" hidden="1">#REF!</definedName>
    <definedName name="deleteme1" localSheetId="5" hidden="1">#REF!</definedName>
    <definedName name="deleteme1" localSheetId="7" hidden="1">#REF!</definedName>
    <definedName name="deleteme1" localSheetId="8" hidden="1">#REF!</definedName>
    <definedName name="deleteme1" localSheetId="10" hidden="1">#REF!</definedName>
    <definedName name="deleteme1" hidden="1">#REF!</definedName>
    <definedName name="deleteme3" localSheetId="4" hidden="1">#REF!</definedName>
    <definedName name="deleteme3" localSheetId="14" hidden="1">#REF!</definedName>
    <definedName name="deleteme3" localSheetId="5" hidden="1">#REF!</definedName>
    <definedName name="deleteme3" localSheetId="10" hidden="1">#REF!</definedName>
    <definedName name="deleteme3" hidden="1">#REF!</definedName>
    <definedName name="Department" localSheetId="4">[36]REER!#REF!</definedName>
    <definedName name="Department" localSheetId="14">[36]REER!#REF!</definedName>
    <definedName name="Department" localSheetId="5">[36]REER!#REF!</definedName>
    <definedName name="Department" localSheetId="10">[36]REER!#REF!</definedName>
    <definedName name="Department">[36]REER!#REF!</definedName>
    <definedName name="DGproj">#N/A</definedName>
    <definedName name="DLX1.USE">[37]Haver!$A$2:$N$8</definedName>
    <definedName name="DOC" localSheetId="4">#REF!</definedName>
    <definedName name="DOC" localSheetId="14">#REF!</definedName>
    <definedName name="DOC" localSheetId="5">#REF!</definedName>
    <definedName name="DOC" localSheetId="7">#REF!</definedName>
    <definedName name="DOC" localSheetId="8">#REF!</definedName>
    <definedName name="DOC" localSheetId="10">#REF!</definedName>
    <definedName name="DOC">#REF!</definedName>
    <definedName name="dp">[38]DP!$A$1:$E$65536</definedName>
    <definedName name="dpogjr" localSheetId="4" hidden="1">'[5]Time series'!#REF!</definedName>
    <definedName name="dpogjr" localSheetId="14" hidden="1">'[5]Time series'!#REF!</definedName>
    <definedName name="dpogjr" localSheetId="5" hidden="1">'[5]Time series'!#REF!</definedName>
    <definedName name="dpogjr" localSheetId="7" hidden="1">'[5]Time series'!#REF!</definedName>
    <definedName name="dpogjr" localSheetId="8" hidden="1">'[5]Time series'!#REF!</definedName>
    <definedName name="dpogjr" localSheetId="10" hidden="1">'[5]Time series'!#REF!</definedName>
    <definedName name="dpogjr" hidden="1">'[5]Time series'!#REF!</definedName>
    <definedName name="Dproj">#N/A</definedName>
    <definedName name="dre" localSheetId="4" hidden="1">[39]M!#REF!</definedName>
    <definedName name="dre" localSheetId="14" hidden="1">[39]M!#REF!</definedName>
    <definedName name="dre" localSheetId="5" hidden="1">[39]M!#REF!</definedName>
    <definedName name="dre" localSheetId="7" hidden="1">[39]M!#REF!</definedName>
    <definedName name="dre" localSheetId="8" hidden="1">[39]M!#REF!</definedName>
    <definedName name="dre" localSheetId="3" hidden="1">[39]M!#REF!</definedName>
    <definedName name="dre" hidden="1">[39]M!#REF!</definedName>
    <definedName name="DSD">#N/A</definedName>
    <definedName name="DSD_S">#N/A</definedName>
    <definedName name="DSDB">#N/A</definedName>
    <definedName name="DSDG">#N/A</definedName>
    <definedName name="dsfsdds" localSheetId="7" hidden="1">{"Riqfin97",#N/A,FALSE,"Tran";"Riqfinpro",#N/A,FALSE,"Tran"}</definedName>
    <definedName name="dsfsdds" localSheetId="8" hidden="1">{"Riqfin97",#N/A,FALSE,"Tran";"Riqfinpro",#N/A,FALSE,"Tran"}</definedName>
    <definedName name="dsfsdds" localSheetId="10" hidden="1">{"Riqfin97",#N/A,FALSE,"Tran";"Riqfinpro",#N/A,FALSE,"Tran"}</definedName>
    <definedName name="dsfsdds" hidden="1">{"Riqfin97",#N/A,FALSE,"Tran";"Riqfinpro",#N/A,FALSE,"Tran"}</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12db" localSheetId="4">#REF!</definedName>
    <definedName name="e12db" localSheetId="14">#REF!</definedName>
    <definedName name="e12db" localSheetId="5">#REF!</definedName>
    <definedName name="e12db" localSheetId="7">#REF!</definedName>
    <definedName name="e12db" localSheetId="8">#REF!</definedName>
    <definedName name="e12db" localSheetId="10">#REF!</definedName>
    <definedName name="e12db">#REF!</definedName>
    <definedName name="e9db">[40]e9!$A$1:$V$49</definedName>
    <definedName name="EB3M15" localSheetId="4">#REF!</definedName>
    <definedName name="EB3M15" localSheetId="14">#REF!</definedName>
    <definedName name="EB3M15" localSheetId="5">#REF!</definedName>
    <definedName name="EB3M15">#REF!</definedName>
    <definedName name="EB3M16" localSheetId="4">#REF!</definedName>
    <definedName name="EB3M16" localSheetId="14">#REF!</definedName>
    <definedName name="EB3M16" localSheetId="5">#REF!</definedName>
    <definedName name="EB3M16">#REF!</definedName>
    <definedName name="EB3M17" localSheetId="4">#REF!</definedName>
    <definedName name="EB3M17" localSheetId="14">#REF!</definedName>
    <definedName name="EB3M17" localSheetId="5">#REF!</definedName>
    <definedName name="EB3M17">#REF!</definedName>
    <definedName name="EB3M18" localSheetId="4">#REF!</definedName>
    <definedName name="EB3M18" localSheetId="14">#REF!</definedName>
    <definedName name="EB3M18" localSheetId="5">#REF!</definedName>
    <definedName name="EB3M18">#REF!</definedName>
    <definedName name="EB3M19" localSheetId="4">#REF!</definedName>
    <definedName name="EB3M19" localSheetId="14">#REF!</definedName>
    <definedName name="EB3M19" localSheetId="5">#REF!</definedName>
    <definedName name="EB3M19">#REF!</definedName>
    <definedName name="EB3M20" localSheetId="4">#REF!</definedName>
    <definedName name="EB3M20" localSheetId="14">#REF!</definedName>
    <definedName name="EB3M20" localSheetId="5">#REF!</definedName>
    <definedName name="EB3M20">#REF!</definedName>
    <definedName name="EB6M15" localSheetId="4">#REF!</definedName>
    <definedName name="EB6M15" localSheetId="14">#REF!</definedName>
    <definedName name="EB6M15" localSheetId="5">#REF!</definedName>
    <definedName name="EB6M15">#REF!</definedName>
    <definedName name="EB6M16" localSheetId="4">#REF!</definedName>
    <definedName name="EB6M16" localSheetId="14">#REF!</definedName>
    <definedName name="EB6M16" localSheetId="5">#REF!</definedName>
    <definedName name="EB6M16">#REF!</definedName>
    <definedName name="EB6M17" localSheetId="4">#REF!</definedName>
    <definedName name="EB6M17" localSheetId="14">#REF!</definedName>
    <definedName name="EB6M17" localSheetId="5">#REF!</definedName>
    <definedName name="EB6M17">#REF!</definedName>
    <definedName name="EB6M18" localSheetId="4">#REF!</definedName>
    <definedName name="EB6M18" localSheetId="14">#REF!</definedName>
    <definedName name="EB6M18" localSheetId="5">#REF!</definedName>
    <definedName name="EB6M18">#REF!</definedName>
    <definedName name="EB6M19" localSheetId="4">#REF!</definedName>
    <definedName name="EB6M19" localSheetId="14">#REF!</definedName>
    <definedName name="EB6M19" localSheetId="5">#REF!</definedName>
    <definedName name="EB6M19">#REF!</definedName>
    <definedName name="EB6M20" localSheetId="4">#REF!</definedName>
    <definedName name="EB6M20" localSheetId="14">#REF!</definedName>
    <definedName name="EB6M20" localSheetId="5">#REF!</definedName>
    <definedName name="EB6M20">#REF!</definedName>
    <definedName name="EDNA">#N/A</definedName>
    <definedName name="EDSSDESCRIPTOR" localSheetId="4">#REF!</definedName>
    <definedName name="EDSSDESCRIPTOR" localSheetId="14">#REF!</definedName>
    <definedName name="EDSSDESCRIPTOR" localSheetId="5">#REF!</definedName>
    <definedName name="EDSSDESCRIPTOR" localSheetId="7">#REF!</definedName>
    <definedName name="EDSSDESCRIPTOR" localSheetId="8">#REF!</definedName>
    <definedName name="EDSSDESCRIPTOR" localSheetId="10">#REF!</definedName>
    <definedName name="EDSSDESCRIPTOR">#REF!</definedName>
    <definedName name="EDSSFILE" localSheetId="4">#REF!</definedName>
    <definedName name="EDSSFILE" localSheetId="14">#REF!</definedName>
    <definedName name="EDSSFILE" localSheetId="5">#REF!</definedName>
    <definedName name="EDSSFILE" localSheetId="10">#REF!</definedName>
    <definedName name="EDSSFILE">#REF!</definedName>
    <definedName name="EDSSNAME" localSheetId="4">#REF!</definedName>
    <definedName name="EDSSNAME" localSheetId="14">#REF!</definedName>
    <definedName name="EDSSNAME" localSheetId="5">#REF!</definedName>
    <definedName name="EDSSNAME" localSheetId="10">#REF!</definedName>
    <definedName name="EDSSNAME">#REF!</definedName>
    <definedName name="EDSSTIME" localSheetId="4">#REF!</definedName>
    <definedName name="EDSSTIME" localSheetId="14">#REF!</definedName>
    <definedName name="EDSSTIME" localSheetId="5">#REF!</definedName>
    <definedName name="EDSSTIME" localSheetId="10">#REF!</definedName>
    <definedName name="EDSSTIME">#REF!</definedName>
    <definedName name="ee" localSheetId="7" hidden="1">{"Tab1",#N/A,FALSE,"P";"Tab2",#N/A,FALSE,"P"}</definedName>
    <definedName name="ee" localSheetId="8" hidden="1">{"Tab1",#N/A,FALSE,"P";"Tab2",#N/A,FALSE,"P"}</definedName>
    <definedName name="ee" localSheetId="10" hidden="1">{"Tab1",#N/A,FALSE,"P";"Tab2",#N/A,FALSE,"P"}</definedName>
    <definedName name="ee" localSheetId="1" hidden="1">{"Tab1",#N/A,FALSE,"P";"Tab2",#N/A,FALSE,"P"}</definedName>
    <definedName name="ee" localSheetId="3" hidden="1">{"Tab1",#N/A,FALSE,"P";"Tab2",#N/A,FALSE,"P"}</definedName>
    <definedName name="ee" hidden="1">{"Tab1",#N/A,FALSE,"P";"Tab2",#N/A,FALSE,"P"}</definedName>
    <definedName name="EECB" localSheetId="4">#REF!</definedName>
    <definedName name="EECB" localSheetId="14">#REF!</definedName>
    <definedName name="EECB" localSheetId="5">#REF!</definedName>
    <definedName name="EECB" localSheetId="7">#REF!</definedName>
    <definedName name="EECB" localSheetId="8">#REF!</definedName>
    <definedName name="EECB" localSheetId="10">#REF!</definedName>
    <definedName name="EECB">#REF!</definedName>
    <definedName name="eedx" localSheetId="7" hidden="1">{"Tab1",#N/A,FALSE,"P";"Tab2",#N/A,FALSE,"P"}</definedName>
    <definedName name="eedx" localSheetId="8" hidden="1">{"Tab1",#N/A,FALSE,"P";"Tab2",#N/A,FALSE,"P"}</definedName>
    <definedName name="eedx" localSheetId="10" hidden="1">{"Tab1",#N/A,FALSE,"P";"Tab2",#N/A,FALSE,"P"}</definedName>
    <definedName name="eedx" hidden="1">{"Tab1",#N/A,FALSE,"P";"Tab2",#N/A,FALSE,"P"}</definedName>
    <definedName name="eee" localSheetId="7" hidden="1">{"Tab1",#N/A,FALSE,"P";"Tab2",#N/A,FALSE,"P"}</definedName>
    <definedName name="eee" localSheetId="8" hidden="1">{"Tab1",#N/A,FALSE,"P";"Tab2",#N/A,FALSE,"P"}</definedName>
    <definedName name="eee" localSheetId="10" hidden="1">{"Tab1",#N/A,FALSE,"P";"Tab2",#N/A,FALSE,"P"}</definedName>
    <definedName name="eee" localSheetId="1" hidden="1">{"Tab1",#N/A,FALSE,"P";"Tab2",#N/A,FALSE,"P"}</definedName>
    <definedName name="eee" localSheetId="3" hidden="1">{"Tab1",#N/A,FALSE,"P";"Tab2",#N/A,FALSE,"P"}</definedName>
    <definedName name="eee" hidden="1">{"Tab1",#N/A,FALSE,"P";"Tab2",#N/A,FALSE,"P"}</definedName>
    <definedName name="EISCODE" localSheetId="4">#REF!</definedName>
    <definedName name="EISCODE" localSheetId="14">#REF!</definedName>
    <definedName name="EISCODE" localSheetId="5">#REF!</definedName>
    <definedName name="EISCODE" localSheetId="7">#REF!</definedName>
    <definedName name="EISCODE" localSheetId="8">#REF!</definedName>
    <definedName name="EISCODE" localSheetId="10">#REF!</definedName>
    <definedName name="EISCODE">#REF!</definedName>
    <definedName name="EL6M15" localSheetId="4">#REF!</definedName>
    <definedName name="EL6M15" localSheetId="14">#REF!</definedName>
    <definedName name="EL6M15" localSheetId="5">#REF!</definedName>
    <definedName name="EL6M15">#REF!</definedName>
    <definedName name="EL6M16" localSheetId="4">#REF!</definedName>
    <definedName name="EL6M16" localSheetId="14">#REF!</definedName>
    <definedName name="EL6M16" localSheetId="5">#REF!</definedName>
    <definedName name="EL6M16">#REF!</definedName>
    <definedName name="EL6M17" localSheetId="4">#REF!</definedName>
    <definedName name="EL6M17" localSheetId="14">#REF!</definedName>
    <definedName name="EL6M17" localSheetId="5">#REF!</definedName>
    <definedName name="EL6M17">#REF!</definedName>
    <definedName name="EL6M18" localSheetId="4">#REF!</definedName>
    <definedName name="EL6M18" localSheetId="14">#REF!</definedName>
    <definedName name="EL6M18" localSheetId="5">#REF!</definedName>
    <definedName name="EL6M18">#REF!</definedName>
    <definedName name="EL6M19" localSheetId="4">#REF!</definedName>
    <definedName name="EL6M19" localSheetId="14">#REF!</definedName>
    <definedName name="EL6M19" localSheetId="5">#REF!</definedName>
    <definedName name="EL6M19">#REF!</definedName>
    <definedName name="elect" localSheetId="4">#REF!</definedName>
    <definedName name="elect" localSheetId="14">#REF!</definedName>
    <definedName name="elect" localSheetId="5">#REF!</definedName>
    <definedName name="elect" localSheetId="10">#REF!</definedName>
    <definedName name="elect">#REF!</definedName>
    <definedName name="Emerging_HTML_AREA" localSheetId="4">#REF!</definedName>
    <definedName name="Emerging_HTML_AREA" localSheetId="14">#REF!</definedName>
    <definedName name="Emerging_HTML_AREA" localSheetId="5">#REF!</definedName>
    <definedName name="Emerging_HTML_AREA" localSheetId="10">#REF!</definedName>
    <definedName name="Emerging_HTML_AREA">#REF!</definedName>
    <definedName name="EMETEL" localSheetId="4">#REF!</definedName>
    <definedName name="EMETEL" localSheetId="14">#REF!</definedName>
    <definedName name="EMETEL" localSheetId="5">#REF!</definedName>
    <definedName name="EMETEL" localSheetId="10">#REF!</definedName>
    <definedName name="EMETEL">#REF!</definedName>
    <definedName name="ENDA">#N/A</definedName>
    <definedName name="EONIA15" localSheetId="4">#REF!</definedName>
    <definedName name="EONIA15" localSheetId="14">#REF!</definedName>
    <definedName name="EONIA15" localSheetId="5">#REF!</definedName>
    <definedName name="EONIA15">#REF!</definedName>
    <definedName name="EONIA16" localSheetId="4">#REF!</definedName>
    <definedName name="EONIA16" localSheetId="14">#REF!</definedName>
    <definedName name="EONIA16" localSheetId="5">#REF!</definedName>
    <definedName name="EONIA16">#REF!</definedName>
    <definedName name="EONIA17" localSheetId="4">#REF!</definedName>
    <definedName name="EONIA17" localSheetId="14">#REF!</definedName>
    <definedName name="EONIA17" localSheetId="5">#REF!</definedName>
    <definedName name="EONIA17">#REF!</definedName>
    <definedName name="EONIA18" localSheetId="4">#REF!</definedName>
    <definedName name="EONIA18" localSheetId="14">#REF!</definedName>
    <definedName name="EONIA18" localSheetId="5">#REF!</definedName>
    <definedName name="EONIA18">#REF!</definedName>
    <definedName name="EONIA19" localSheetId="4">#REF!</definedName>
    <definedName name="EONIA19" localSheetId="14">#REF!</definedName>
    <definedName name="EONIA19" localSheetId="5">#REF!</definedName>
    <definedName name="EONIA19">#REF!</definedName>
    <definedName name="EONIA20" localSheetId="4">#REF!</definedName>
    <definedName name="EONIA20" localSheetId="14">#REF!</definedName>
    <definedName name="EONIA20" localSheetId="5">#REF!</definedName>
    <definedName name="EONIA20">#REF!</definedName>
    <definedName name="equal_TLC" localSheetId="4">[26]Graf14_Graf15!#REF!</definedName>
    <definedName name="equal_TLC" localSheetId="14">[26]Graf14_Graf15!#REF!</definedName>
    <definedName name="equal_TLC" localSheetId="5">[26]Graf14_Graf15!#REF!</definedName>
    <definedName name="equal_TLC" localSheetId="10">[26]Graf14_Graf15!#REF!</definedName>
    <definedName name="equal_TLC">[26]Graf14_Graf15!#REF!</definedName>
    <definedName name="ExitWRS">[41]Main!$AB$25</definedName>
    <definedName name="fdfs" localSheetId="7" hidden="1">{"Riqfin97",#N/A,FALSE,"Tran";"Riqfinpro",#N/A,FALSE,"Tran"}</definedName>
    <definedName name="fdfs" localSheetId="8" hidden="1">{"Riqfin97",#N/A,FALSE,"Tran";"Riqfinpro",#N/A,FALSE,"Tran"}</definedName>
    <definedName name="fdfs" localSheetId="10" hidden="1">{"Riqfin97",#N/A,FALSE,"Tran";"Riqfinpro",#N/A,FALSE,"Tran"}</definedName>
    <definedName name="fdfs" localSheetId="1" hidden="1">{"Riqfin97",#N/A,FALSE,"Tran";"Riqfinpro",#N/A,FALSE,"Tran"}</definedName>
    <definedName name="fdfs" localSheetId="3" hidden="1">{"Riqfin97",#N/A,FALSE,"Tran";"Riqfinpro",#N/A,FALSE,"Tran"}</definedName>
    <definedName name="fdfs" hidden="1">{"Riqfin97",#N/A,FALSE,"Tran";"Riqfinpro",#N/A,FALSE,"Tran"}</definedName>
    <definedName name="ff" localSheetId="7" hidden="1">{"Tab1",#N/A,FALSE,"P";"Tab2",#N/A,FALSE,"P"}</definedName>
    <definedName name="ff" localSheetId="8" hidden="1">{"Tab1",#N/A,FALSE,"P";"Tab2",#N/A,FALSE,"P"}</definedName>
    <definedName name="ff" localSheetId="10" hidden="1">{"Tab1",#N/A,FALSE,"P";"Tab2",#N/A,FALSE,"P"}</definedName>
    <definedName name="ff" localSheetId="1" hidden="1">{"Tab1",#N/A,FALSE,"P";"Tab2",#N/A,FALSE,"P"}</definedName>
    <definedName name="ff" localSheetId="3" hidden="1">{"Tab1",#N/A,FALSE,"P";"Tab2",#N/A,FALSE,"P"}</definedName>
    <definedName name="ff" hidden="1">{"Tab1",#N/A,FALSE,"P";"Tab2",#N/A,FALSE,"P"}</definedName>
    <definedName name="fff" localSheetId="7" hidden="1">{"Tab1",#N/A,FALSE,"P";"Tab2",#N/A,FALSE,"P"}</definedName>
    <definedName name="fff" localSheetId="8" hidden="1">{"Tab1",#N/A,FALSE,"P";"Tab2",#N/A,FALSE,"P"}</definedName>
    <definedName name="fff" localSheetId="10" hidden="1">{"Tab1",#N/A,FALSE,"P";"Tab2",#N/A,FALSE,"P"}</definedName>
    <definedName name="fff" localSheetId="1" hidden="1">{"Tab1",#N/A,FALSE,"P";"Tab2",#N/A,FALSE,"P"}</definedName>
    <definedName name="fff" localSheetId="3" hidden="1">{"Tab1",#N/A,FALSE,"P";"Tab2",#N/A,FALSE,"P"}</definedName>
    <definedName name="fff" hidden="1">{"Tab1",#N/A,FALSE,"P";"Tab2",#N/A,FALSE,"P"}</definedName>
    <definedName name="ffff" localSheetId="4" hidden="1">'[42]Time series'!#REF!</definedName>
    <definedName name="ffff" localSheetId="14" hidden="1">'[42]Time series'!#REF!</definedName>
    <definedName name="ffff" localSheetId="5" hidden="1">'[42]Time series'!#REF!</definedName>
    <definedName name="ffff" hidden="1">'[42]Time series'!#REF!</definedName>
    <definedName name="fgfgfgf" localSheetId="4" hidden="1">'[42]Time series'!#REF!</definedName>
    <definedName name="fgfgfgf" localSheetId="14" hidden="1">'[42]Time series'!#REF!</definedName>
    <definedName name="fgfgfgf" localSheetId="5" hidden="1">'[42]Time series'!#REF!</definedName>
    <definedName name="fgfgfgf" hidden="1">'[42]Time series'!#REF!</definedName>
    <definedName name="Fig8.2a" localSheetId="4">#REF!</definedName>
    <definedName name="Fig8.2a" localSheetId="14">#REF!</definedName>
    <definedName name="Fig8.2a" localSheetId="5">#REF!</definedName>
    <definedName name="Fig8.2a" localSheetId="7">#REF!</definedName>
    <definedName name="Fig8.2a" localSheetId="8">#REF!</definedName>
    <definedName name="Fig8.2a" localSheetId="10">#REF!</definedName>
    <definedName name="Fig8.2a">#REF!</definedName>
    <definedName name="fill" hidden="1">'[43]Macroframework-Ver.1'!$A$1:$A$267</definedName>
    <definedName name="finan" localSheetId="4">#REF!</definedName>
    <definedName name="finan" localSheetId="14">#REF!</definedName>
    <definedName name="finan" localSheetId="5">#REF!</definedName>
    <definedName name="finan" localSheetId="7">#REF!</definedName>
    <definedName name="finan" localSheetId="8">#REF!</definedName>
    <definedName name="finan" localSheetId="10">#REF!</definedName>
    <definedName name="finan">#REF!</definedName>
    <definedName name="finan1" localSheetId="4">#REF!</definedName>
    <definedName name="finan1" localSheetId="14">#REF!</definedName>
    <definedName name="finan1" localSheetId="5">#REF!</definedName>
    <definedName name="finan1" localSheetId="10">#REF!</definedName>
    <definedName name="finan1">#REF!</definedName>
    <definedName name="Financing" localSheetId="7" hidden="1">{"Tab1",#N/A,FALSE,"P";"Tab2",#N/A,FALSE,"P"}</definedName>
    <definedName name="Financing" localSheetId="8" hidden="1">{"Tab1",#N/A,FALSE,"P";"Tab2",#N/A,FALSE,"P"}</definedName>
    <definedName name="Financing" localSheetId="10" hidden="1">{"Tab1",#N/A,FALSE,"P";"Tab2",#N/A,FALSE,"P"}</definedName>
    <definedName name="Financing" localSheetId="1" hidden="1">{"Tab1",#N/A,FALSE,"P";"Tab2",#N/A,FALSE,"P"}</definedName>
    <definedName name="Financing" localSheetId="3" hidden="1">{"Tab1",#N/A,FALSE,"P";"Tab2",#N/A,FALSE,"P"}</definedName>
    <definedName name="Financing" hidden="1">{"Tab1",#N/A,FALSE,"P";"Tab2",#N/A,FALSE,"P"}</definedName>
    <definedName name="FISUM" localSheetId="4">#REF!</definedName>
    <definedName name="FISUM" localSheetId="14">#REF!</definedName>
    <definedName name="FISUM" localSheetId="5">#REF!</definedName>
    <definedName name="FISUM" localSheetId="7">#REF!</definedName>
    <definedName name="FISUM" localSheetId="8">#REF!</definedName>
    <definedName name="FISUM" localSheetId="10">#REF!</definedName>
    <definedName name="FISUM">#REF!</definedName>
    <definedName name="FLOPEC" localSheetId="4">#REF!</definedName>
    <definedName name="FLOPEC" localSheetId="14">#REF!</definedName>
    <definedName name="FLOPEC" localSheetId="5">#REF!</definedName>
    <definedName name="FLOPEC" localSheetId="10">#REF!</definedName>
    <definedName name="FLOPEC">#REF!</definedName>
    <definedName name="FMB" localSheetId="4">#REF!</definedName>
    <definedName name="FMB" localSheetId="14">#REF!</definedName>
    <definedName name="FMB" localSheetId="5">#REF!</definedName>
    <definedName name="FMB" localSheetId="10">#REF!</definedName>
    <definedName name="FMB">#REF!</definedName>
    <definedName name="FODESEC" localSheetId="4">#REF!</definedName>
    <definedName name="FODESEC" localSheetId="14">#REF!</definedName>
    <definedName name="FODESEC" localSheetId="5">#REF!</definedName>
    <definedName name="FODESEC" localSheetId="10">#REF!</definedName>
    <definedName name="FODESEC">#REF!</definedName>
    <definedName name="FOREXPORT">[20]H!$A$2:$F$86</definedName>
    <definedName name="fsd" localSheetId="4" hidden="1">#REF!</definedName>
    <definedName name="fsd" localSheetId="14" hidden="1">#REF!</definedName>
    <definedName name="fsd" localSheetId="5" hidden="1">#REF!</definedName>
    <definedName name="fsd" localSheetId="7" hidden="1">#REF!</definedName>
    <definedName name="fsd" localSheetId="8" hidden="1">#REF!</definedName>
    <definedName name="fsd" localSheetId="10" hidden="1">#REF!</definedName>
    <definedName name="fsd" hidden="1">#REF!</definedName>
    <definedName name="fsdfsdfasdfasdfasd" localSheetId="4" hidden="1">#REF!</definedName>
    <definedName name="fsdfsdfasdfasdfasd" localSheetId="14" hidden="1">#REF!</definedName>
    <definedName name="fsdfsdfasdfasdfasd" localSheetId="5" hidden="1">#REF!</definedName>
    <definedName name="fsdfsdfasdfasdfasd" localSheetId="7" hidden="1">#REF!</definedName>
    <definedName name="fsdfsdfasdfasdfasd" localSheetId="8" hidden="1">#REF!</definedName>
    <definedName name="fsdfsdfasdfasdfasd" localSheetId="10" hidden="1">#REF!</definedName>
    <definedName name="fsdfsdfasdfasdfasd" hidden="1">#REF!</definedName>
    <definedName name="FUNDOBL" localSheetId="4">#REF!</definedName>
    <definedName name="FUNDOBL" localSheetId="14">#REF!</definedName>
    <definedName name="FUNDOBL" localSheetId="5">#REF!</definedName>
    <definedName name="FUNDOBL" localSheetId="6">#REF!</definedName>
    <definedName name="FUNDOBL" localSheetId="10">#REF!</definedName>
    <definedName name="FUNDOBL">#REF!</definedName>
    <definedName name="FUNDOBLB" localSheetId="4">#REF!</definedName>
    <definedName name="FUNDOBLB" localSheetId="14">#REF!</definedName>
    <definedName name="FUNDOBLB" localSheetId="5">#REF!</definedName>
    <definedName name="FUNDOBLB" localSheetId="10">#REF!</definedName>
    <definedName name="FUNDOBLB">#REF!</definedName>
    <definedName name="g" localSheetId="4">#REF!</definedName>
    <definedName name="g" localSheetId="14">#REF!</definedName>
    <definedName name="g" localSheetId="5">#REF!</definedName>
    <definedName name="g" localSheetId="10">#REF!</definedName>
    <definedName name="g">#REF!</definedName>
    <definedName name="GCB" localSheetId="4">#REF!</definedName>
    <definedName name="GCB" localSheetId="14">#REF!</definedName>
    <definedName name="GCB" localSheetId="5">#REF!</definedName>
    <definedName name="GCB" localSheetId="10">#REF!</definedName>
    <definedName name="GCB">#REF!</definedName>
    <definedName name="GCB_NGDP">#N/A</definedName>
    <definedName name="GCEI" localSheetId="4">#REF!</definedName>
    <definedName name="GCEI" localSheetId="14">#REF!</definedName>
    <definedName name="GCEI" localSheetId="5">#REF!</definedName>
    <definedName name="GCEI" localSheetId="7">#REF!</definedName>
    <definedName name="GCEI" localSheetId="8">#REF!</definedName>
    <definedName name="GCEI" localSheetId="10">#REF!</definedName>
    <definedName name="GCEI">#REF!</definedName>
    <definedName name="GCENL" localSheetId="4">#REF!</definedName>
    <definedName name="GCENL" localSheetId="14">#REF!</definedName>
    <definedName name="GCENL" localSheetId="5">#REF!</definedName>
    <definedName name="GCENL" localSheetId="10">#REF!</definedName>
    <definedName name="GCENL">#REF!</definedName>
    <definedName name="GCND" localSheetId="4">#REF!</definedName>
    <definedName name="GCND" localSheetId="14">#REF!</definedName>
    <definedName name="GCND" localSheetId="5">#REF!</definedName>
    <definedName name="GCND" localSheetId="10">#REF!</definedName>
    <definedName name="GCND">#REF!</definedName>
    <definedName name="GCND_NGDP" localSheetId="4">#REF!</definedName>
    <definedName name="GCND_NGDP" localSheetId="14">#REF!</definedName>
    <definedName name="GCND_NGDP" localSheetId="5">#REF!</definedName>
    <definedName name="GCND_NGDP" localSheetId="10">#REF!</definedName>
    <definedName name="GCND_NGDP">#REF!</definedName>
    <definedName name="GCRG" localSheetId="4">#REF!</definedName>
    <definedName name="GCRG" localSheetId="14">#REF!</definedName>
    <definedName name="GCRG" localSheetId="5">#REF!</definedName>
    <definedName name="GCRG" localSheetId="10">#REF!</definedName>
    <definedName name="GCRG">#REF!</definedName>
    <definedName name="ggb">'[44]budget-G'!$A$1:$W$109</definedName>
    <definedName name="GGB_NGDP">#N/A</definedName>
    <definedName name="ggbeu" localSheetId="4">#REF!</definedName>
    <definedName name="ggbeu" localSheetId="14">#REF!</definedName>
    <definedName name="ggbeu" localSheetId="5">#REF!</definedName>
    <definedName name="ggbeu" localSheetId="7">#REF!</definedName>
    <definedName name="ggbeu" localSheetId="8">#REF!</definedName>
    <definedName name="ggbeu" localSheetId="10">#REF!</definedName>
    <definedName name="ggbeu">#REF!</definedName>
    <definedName name="ggblg" localSheetId="4">#REF!</definedName>
    <definedName name="ggblg" localSheetId="14">#REF!</definedName>
    <definedName name="ggblg" localSheetId="5">#REF!</definedName>
    <definedName name="ggblg" localSheetId="10">#REF!</definedName>
    <definedName name="ggblg">#REF!</definedName>
    <definedName name="ggbls" localSheetId="4">#REF!</definedName>
    <definedName name="ggbls" localSheetId="14">#REF!</definedName>
    <definedName name="ggbls" localSheetId="5">#REF!</definedName>
    <definedName name="ggbls" localSheetId="10">#REF!</definedName>
    <definedName name="ggbls">#REF!</definedName>
    <definedName name="ggbss" localSheetId="4">#REF!</definedName>
    <definedName name="ggbss" localSheetId="14">#REF!</definedName>
    <definedName name="ggbss" localSheetId="5">#REF!</definedName>
    <definedName name="ggbss" localSheetId="10">#REF!</definedName>
    <definedName name="ggbss">#REF!</definedName>
    <definedName name="gge">[44]Expenditures!$A$1:$AC$62</definedName>
    <definedName name="GGED" localSheetId="4">#REF!</definedName>
    <definedName name="GGED" localSheetId="14">#REF!</definedName>
    <definedName name="GGED" localSheetId="5">#REF!</definedName>
    <definedName name="GGED" localSheetId="7">#REF!</definedName>
    <definedName name="GGED" localSheetId="8">#REF!</definedName>
    <definedName name="GGED" localSheetId="10">#REF!</definedName>
    <definedName name="GGED">#REF!</definedName>
    <definedName name="GGEI" localSheetId="4">#REF!</definedName>
    <definedName name="GGEI" localSheetId="14">#REF!</definedName>
    <definedName name="GGEI" localSheetId="5">#REF!</definedName>
    <definedName name="GGEI" localSheetId="10">#REF!</definedName>
    <definedName name="GGEI">#REF!</definedName>
    <definedName name="GGENL" localSheetId="4">#REF!</definedName>
    <definedName name="GGENL" localSheetId="14">#REF!</definedName>
    <definedName name="GGENL" localSheetId="5">#REF!</definedName>
    <definedName name="GGENL" localSheetId="10">#REF!</definedName>
    <definedName name="GGENL">#REF!</definedName>
    <definedName name="ggg" localSheetId="7" hidden="1">{"Riqfin97",#N/A,FALSE,"Tran";"Riqfinpro",#N/A,FALSE,"Tran"}</definedName>
    <definedName name="ggg" localSheetId="8" hidden="1">{"Riqfin97",#N/A,FALSE,"Tran";"Riqfinpro",#N/A,FALSE,"Tran"}</definedName>
    <definedName name="ggg" localSheetId="10" hidden="1">{"Riqfin97",#N/A,FALSE,"Tran";"Riqfinpro",#N/A,FALSE,"Tran"}</definedName>
    <definedName name="ggg" localSheetId="1" hidden="1">{"Riqfin97",#N/A,FALSE,"Tran";"Riqfinpro",#N/A,FALSE,"Tran"}</definedName>
    <definedName name="ggg" localSheetId="3" hidden="1">{"Riqfin97",#N/A,FALSE,"Tran";"Riqfinpro",#N/A,FALSE,"Tran"}</definedName>
    <definedName name="ggg" hidden="1">{"Riqfin97",#N/A,FALSE,"Tran";"Riqfinpro",#N/A,FALSE,"Tran"}</definedName>
    <definedName name="ggggg" localSheetId="4" hidden="1">'[45]J(Priv.Cap)'!#REF!</definedName>
    <definedName name="ggggg" localSheetId="14" hidden="1">'[45]J(Priv.Cap)'!#REF!</definedName>
    <definedName name="ggggg" localSheetId="5" hidden="1">'[45]J(Priv.Cap)'!#REF!</definedName>
    <definedName name="ggggg" hidden="1">'[45]J(Priv.Cap)'!#REF!</definedName>
    <definedName name="ggggggg">[21]!ggggggg</definedName>
    <definedName name="GGND" localSheetId="4">#REF!</definedName>
    <definedName name="GGND" localSheetId="14">#REF!</definedName>
    <definedName name="GGND" localSheetId="5">#REF!</definedName>
    <definedName name="GGND" localSheetId="7">#REF!</definedName>
    <definedName name="GGND" localSheetId="8">#REF!</definedName>
    <definedName name="GGND" localSheetId="10">#REF!</definedName>
    <definedName name="GGND">#REF!</definedName>
    <definedName name="ggr">[44]Revenues!$A$1:$AD$58</definedName>
    <definedName name="GGRG" localSheetId="4">#REF!</definedName>
    <definedName name="GGRG" localSheetId="14">#REF!</definedName>
    <definedName name="GGRG" localSheetId="5">#REF!</definedName>
    <definedName name="GGRG" localSheetId="7">#REF!</definedName>
    <definedName name="GGRG" localSheetId="8">#REF!</definedName>
    <definedName name="GGRG" localSheetId="10">#REF!</definedName>
    <definedName name="GGRG">#REF!</definedName>
    <definedName name="ghfgf" localSheetId="4" hidden="1">'[5]Time series'!#REF!</definedName>
    <definedName name="ghfgf" localSheetId="14" hidden="1">'[5]Time series'!#REF!</definedName>
    <definedName name="ghfgf" localSheetId="5" hidden="1">'[5]Time series'!#REF!</definedName>
    <definedName name="ghfgf" localSheetId="7" hidden="1">'[5]Time series'!#REF!</definedName>
    <definedName name="ghfgf" localSheetId="8" hidden="1">'[5]Time series'!#REF!</definedName>
    <definedName name="ghfgf" hidden="1">'[5]Time series'!#REF!</definedName>
    <definedName name="gjgfgk" localSheetId="4" hidden="1">'[5]Time series'!#REF!</definedName>
    <definedName name="gjgfgk" localSheetId="14" hidden="1">'[5]Time series'!#REF!</definedName>
    <definedName name="gjgfgk" localSheetId="5" hidden="1">'[5]Time series'!#REF!</definedName>
    <definedName name="gjgfgk" localSheetId="7" hidden="1">'[5]Time series'!#REF!</definedName>
    <definedName name="gjgfgk" localSheetId="8" hidden="1">'[5]Time series'!#REF!</definedName>
    <definedName name="gjgfgk" hidden="1">'[5]Time series'!#REF!</definedName>
    <definedName name="GPee_2" localSheetId="4">[26]Graf14_Graf15!#REF!</definedName>
    <definedName name="GPee_2" localSheetId="14">[26]Graf14_Graf15!#REF!</definedName>
    <definedName name="GPee_2" localSheetId="5">[26]Graf14_Graf15!#REF!</definedName>
    <definedName name="GPee_2" localSheetId="10">[26]Graf14_Graf15!#REF!</definedName>
    <definedName name="GPee_2">[26]Graf14_Graf15!#REF!</definedName>
    <definedName name="GPer_2" localSheetId="4">[26]Graf14_Graf15!#REF!</definedName>
    <definedName name="GPer_2" localSheetId="14">[26]Graf14_Graf15!#REF!</definedName>
    <definedName name="GPer_2" localSheetId="5">[26]Graf14_Graf15!#REF!</definedName>
    <definedName name="GPer_2">[26]Graf14_Graf15!#REF!</definedName>
    <definedName name="HDP" localSheetId="4">'[46]Graf 47'!#REF!</definedName>
    <definedName name="HDP" localSheetId="14">'[46]Graf 47'!#REF!</definedName>
    <definedName name="HDP" localSheetId="5">'[46]Graf 47'!#REF!</definedName>
    <definedName name="HDP" localSheetId="7">'[46]Graf 47'!#REF!</definedName>
    <definedName name="HDP" localSheetId="8">'[46]Graf 47'!#REF!</definedName>
    <definedName name="HDP">'[46]Graf 47'!#REF!</definedName>
    <definedName name="HDPn_1n" localSheetId="10">[47]makro!$B$27</definedName>
    <definedName name="HDPn_1n">[47]makro!$B$27</definedName>
    <definedName name="HDPn_2" localSheetId="7">[48]makro!$C$5</definedName>
    <definedName name="HDPn_2" localSheetId="8">[48]makro!$C$5</definedName>
    <definedName name="HDPn_2" localSheetId="10">[48]makro!$C$5</definedName>
    <definedName name="HDPn_2">[48]makro!$C$5</definedName>
    <definedName name="HDPn_2n" localSheetId="7">[48]makro!$C$27</definedName>
    <definedName name="HDPn_2n" localSheetId="8">[48]makro!$C$27</definedName>
    <definedName name="HDPn_2n" localSheetId="10">[48]makro!$C$27</definedName>
    <definedName name="HDPn_2n">[48]makro!$C$27</definedName>
    <definedName name="HDPn_3" localSheetId="7">[48]makro!$D$5</definedName>
    <definedName name="HDPn_3" localSheetId="8">[48]makro!$D$5</definedName>
    <definedName name="HDPn_3" localSheetId="10">[48]makro!$D$5</definedName>
    <definedName name="HDPn_3">[48]makro!$D$5</definedName>
    <definedName name="HDPn_3n" localSheetId="7">[48]makro!$D$27</definedName>
    <definedName name="HDPn_3n" localSheetId="8">[48]makro!$D$27</definedName>
    <definedName name="HDPn_3n" localSheetId="10">[48]makro!$D$27</definedName>
    <definedName name="HDPn_3n">[48]makro!$D$27</definedName>
    <definedName name="HDPn_4" localSheetId="7">[48]makro!$E$5</definedName>
    <definedName name="HDPn_4" localSheetId="8">[48]makro!$E$5</definedName>
    <definedName name="HDPn_4" localSheetId="10">[48]makro!$E$5</definedName>
    <definedName name="HDPn_4">[48]makro!$E$5</definedName>
    <definedName name="HDPn_4n" localSheetId="7">[48]makro!$E$27</definedName>
    <definedName name="HDPn_4n" localSheetId="8">[48]makro!$E$27</definedName>
    <definedName name="HDPn_4n" localSheetId="10">[48]makro!$E$27</definedName>
    <definedName name="HDPn_4n">[48]makro!$E$27</definedName>
    <definedName name="HDPn_5" localSheetId="7">[48]makro!$F$5</definedName>
    <definedName name="HDPn_5" localSheetId="8">[48]makro!$F$5</definedName>
    <definedName name="HDPn_5" localSheetId="10">[48]makro!$F$5</definedName>
    <definedName name="HDPn_5">[48]makro!$F$5</definedName>
    <definedName name="HDPn_5n" localSheetId="7">[48]makro!$F$27</definedName>
    <definedName name="HDPn_5n" localSheetId="8">[48]makro!$F$27</definedName>
    <definedName name="HDPn_5n" localSheetId="10">[48]makro!$F$27</definedName>
    <definedName name="HDPn_5n">[48]makro!$F$27</definedName>
    <definedName name="HDPn_6" localSheetId="7">[48]makro!$G$5</definedName>
    <definedName name="HDPn_6" localSheetId="8">[48]makro!$G$5</definedName>
    <definedName name="HDPn_6" localSheetId="10">[48]makro!$G$5</definedName>
    <definedName name="HDPn_6">[48]makro!$G$5</definedName>
    <definedName name="HDPn_6n" localSheetId="7">[48]makro!$G$27</definedName>
    <definedName name="HDPn_6n" localSheetId="8">[48]makro!$G$27</definedName>
    <definedName name="HDPn_6n" localSheetId="10">[48]makro!$G$27</definedName>
    <definedName name="HDPn_6n">[48]makro!$G$27</definedName>
    <definedName name="HDPnbk_2" localSheetId="7">[48]makro!$C$16</definedName>
    <definedName name="HDPnbk_2" localSheetId="8">[48]makro!$C$16</definedName>
    <definedName name="HDPnbk_2" localSheetId="10">[48]makro!$C$16</definedName>
    <definedName name="HDPnbk_2">[48]makro!$C$16</definedName>
    <definedName name="HDPnbk_2n" localSheetId="7">[48]makro!$C$38</definedName>
    <definedName name="HDPnbk_2n" localSheetId="8">[48]makro!$C$38</definedName>
    <definedName name="HDPnbk_2n" localSheetId="10">[48]makro!$C$38</definedName>
    <definedName name="HDPnbk_2n">[48]makro!$C$38</definedName>
    <definedName name="HDPnbk_3" localSheetId="7">[48]makro!$D$16</definedName>
    <definedName name="HDPnbk_3" localSheetId="8">[48]makro!$D$16</definedName>
    <definedName name="HDPnbk_3" localSheetId="10">[48]makro!$D$16</definedName>
    <definedName name="HDPnbk_3">[48]makro!$D$16</definedName>
    <definedName name="HDPnbk_3n" localSheetId="7">[48]makro!$D$38</definedName>
    <definedName name="HDPnbk_3n" localSheetId="8">[48]makro!$D$38</definedName>
    <definedName name="HDPnbk_3n" localSheetId="10">[48]makro!$D$38</definedName>
    <definedName name="HDPnbk_3n">[48]makro!$D$38</definedName>
    <definedName name="HDPnbk_4" localSheetId="7">[48]makro!$E$16</definedName>
    <definedName name="HDPnbk_4" localSheetId="8">[48]makro!$E$16</definedName>
    <definedName name="HDPnbk_4" localSheetId="10">[48]makro!$E$16</definedName>
    <definedName name="HDPnbk_4">[48]makro!$E$16</definedName>
    <definedName name="HDPnbk_4n" localSheetId="7">[48]makro!$E$38</definedName>
    <definedName name="HDPnbk_4n" localSheetId="8">[48]makro!$E$38</definedName>
    <definedName name="HDPnbk_4n" localSheetId="10">[48]makro!$E$38</definedName>
    <definedName name="HDPnbk_4n">[48]makro!$E$38</definedName>
    <definedName name="HDPnbk_5" localSheetId="7">[48]makro!$F$16</definedName>
    <definedName name="HDPnbk_5" localSheetId="8">[48]makro!$F$16</definedName>
    <definedName name="HDPnbk_5" localSheetId="10">[48]makro!$F$16</definedName>
    <definedName name="HDPnbk_5">[48]makro!$F$16</definedName>
    <definedName name="HDPnbk_5n" localSheetId="7">[48]makro!$F$38</definedName>
    <definedName name="HDPnbk_5n" localSheetId="8">[48]makro!$F$38</definedName>
    <definedName name="HDPnbk_5n" localSheetId="10">[48]makro!$F$38</definedName>
    <definedName name="HDPnbk_5n">[48]makro!$F$38</definedName>
    <definedName name="HDPnbk_6" localSheetId="7">[48]makro!$G$16</definedName>
    <definedName name="HDPnbk_6" localSheetId="8">[48]makro!$G$16</definedName>
    <definedName name="HDPnbk_6" localSheetId="10">[48]makro!$G$16</definedName>
    <definedName name="HDPnbk_6">[48]makro!$G$16</definedName>
    <definedName name="HDPnbk_6n" localSheetId="7">[48]makro!$G$38</definedName>
    <definedName name="HDPnbk_6n" localSheetId="8">[48]makro!$G$38</definedName>
    <definedName name="HDPnbk_6n" localSheetId="10">[48]makro!$G$38</definedName>
    <definedName name="HDPnbk_6n">[48]makro!$G$38</definedName>
    <definedName name="HDPr_2" localSheetId="7">[48]makro!$C$4</definedName>
    <definedName name="HDPr_2" localSheetId="8">[48]makro!$C$4</definedName>
    <definedName name="HDPr_2" localSheetId="10">[48]makro!$C$4</definedName>
    <definedName name="HDPr_2">[48]makro!$C$4</definedName>
    <definedName name="HDPr_2n" localSheetId="7">[48]makro!$C$26</definedName>
    <definedName name="HDPr_2n" localSheetId="8">[48]makro!$C$26</definedName>
    <definedName name="HDPr_2n" localSheetId="10">[48]makro!$C$26</definedName>
    <definedName name="HDPr_2n">[48]makro!$C$26</definedName>
    <definedName name="HDPr_3" localSheetId="7">[48]makro!$D$4</definedName>
    <definedName name="HDPr_3" localSheetId="8">[48]makro!$D$4</definedName>
    <definedName name="HDPr_3" localSheetId="10">[48]makro!$D$4</definedName>
    <definedName name="HDPr_3">[48]makro!$D$4</definedName>
    <definedName name="HDPr_3n" localSheetId="7">[48]makro!$D$26</definedName>
    <definedName name="HDPr_3n" localSheetId="8">[48]makro!$D$26</definedName>
    <definedName name="HDPr_3n" localSheetId="10">[48]makro!$D$26</definedName>
    <definedName name="HDPr_3n">[48]makro!$D$26</definedName>
    <definedName name="HDPr_4" localSheetId="7">[48]makro!$E$4</definedName>
    <definedName name="HDPr_4" localSheetId="8">[48]makro!$E$4</definedName>
    <definedName name="HDPr_4" localSheetId="10">[48]makro!$E$4</definedName>
    <definedName name="HDPr_4">[48]makro!$E$4</definedName>
    <definedName name="HDPr_4n" localSheetId="7">[48]makro!$E$26</definedName>
    <definedName name="HDPr_4n" localSheetId="8">[48]makro!$E$26</definedName>
    <definedName name="HDPr_4n" localSheetId="10">[48]makro!$E$26</definedName>
    <definedName name="HDPr_4n">[48]makro!$E$26</definedName>
    <definedName name="HDPr_5" localSheetId="7">[48]makro!$F$4</definedName>
    <definedName name="HDPr_5" localSheetId="8">[48]makro!$F$4</definedName>
    <definedName name="HDPr_5" localSheetId="10">[48]makro!$F$4</definedName>
    <definedName name="HDPr_5">[48]makro!$F$4</definedName>
    <definedName name="HDPr_5n" localSheetId="7">[48]makro!$F$26</definedName>
    <definedName name="HDPr_5n" localSheetId="8">[48]makro!$F$26</definedName>
    <definedName name="HDPr_5n" localSheetId="10">[48]makro!$F$26</definedName>
    <definedName name="HDPr_5n">[48]makro!$F$26</definedName>
    <definedName name="HDPr_6" localSheetId="7">[48]makro!$G$4</definedName>
    <definedName name="HDPr_6" localSheetId="8">[48]makro!$G$4</definedName>
    <definedName name="HDPr_6" localSheetId="10">[48]makro!$G$4</definedName>
    <definedName name="HDPr_6">[48]makro!$G$4</definedName>
    <definedName name="HDPr_6n" localSheetId="7">[48]makro!$G$26</definedName>
    <definedName name="HDPr_6n" localSheetId="8">[48]makro!$G$26</definedName>
    <definedName name="HDPr_6n" localSheetId="10">[48]makro!$G$26</definedName>
    <definedName name="HDPr_6n">[48]makro!$G$26</definedName>
    <definedName name="help" localSheetId="4" hidden="1">'[5]Time series'!#REF!</definedName>
    <definedName name="help" localSheetId="14" hidden="1">'[5]Time series'!#REF!</definedName>
    <definedName name="help" localSheetId="5" hidden="1">'[5]Time series'!#REF!</definedName>
    <definedName name="help" localSheetId="7" hidden="1">'[5]Time series'!#REF!</definedName>
    <definedName name="help" localSheetId="8" hidden="1">'[5]Time series'!#REF!</definedName>
    <definedName name="help" localSheetId="10" hidden="1">'[5]Time series'!#REF!</definedName>
    <definedName name="help" hidden="1">'[5]Time series'!#REF!</definedName>
    <definedName name="hgfd" localSheetId="7" hidden="1">{#N/A,#N/A,FALSE,"I";#N/A,#N/A,FALSE,"J";#N/A,#N/A,FALSE,"K";#N/A,#N/A,FALSE,"L";#N/A,#N/A,FALSE,"M";#N/A,#N/A,FALSE,"N";#N/A,#N/A,FALSE,"O"}</definedName>
    <definedName name="hgfd" localSheetId="8" hidden="1">{#N/A,#N/A,FALSE,"I";#N/A,#N/A,FALSE,"J";#N/A,#N/A,FALSE,"K";#N/A,#N/A,FALSE,"L";#N/A,#N/A,FALSE,"M";#N/A,#N/A,FALSE,"N";#N/A,#N/A,FALSE,"O"}</definedName>
    <definedName name="hgfd" localSheetId="10" hidden="1">{#N/A,#N/A,FALSE,"I";#N/A,#N/A,FALSE,"J";#N/A,#N/A,FALSE,"K";#N/A,#N/A,FALSE,"L";#N/A,#N/A,FALSE,"M";#N/A,#N/A,FALSE,"N";#N/A,#N/A,FALSE,"O"}</definedName>
    <definedName name="hgfd" hidden="1">{#N/A,#N/A,FALSE,"I";#N/A,#N/A,FALSE,"J";#N/A,#N/A,FALSE,"K";#N/A,#N/A,FALSE,"L";#N/A,#N/A,FALSE,"M";#N/A,#N/A,FALSE,"N";#N/A,#N/A,FALSE,"O"}</definedName>
    <definedName name="hhh" localSheetId="4" hidden="1">'[49]J(Priv.Cap)'!#REF!</definedName>
    <definedName name="hhh" localSheetId="14" hidden="1">'[49]J(Priv.Cap)'!#REF!</definedName>
    <definedName name="hhh" localSheetId="5" hidden="1">'[49]J(Priv.Cap)'!#REF!</definedName>
    <definedName name="hhh" hidden="1">'[49]J(Priv.Cap)'!#REF!</definedName>
    <definedName name="hhhhhhh">[21]!hhhhhhh</definedName>
    <definedName name="hjjh" localSheetId="4" hidden="1">'[5]Time series'!#REF!</definedName>
    <definedName name="hjjh" localSheetId="14" hidden="1">'[5]Time series'!#REF!</definedName>
    <definedName name="hjjh" localSheetId="5" hidden="1">'[5]Time series'!#REF!</definedName>
    <definedName name="hjjh" localSheetId="7" hidden="1">'[5]Time series'!#REF!</definedName>
    <definedName name="hjjh" localSheetId="8" hidden="1">'[5]Time series'!#REF!</definedName>
    <definedName name="hjjh" hidden="1">'[5]Time series'!#REF!</definedName>
    <definedName name="HTML_CodePage" hidden="1">1252</definedName>
    <definedName name="HTML_Control" localSheetId="7" hidden="1">{"'Resources'!$A$1:$W$34","'Balance Sheet'!$A$1:$W$58","'SFD'!$A$1:$J$52"}</definedName>
    <definedName name="HTML_Control" localSheetId="8" hidden="1">{"'Resources'!$A$1:$W$34","'Balance Sheet'!$A$1:$W$58","'SFD'!$A$1:$J$52"}</definedName>
    <definedName name="HTML_Control" localSheetId="10"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CHART" localSheetId="4">#REF!</definedName>
    <definedName name="CHART" localSheetId="14">#REF!</definedName>
    <definedName name="CHART" localSheetId="5">#REF!</definedName>
    <definedName name="CHART" localSheetId="7">#REF!</definedName>
    <definedName name="CHART" localSheetId="8">#REF!</definedName>
    <definedName name="CHART" localSheetId="10">#REF!</definedName>
    <definedName name="CHART">#REF!</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hidden="1">{#N/A,#N/A,FALSE,"CB";#N/A,#N/A,FALSE,"CMB";#N/A,#N/A,FALSE,"NBFI"}</definedName>
    <definedName name="CHILE" localSheetId="4">#REF!</definedName>
    <definedName name="CHILE" localSheetId="14">#REF!</definedName>
    <definedName name="CHILE" localSheetId="5">#REF!</definedName>
    <definedName name="CHILE" localSheetId="7">#REF!</definedName>
    <definedName name="CHILE" localSheetId="8">#REF!</definedName>
    <definedName name="CHILE" localSheetId="10">#REF!</definedName>
    <definedName name="CHILE">#REF!</definedName>
    <definedName name="CHK" localSheetId="4">#REF!</definedName>
    <definedName name="CHK" localSheetId="14">#REF!</definedName>
    <definedName name="CHK" localSheetId="5">#REF!</definedName>
    <definedName name="CHK" localSheetId="10">#REF!</definedName>
    <definedName name="CHK">#REF!</definedName>
    <definedName name="i" localSheetId="4">#REF!</definedName>
    <definedName name="i" localSheetId="14">#REF!</definedName>
    <definedName name="i" localSheetId="5">#REF!</definedName>
    <definedName name="i" localSheetId="10">#REF!</definedName>
    <definedName name="i">#REF!</definedName>
    <definedName name="IESS" localSheetId="4">#REF!</definedName>
    <definedName name="IESS" localSheetId="14">#REF!</definedName>
    <definedName name="IESS" localSheetId="5">#REF!</definedName>
    <definedName name="IESS" localSheetId="10">#REF!</definedName>
    <definedName name="IESS">#REF!</definedName>
    <definedName name="ii" localSheetId="7" hidden="1">{"Tab1",#N/A,FALSE,"P";"Tab2",#N/A,FALSE,"P"}</definedName>
    <definedName name="ii" localSheetId="8" hidden="1">{"Tab1",#N/A,FALSE,"P";"Tab2",#N/A,FALSE,"P"}</definedName>
    <definedName name="ii" localSheetId="10" hidden="1">{"Tab1",#N/A,FALSE,"P";"Tab2",#N/A,FALSE,"P"}</definedName>
    <definedName name="ii" localSheetId="1" hidden="1">{"Tab1",#N/A,FALSE,"P";"Tab2",#N/A,FALSE,"P"}</definedName>
    <definedName name="ii" localSheetId="3" hidden="1">{"Tab1",#N/A,FALSE,"P";"Tab2",#N/A,FALSE,"P"}</definedName>
    <definedName name="ii" hidden="1">{"Tab1",#N/A,FALSE,"P";"Tab2",#N/A,FALSE,"P"}</definedName>
    <definedName name="II_pilier_2" localSheetId="4">[26]Graf14_Graf15!#REF!</definedName>
    <definedName name="II_pilier_2" localSheetId="14">[26]Graf14_Graf15!#REF!</definedName>
    <definedName name="II_pilier_2" localSheetId="5">[26]Graf14_Graf15!#REF!</definedName>
    <definedName name="II_pilier_2">[26]Graf14_Graf15!#REF!</definedName>
    <definedName name="II_pillar_figure" localSheetId="4">[26]Graf14_Graf15!#REF!</definedName>
    <definedName name="II_pillar_figure" localSheetId="14">[26]Graf14_Graf15!#REF!</definedName>
    <definedName name="II_pillar_figure" localSheetId="5">[26]Graf14_Graf15!#REF!</definedName>
    <definedName name="II_pillar_figure">[26]Graf14_Graf15!#REF!</definedName>
    <definedName name="ima" localSheetId="4">#REF!</definedName>
    <definedName name="ima" localSheetId="14">#REF!</definedName>
    <definedName name="ima" localSheetId="5">#REF!</definedName>
    <definedName name="ima" localSheetId="7">#REF!</definedName>
    <definedName name="ima" localSheetId="8">#REF!</definedName>
    <definedName name="ima" localSheetId="10">#REF!</definedName>
    <definedName name="ima">#REF!</definedName>
    <definedName name="IMPn_2" localSheetId="7">[48]makro!$C$17</definedName>
    <definedName name="IMPn_2" localSheetId="8">[48]makro!$C$17</definedName>
    <definedName name="IMPn_2" localSheetId="10">[48]makro!$C$17</definedName>
    <definedName name="IMPn_2">[48]makro!$C$17</definedName>
    <definedName name="IMPn_2n" localSheetId="7">[48]makro!$C$39</definedName>
    <definedName name="IMPn_2n" localSheetId="8">[48]makro!$C$39</definedName>
    <definedName name="IMPn_2n" localSheetId="10">[48]makro!$C$39</definedName>
    <definedName name="IMPn_2n">[48]makro!$C$39</definedName>
    <definedName name="IMPn_3" localSheetId="7">[48]makro!$D$17</definedName>
    <definedName name="IMPn_3" localSheetId="8">[48]makro!$D$17</definedName>
    <definedName name="IMPn_3" localSheetId="10">[48]makro!$D$17</definedName>
    <definedName name="IMPn_3">[48]makro!$D$17</definedName>
    <definedName name="IMPn_3n" localSheetId="7">[48]makro!$D$39</definedName>
    <definedName name="IMPn_3n" localSheetId="8">[48]makro!$D$39</definedName>
    <definedName name="IMPn_3n" localSheetId="10">[48]makro!$D$39</definedName>
    <definedName name="IMPn_3n">[48]makro!$D$39</definedName>
    <definedName name="IMPn_4" localSheetId="7">[48]makro!$E$17</definedName>
    <definedName name="IMPn_4" localSheetId="8">[48]makro!$E$17</definedName>
    <definedName name="IMPn_4" localSheetId="10">[48]makro!$E$17</definedName>
    <definedName name="IMPn_4">[48]makro!$E$17</definedName>
    <definedName name="IMPn_4n" localSheetId="7">[48]makro!$E$39</definedName>
    <definedName name="IMPn_4n" localSheetId="8">[48]makro!$E$39</definedName>
    <definedName name="IMPn_4n" localSheetId="10">[48]makro!$E$39</definedName>
    <definedName name="IMPn_4n">[48]makro!$E$39</definedName>
    <definedName name="IMPn_5" localSheetId="7">[48]makro!$F$17</definedName>
    <definedName name="IMPn_5" localSheetId="8">[48]makro!$F$17</definedName>
    <definedName name="IMPn_5" localSheetId="10">[48]makro!$F$17</definedName>
    <definedName name="IMPn_5">[48]makro!$F$17</definedName>
    <definedName name="IMPn_5n" localSheetId="7">[48]makro!$F$39</definedName>
    <definedName name="IMPn_5n" localSheetId="8">[48]makro!$F$39</definedName>
    <definedName name="IMPn_5n" localSheetId="10">[48]makro!$F$39</definedName>
    <definedName name="IMPn_5n">[48]makro!$F$39</definedName>
    <definedName name="IMPn_6" localSheetId="7">[48]makro!$G$17</definedName>
    <definedName name="IMPn_6" localSheetId="8">[48]makro!$G$17</definedName>
    <definedName name="IMPn_6" localSheetId="10">[48]makro!$G$17</definedName>
    <definedName name="IMPn_6">[48]makro!$G$17</definedName>
    <definedName name="IMPn_6n" localSheetId="7">[48]makro!$G$39</definedName>
    <definedName name="IMPn_6n" localSheetId="8">[48]makro!$G$39</definedName>
    <definedName name="IMPn_6n" localSheetId="10">[48]makro!$G$39</definedName>
    <definedName name="IMPn_6n">[48]makro!$G$39</definedName>
    <definedName name="IN1_" localSheetId="4">#REF!</definedName>
    <definedName name="IN1_" localSheetId="14">#REF!</definedName>
    <definedName name="IN1_" localSheetId="5">#REF!</definedName>
    <definedName name="IN1_" localSheetId="7">#REF!</definedName>
    <definedName name="IN1_" localSheetId="8">#REF!</definedName>
    <definedName name="IN1_" localSheetId="10">#REF!</definedName>
    <definedName name="IN1_">#REF!</definedName>
    <definedName name="IN2_" localSheetId="4">#REF!</definedName>
    <definedName name="IN2_" localSheetId="14">#REF!</definedName>
    <definedName name="IN2_" localSheetId="5">#REF!</definedName>
    <definedName name="IN2_" localSheetId="10">#REF!</definedName>
    <definedName name="IN2_">#REF!</definedName>
    <definedName name="INB">[27]B!$K$6:$T$6</definedName>
    <definedName name="INC">[27]C!$H$6:$I$6</definedName>
    <definedName name="ind" localSheetId="4">#REF!</definedName>
    <definedName name="ind" localSheetId="14">#REF!</definedName>
    <definedName name="ind" localSheetId="5">#REF!</definedName>
    <definedName name="ind" localSheetId="7">#REF!</definedName>
    <definedName name="ind" localSheetId="8">#REF!</definedName>
    <definedName name="ind" localSheetId="10">#REF!</definedName>
    <definedName name="ind">#REF!</definedName>
    <definedName name="INECEL" localSheetId="4">#REF!</definedName>
    <definedName name="INECEL" localSheetId="14">#REF!</definedName>
    <definedName name="INECEL" localSheetId="5">#REF!</definedName>
    <definedName name="INECEL" localSheetId="10">#REF!</definedName>
    <definedName name="INECEL">#REF!</definedName>
    <definedName name="inflation" localSheetId="4" hidden="1">[50]TAB34!#REF!</definedName>
    <definedName name="inflation" localSheetId="14" hidden="1">[50]TAB34!#REF!</definedName>
    <definedName name="inflation" localSheetId="5" hidden="1">[50]TAB34!#REF!</definedName>
    <definedName name="inflation" localSheetId="10" hidden="1">[50]TAB34!#REF!</definedName>
    <definedName name="inflation" hidden="1">[50]TAB34!#REF!</definedName>
    <definedName name="INPUT_2" localSheetId="4">[1]Input!#REF!</definedName>
    <definedName name="INPUT_2" localSheetId="14">[1]Input!#REF!</definedName>
    <definedName name="INPUT_2" localSheetId="5">[1]Input!#REF!</definedName>
    <definedName name="INPUT_2" localSheetId="6">[1]Input!#REF!</definedName>
    <definedName name="INPUT_2" localSheetId="10">[1]Input!#REF!</definedName>
    <definedName name="INPUT_2">[1]Input!#REF!</definedName>
    <definedName name="INPUT_4" localSheetId="4">[1]Input!#REF!</definedName>
    <definedName name="INPUT_4" localSheetId="14">[1]Input!#REF!</definedName>
    <definedName name="INPUT_4" localSheetId="5">[1]Input!#REF!</definedName>
    <definedName name="INPUT_4" localSheetId="6">[1]Input!#REF!</definedName>
    <definedName name="INPUT_4">[1]Input!#REF!</definedName>
    <definedName name="IPee_2" localSheetId="4">[26]Graf14_Graf15!#REF!</definedName>
    <definedName name="IPee_2" localSheetId="14">[26]Graf14_Graf15!#REF!</definedName>
    <definedName name="IPee_2" localSheetId="5">[26]Graf14_Graf15!#REF!</definedName>
    <definedName name="IPee_2" localSheetId="6">[26]Graf14_Graf15!#REF!</definedName>
    <definedName name="IPee_2">[26]Graf14_Graf15!#REF!</definedName>
    <definedName name="IPer_2" localSheetId="4">[26]Graf14_Graf15!#REF!</definedName>
    <definedName name="IPer_2" localSheetId="14">[26]Graf14_Graf15!#REF!</definedName>
    <definedName name="IPer_2" localSheetId="5">[26]Graf14_Graf15!#REF!</definedName>
    <definedName name="IPer_2">[26]Graf14_Graf15!#REF!</definedName>
    <definedName name="IT" localSheetId="4">[26]Graf14_Graf15!#REF!</definedName>
    <definedName name="IT" localSheetId="14">[26]Graf14_Graf15!#REF!</definedName>
    <definedName name="IT" localSheetId="5">[26]Graf14_Graf15!#REF!</definedName>
    <definedName name="IT">[26]Graf14_Graf15!#REF!</definedName>
    <definedName name="IT_2" localSheetId="4">[26]Graf14_Graf15!#REF!</definedName>
    <definedName name="IT_2" localSheetId="14">[26]Graf14_Graf15!#REF!</definedName>
    <definedName name="IT_2" localSheetId="5">[26]Graf14_Graf15!#REF!</definedName>
    <definedName name="IT_2">[26]Graf14_Graf15!#REF!</definedName>
    <definedName name="IT_2_bracket_2" localSheetId="4">[26]Graf14_Graf15!#REF!</definedName>
    <definedName name="IT_2_bracket_2" localSheetId="14">[26]Graf14_Graf15!#REF!</definedName>
    <definedName name="IT_2_bracket_2" localSheetId="5">[26]Graf14_Graf15!#REF!</definedName>
    <definedName name="IT_2_bracket_2">[26]Graf14_Graf15!#REF!</definedName>
    <definedName name="jhgf" localSheetId="7" hidden="1">{"MONA",#N/A,FALSE,"S"}</definedName>
    <definedName name="jhgf" localSheetId="8" hidden="1">{"MONA",#N/A,FALSE,"S"}</definedName>
    <definedName name="jhgf" localSheetId="10" hidden="1">{"MONA",#N/A,FALSE,"S"}</definedName>
    <definedName name="jhgf" hidden="1">{"MONA",#N/A,FALSE,"S"}</definedName>
    <definedName name="jhhhg" localSheetId="4" hidden="1">'[5]Time series'!#REF!</definedName>
    <definedName name="jhhhg" localSheetId="14" hidden="1">'[5]Time series'!#REF!</definedName>
    <definedName name="jhhhg" localSheetId="5" hidden="1">'[5]Time series'!#REF!</definedName>
    <definedName name="jhhhg" hidden="1">'[5]Time series'!#REF!</definedName>
    <definedName name="jj" localSheetId="7" hidden="1">{"Riqfin97",#N/A,FALSE,"Tran";"Riqfinpro",#N/A,FALSE,"Tran"}</definedName>
    <definedName name="jj" localSheetId="8" hidden="1">{"Riqfin97",#N/A,FALSE,"Tran";"Riqfinpro",#N/A,FALSE,"Tran"}</definedName>
    <definedName name="jj" localSheetId="10" hidden="1">{"Riqfin97",#N/A,FALSE,"Tran";"Riqfinpro",#N/A,FALSE,"Tran"}</definedName>
    <definedName name="jj" localSheetId="1" hidden="1">{"Riqfin97",#N/A,FALSE,"Tran";"Riqfinpro",#N/A,FALSE,"Tran"}</definedName>
    <definedName name="jj" localSheetId="3" hidden="1">{"Riqfin97",#N/A,FALSE,"Tran";"Riqfinpro",#N/A,FALSE,"Tran"}</definedName>
    <definedName name="jj" hidden="1">{"Riqfin97",#N/A,FALSE,"Tran";"Riqfinpro",#N/A,FALSE,"Tran"}</definedName>
    <definedName name="jjj" localSheetId="4" hidden="1">[51]M!#REF!</definedName>
    <definedName name="jjj" localSheetId="14" hidden="1">[51]M!#REF!</definedName>
    <definedName name="jjj" localSheetId="5" hidden="1">[51]M!#REF!</definedName>
    <definedName name="jjj" hidden="1">[51]M!#REF!</definedName>
    <definedName name="jjjjjj" localSheetId="4" hidden="1">'[45]J(Priv.Cap)'!#REF!</definedName>
    <definedName name="jjjjjj" localSheetId="14" hidden="1">'[45]J(Priv.Cap)'!#REF!</definedName>
    <definedName name="jjjjjj" localSheetId="5" hidden="1">'[45]J(Priv.Cap)'!#REF!</definedName>
    <definedName name="jjjjjj" hidden="1">'[45]J(Priv.Cap)'!#REF!</definedName>
    <definedName name="kapr16" localSheetId="4">[52]splatnosti!#REF!</definedName>
    <definedName name="kapr16" localSheetId="14">[52]splatnosti!#REF!</definedName>
    <definedName name="kapr16" localSheetId="5">[52]splatnosti!#REF!</definedName>
    <definedName name="kapr16">[52]splatnosti!#REF!</definedName>
    <definedName name="kapr17" localSheetId="4">[52]splatnosti!#REF!</definedName>
    <definedName name="kapr17" localSheetId="14">[52]splatnosti!#REF!</definedName>
    <definedName name="kapr17" localSheetId="5">[52]splatnosti!#REF!</definedName>
    <definedName name="kapr17">[52]splatnosti!#REF!</definedName>
    <definedName name="kapr18" localSheetId="4">[53]Ardal_splatnosti!#REF!</definedName>
    <definedName name="kapr18" localSheetId="14">[53]Ardal_splatnosti!#REF!</definedName>
    <definedName name="kapr18" localSheetId="5">[53]Ardal_splatnosti!#REF!</definedName>
    <definedName name="kapr18">[53]Ardal_splatnosti!#REF!</definedName>
    <definedName name="kapr19" localSheetId="4">[53]Ardal_splatnosti!#REF!</definedName>
    <definedName name="kapr19" localSheetId="14">[53]Ardal_splatnosti!#REF!</definedName>
    <definedName name="kapr19" localSheetId="5">[53]Ardal_splatnosti!#REF!</definedName>
    <definedName name="kapr19">[53]Ardal_splatnosti!#REF!</definedName>
    <definedName name="kapr20" localSheetId="4">[53]Ardal_splatnosti!#REF!</definedName>
    <definedName name="kapr20" localSheetId="14">[53]Ardal_splatnosti!#REF!</definedName>
    <definedName name="kapr20" localSheetId="5">[53]Ardal_splatnosti!#REF!</definedName>
    <definedName name="kapr20">[53]Ardal_splatnosti!#REF!</definedName>
    <definedName name="kapr21" localSheetId="4">[53]Ardal_splatnosti!#REF!</definedName>
    <definedName name="kapr21" localSheetId="14">[53]Ardal_splatnosti!#REF!</definedName>
    <definedName name="kapr21" localSheetId="5">[53]Ardal_splatnosti!#REF!</definedName>
    <definedName name="kapr21">[53]Ardal_splatnosti!#REF!</definedName>
    <definedName name="kaug16" localSheetId="4">[52]splatnosti!#REF!</definedName>
    <definedName name="kaug16" localSheetId="14">[52]splatnosti!#REF!</definedName>
    <definedName name="kaug16" localSheetId="5">[52]splatnosti!#REF!</definedName>
    <definedName name="kaug16">[52]splatnosti!#REF!</definedName>
    <definedName name="kaug17" localSheetId="4">[52]splatnosti!#REF!</definedName>
    <definedName name="kaug17" localSheetId="14">[52]splatnosti!#REF!</definedName>
    <definedName name="kaug17" localSheetId="5">[52]splatnosti!#REF!</definedName>
    <definedName name="kaug17">[52]splatnosti!#REF!</definedName>
    <definedName name="kaug18" localSheetId="4">[53]Ardal_splatnosti!#REF!</definedName>
    <definedName name="kaug18" localSheetId="14">[53]Ardal_splatnosti!#REF!</definedName>
    <definedName name="kaug18" localSheetId="5">[53]Ardal_splatnosti!#REF!</definedName>
    <definedName name="kaug18">[53]Ardal_splatnosti!#REF!</definedName>
    <definedName name="kaug19" localSheetId="4">[53]Ardal_splatnosti!#REF!</definedName>
    <definedName name="kaug19" localSheetId="14">[53]Ardal_splatnosti!#REF!</definedName>
    <definedName name="kaug19" localSheetId="5">[53]Ardal_splatnosti!#REF!</definedName>
    <definedName name="kaug19">[53]Ardal_splatnosti!#REF!</definedName>
    <definedName name="kaug20" localSheetId="4">[53]Ardal_splatnosti!#REF!</definedName>
    <definedName name="kaug20" localSheetId="14">[53]Ardal_splatnosti!#REF!</definedName>
    <definedName name="kaug20" localSheetId="5">[53]Ardal_splatnosti!#REF!</definedName>
    <definedName name="kaug20">[53]Ardal_splatnosti!#REF!</definedName>
    <definedName name="kaug21" localSheetId="4">[53]Ardal_splatnosti!#REF!</definedName>
    <definedName name="kaug21" localSheetId="14">[53]Ardal_splatnosti!#REF!</definedName>
    <definedName name="kaug21" localSheetId="5">[53]Ardal_splatnosti!#REF!</definedName>
    <definedName name="kaug21">[53]Ardal_splatnosti!#REF!</definedName>
    <definedName name="kdec16" localSheetId="4">[52]splatnosti!#REF!</definedName>
    <definedName name="kdec16" localSheetId="14">[52]splatnosti!#REF!</definedName>
    <definedName name="kdec16" localSheetId="5">[52]splatnosti!#REF!</definedName>
    <definedName name="kdec16">[52]splatnosti!#REF!</definedName>
    <definedName name="kdec17" localSheetId="4">[52]splatnosti!#REF!</definedName>
    <definedName name="kdec17" localSheetId="14">[52]splatnosti!#REF!</definedName>
    <definedName name="kdec17" localSheetId="5">[52]splatnosti!#REF!</definedName>
    <definedName name="kdec17">[52]splatnosti!#REF!</definedName>
    <definedName name="kdec18" localSheetId="4">[53]Ardal_splatnosti!#REF!</definedName>
    <definedName name="kdec18" localSheetId="14">[53]Ardal_splatnosti!#REF!</definedName>
    <definedName name="kdec18" localSheetId="5">[53]Ardal_splatnosti!#REF!</definedName>
    <definedName name="kdec18">[53]Ardal_splatnosti!#REF!</definedName>
    <definedName name="kdec19" localSheetId="4">[53]Ardal_splatnosti!#REF!</definedName>
    <definedName name="kdec19" localSheetId="14">[53]Ardal_splatnosti!#REF!</definedName>
    <definedName name="kdec19" localSheetId="5">[53]Ardal_splatnosti!#REF!</definedName>
    <definedName name="kdec19">[53]Ardal_splatnosti!#REF!</definedName>
    <definedName name="kdec20" localSheetId="4">[53]Ardal_splatnosti!#REF!</definedName>
    <definedName name="kdec20" localSheetId="14">[53]Ardal_splatnosti!#REF!</definedName>
    <definedName name="kdec20" localSheetId="5">[53]Ardal_splatnosti!#REF!</definedName>
    <definedName name="kdec20">[53]Ardal_splatnosti!#REF!</definedName>
    <definedName name="kdec21" localSheetId="4">[53]Ardal_splatnosti!#REF!</definedName>
    <definedName name="kdec21" localSheetId="14">[53]Ardal_splatnosti!#REF!</definedName>
    <definedName name="kdec21" localSheetId="5">[53]Ardal_splatnosti!#REF!</definedName>
    <definedName name="kdec21">[53]Ardal_splatnosti!#REF!</definedName>
    <definedName name="kfeb16" localSheetId="4">[52]splatnosti!#REF!</definedName>
    <definedName name="kfeb16" localSheetId="14">[52]splatnosti!#REF!</definedName>
    <definedName name="kfeb16" localSheetId="5">[52]splatnosti!#REF!</definedName>
    <definedName name="kfeb16">[52]splatnosti!#REF!</definedName>
    <definedName name="kfeb17" localSheetId="4">[52]splatnosti!#REF!</definedName>
    <definedName name="kfeb17" localSheetId="14">[52]splatnosti!#REF!</definedName>
    <definedName name="kfeb17" localSheetId="5">[52]splatnosti!#REF!</definedName>
    <definedName name="kfeb17">[52]splatnosti!#REF!</definedName>
    <definedName name="kfeb18" localSheetId="4">[53]Ardal_splatnosti!#REF!</definedName>
    <definedName name="kfeb18" localSheetId="14">[53]Ardal_splatnosti!#REF!</definedName>
    <definedName name="kfeb18" localSheetId="5">[53]Ardal_splatnosti!#REF!</definedName>
    <definedName name="kfeb18">[53]Ardal_splatnosti!#REF!</definedName>
    <definedName name="kfeb19" localSheetId="4">[53]Ardal_splatnosti!#REF!</definedName>
    <definedName name="kfeb19" localSheetId="14">[53]Ardal_splatnosti!#REF!</definedName>
    <definedName name="kfeb19" localSheetId="5">[53]Ardal_splatnosti!#REF!</definedName>
    <definedName name="kfeb19">[53]Ardal_splatnosti!#REF!</definedName>
    <definedName name="kfeb20" localSheetId="4">[53]Ardal_splatnosti!#REF!</definedName>
    <definedName name="kfeb20" localSheetId="14">[53]Ardal_splatnosti!#REF!</definedName>
    <definedName name="kfeb20" localSheetId="5">[53]Ardal_splatnosti!#REF!</definedName>
    <definedName name="kfeb20">[53]Ardal_splatnosti!#REF!</definedName>
    <definedName name="kfeb21" localSheetId="4">[53]Ardal_splatnosti!#REF!</definedName>
    <definedName name="kfeb21" localSheetId="14">[53]Ardal_splatnosti!#REF!</definedName>
    <definedName name="kfeb21" localSheetId="5">[53]Ardal_splatnosti!#REF!</definedName>
    <definedName name="kfeb21">[53]Ardal_splatnosti!#REF!</definedName>
    <definedName name="kjan19" localSheetId="4">[53]Ardal_splatnosti!#REF!</definedName>
    <definedName name="kjan19" localSheetId="14">[53]Ardal_splatnosti!#REF!</definedName>
    <definedName name="kjan19" localSheetId="5">[53]Ardal_splatnosti!#REF!</definedName>
    <definedName name="kjan19">[53]Ardal_splatnosti!#REF!</definedName>
    <definedName name="kjan20" localSheetId="4">[53]Ardal_splatnosti!#REF!</definedName>
    <definedName name="kjan20" localSheetId="14">[53]Ardal_splatnosti!#REF!</definedName>
    <definedName name="kjan20" localSheetId="5">[53]Ardal_splatnosti!#REF!</definedName>
    <definedName name="kjan20">[53]Ardal_splatnosti!#REF!</definedName>
    <definedName name="kjan21" localSheetId="4">[53]Ardal_splatnosti!#REF!</definedName>
    <definedName name="kjan21" localSheetId="14">[53]Ardal_splatnosti!#REF!</definedName>
    <definedName name="kjan21" localSheetId="5">[53]Ardal_splatnosti!#REF!</definedName>
    <definedName name="kjan21">[53]Ardal_splatnosti!#REF!</definedName>
    <definedName name="kjg" localSheetId="7" hidden="1">{#N/A,#N/A,FALSE,"SimInp1";#N/A,#N/A,FALSE,"SimInp2";#N/A,#N/A,FALSE,"SimOut1";#N/A,#N/A,FALSE,"SimOut2";#N/A,#N/A,FALSE,"SimOut3";#N/A,#N/A,FALSE,"SimOut4";#N/A,#N/A,FALSE,"SimOut5"}</definedName>
    <definedName name="kjg" localSheetId="8" hidden="1">{#N/A,#N/A,FALSE,"SimInp1";#N/A,#N/A,FALSE,"SimInp2";#N/A,#N/A,FALSE,"SimOut1";#N/A,#N/A,FALSE,"SimOut2";#N/A,#N/A,FALSE,"SimOut3";#N/A,#N/A,FALSE,"SimOut4";#N/A,#N/A,FALSE,"SimOut5"}</definedName>
    <definedName name="kjg" localSheetId="10"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7" hidden="1">{"BOP_TAB",#N/A,FALSE,"N";"MIDTERM_TAB",#N/A,FALSE,"O";"FUND_CRED",#N/A,FALSE,"P";"DEBT_TAB1",#N/A,FALSE,"Q";"DEBT_TAB2",#N/A,FALSE,"Q";"FORFIN_TAB1",#N/A,FALSE,"R";"FORFIN_TAB2",#N/A,FALSE,"R";"BOP_ANALY",#N/A,FALSE,"U"}</definedName>
    <definedName name="kjhg" localSheetId="8" hidden="1">{"BOP_TAB",#N/A,FALSE,"N";"MIDTERM_TAB",#N/A,FALSE,"O";"FUND_CRED",#N/A,FALSE,"P";"DEBT_TAB1",#N/A,FALSE,"Q";"DEBT_TAB2",#N/A,FALSE,"Q";"FORFIN_TAB1",#N/A,FALSE,"R";"FORFIN_TAB2",#N/A,FALSE,"R";"BOP_ANALY",#N/A,FALSE,"U"}</definedName>
    <definedName name="kjhg" localSheetId="10"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ul16" localSheetId="4">[52]splatnosti!#REF!</definedName>
    <definedName name="kjul16" localSheetId="14">[52]splatnosti!#REF!</definedName>
    <definedName name="kjul16" localSheetId="5">[52]splatnosti!#REF!</definedName>
    <definedName name="kjul16">[52]splatnosti!#REF!</definedName>
    <definedName name="kjul17" localSheetId="4">[52]splatnosti!#REF!</definedName>
    <definedName name="kjul17" localSheetId="14">[52]splatnosti!#REF!</definedName>
    <definedName name="kjul17" localSheetId="5">[52]splatnosti!#REF!</definedName>
    <definedName name="kjul17">[52]splatnosti!#REF!</definedName>
    <definedName name="kjul18" localSheetId="4">[53]Ardal_splatnosti!#REF!</definedName>
    <definedName name="kjul18" localSheetId="14">[53]Ardal_splatnosti!#REF!</definedName>
    <definedName name="kjul18" localSheetId="5">[53]Ardal_splatnosti!#REF!</definedName>
    <definedName name="kjul18">[53]Ardal_splatnosti!#REF!</definedName>
    <definedName name="kjul19" localSheetId="4">[53]Ardal_splatnosti!#REF!</definedName>
    <definedName name="kjul19" localSheetId="14">[53]Ardal_splatnosti!#REF!</definedName>
    <definedName name="kjul19" localSheetId="5">[53]Ardal_splatnosti!#REF!</definedName>
    <definedName name="kjul19">[53]Ardal_splatnosti!#REF!</definedName>
    <definedName name="kjul20" localSheetId="4">[53]Ardal_splatnosti!#REF!</definedName>
    <definedName name="kjul20" localSheetId="14">[53]Ardal_splatnosti!#REF!</definedName>
    <definedName name="kjul20" localSheetId="5">[53]Ardal_splatnosti!#REF!</definedName>
    <definedName name="kjul20">[53]Ardal_splatnosti!#REF!</definedName>
    <definedName name="kjul21" localSheetId="4">[53]Ardal_splatnosti!#REF!</definedName>
    <definedName name="kjul21" localSheetId="14">[53]Ardal_splatnosti!#REF!</definedName>
    <definedName name="kjul21" localSheetId="5">[53]Ardal_splatnosti!#REF!</definedName>
    <definedName name="kjul21">[53]Ardal_splatnosti!#REF!</definedName>
    <definedName name="kjun16" localSheetId="4">[52]splatnosti!#REF!</definedName>
    <definedName name="kjun16" localSheetId="14">[52]splatnosti!#REF!</definedName>
    <definedName name="kjun16" localSheetId="5">[52]splatnosti!#REF!</definedName>
    <definedName name="kjun16">[52]splatnosti!#REF!</definedName>
    <definedName name="kjun17" localSheetId="4">[52]splatnosti!#REF!</definedName>
    <definedName name="kjun17" localSheetId="14">[52]splatnosti!#REF!</definedName>
    <definedName name="kjun17" localSheetId="5">[52]splatnosti!#REF!</definedName>
    <definedName name="kjun17">[52]splatnosti!#REF!</definedName>
    <definedName name="kjun18" localSheetId="4">[53]Ardal_splatnosti!#REF!</definedName>
    <definedName name="kjun18" localSheetId="14">[53]Ardal_splatnosti!#REF!</definedName>
    <definedName name="kjun18" localSheetId="5">[53]Ardal_splatnosti!#REF!</definedName>
    <definedName name="kjun18">[53]Ardal_splatnosti!#REF!</definedName>
    <definedName name="kjun19" localSheetId="4">[53]Ardal_splatnosti!#REF!</definedName>
    <definedName name="kjun19" localSheetId="14">[53]Ardal_splatnosti!#REF!</definedName>
    <definedName name="kjun19" localSheetId="5">[53]Ardal_splatnosti!#REF!</definedName>
    <definedName name="kjun19">[53]Ardal_splatnosti!#REF!</definedName>
    <definedName name="kjun20" localSheetId="4">[53]Ardal_splatnosti!#REF!</definedName>
    <definedName name="kjun20" localSheetId="14">[53]Ardal_splatnosti!#REF!</definedName>
    <definedName name="kjun20" localSheetId="5">[53]Ardal_splatnosti!#REF!</definedName>
    <definedName name="kjun20">[53]Ardal_splatnosti!#REF!</definedName>
    <definedName name="kjun21" localSheetId="4">[53]Ardal_splatnosti!#REF!</definedName>
    <definedName name="kjun21" localSheetId="14">[53]Ardal_splatnosti!#REF!</definedName>
    <definedName name="kjun21" localSheetId="5">[53]Ardal_splatnosti!#REF!</definedName>
    <definedName name="kjun21">[53]Ardal_splatnosti!#REF!</definedName>
    <definedName name="kk" localSheetId="7" hidden="1">{"Tab1",#N/A,FALSE,"P";"Tab2",#N/A,FALSE,"P"}</definedName>
    <definedName name="kk" localSheetId="8" hidden="1">{"Tab1",#N/A,FALSE,"P";"Tab2",#N/A,FALSE,"P"}</definedName>
    <definedName name="kk" localSheetId="10" hidden="1">{"Tab1",#N/A,FALSE,"P";"Tab2",#N/A,FALSE,"P"}</definedName>
    <definedName name="kk" localSheetId="1" hidden="1">{"Tab1",#N/A,FALSE,"P";"Tab2",#N/A,FALSE,"P"}</definedName>
    <definedName name="kk" localSheetId="3" hidden="1">{"Tab1",#N/A,FALSE,"P";"Tab2",#N/A,FALSE,"P"}</definedName>
    <definedName name="kk" hidden="1">{"Tab1",#N/A,FALSE,"P";"Tab2",#N/A,FALSE,"P"}</definedName>
    <definedName name="kkk" localSheetId="7" hidden="1">{"Tab1",#N/A,FALSE,"P";"Tab2",#N/A,FALSE,"P"}</definedName>
    <definedName name="kkk" localSheetId="8" hidden="1">{"Tab1",#N/A,FALSE,"P";"Tab2",#N/A,FALSE,"P"}</definedName>
    <definedName name="kkk" localSheetId="10" hidden="1">{"Tab1",#N/A,FALSE,"P";"Tab2",#N/A,FALSE,"P"}</definedName>
    <definedName name="kkk" localSheetId="1" hidden="1">{"Tab1",#N/A,FALSE,"P";"Tab2",#N/A,FALSE,"P"}</definedName>
    <definedName name="kkk" localSheetId="3" hidden="1">{"Tab1",#N/A,FALSE,"P";"Tab2",#N/A,FALSE,"P"}</definedName>
    <definedName name="kkk" hidden="1">{"Tab1",#N/A,FALSE,"P";"Tab2",#N/A,FALSE,"P"}</definedName>
    <definedName name="kkkk" localSheetId="4" hidden="1">[39]M!#REF!</definedName>
    <definedName name="kkkk" localSheetId="14" hidden="1">[39]M!#REF!</definedName>
    <definedName name="kkkk" localSheetId="5" hidden="1">[39]M!#REF!</definedName>
    <definedName name="kkkk" hidden="1">[39]M!#REF!</definedName>
    <definedName name="kmaj16" localSheetId="4">[52]splatnosti!#REF!</definedName>
    <definedName name="kmaj16" localSheetId="14">[52]splatnosti!#REF!</definedName>
    <definedName name="kmaj16" localSheetId="5">[52]splatnosti!#REF!</definedName>
    <definedName name="kmaj16">[52]splatnosti!#REF!</definedName>
    <definedName name="kmaj17" localSheetId="4">[52]splatnosti!#REF!</definedName>
    <definedName name="kmaj17" localSheetId="14">[52]splatnosti!#REF!</definedName>
    <definedName name="kmaj17" localSheetId="5">[52]splatnosti!#REF!</definedName>
    <definedName name="kmaj17">[52]splatnosti!#REF!</definedName>
    <definedName name="kmaj18" localSheetId="4">[53]Ardal_splatnosti!#REF!</definedName>
    <definedName name="kmaj18" localSheetId="14">[53]Ardal_splatnosti!#REF!</definedName>
    <definedName name="kmaj18" localSheetId="5">[53]Ardal_splatnosti!#REF!</definedName>
    <definedName name="kmaj18">[53]Ardal_splatnosti!#REF!</definedName>
    <definedName name="kmaj19" localSheetId="4">[53]Ardal_splatnosti!#REF!</definedName>
    <definedName name="kmaj19" localSheetId="14">[53]Ardal_splatnosti!#REF!</definedName>
    <definedName name="kmaj19" localSheetId="5">[53]Ardal_splatnosti!#REF!</definedName>
    <definedName name="kmaj19">[53]Ardal_splatnosti!#REF!</definedName>
    <definedName name="kmaj20" localSheetId="4">[53]Ardal_splatnosti!#REF!</definedName>
    <definedName name="kmaj20" localSheetId="14">[53]Ardal_splatnosti!#REF!</definedName>
    <definedName name="kmaj20" localSheetId="5">[53]Ardal_splatnosti!#REF!</definedName>
    <definedName name="kmaj20">[53]Ardal_splatnosti!#REF!</definedName>
    <definedName name="kmaj21" localSheetId="4">[53]Ardal_splatnosti!#REF!</definedName>
    <definedName name="kmaj21" localSheetId="14">[53]Ardal_splatnosti!#REF!</definedName>
    <definedName name="kmaj21" localSheetId="5">[53]Ardal_splatnosti!#REF!</definedName>
    <definedName name="kmaj21">[53]Ardal_splatnosti!#REF!</definedName>
    <definedName name="kmar16" localSheetId="4">[52]splatnosti!#REF!</definedName>
    <definedName name="kmar16" localSheetId="14">[52]splatnosti!#REF!</definedName>
    <definedName name="kmar16" localSheetId="5">[52]splatnosti!#REF!</definedName>
    <definedName name="kmar16">[52]splatnosti!#REF!</definedName>
    <definedName name="kmar17" localSheetId="4">[52]splatnosti!#REF!</definedName>
    <definedName name="kmar17" localSheetId="14">[52]splatnosti!#REF!</definedName>
    <definedName name="kmar17" localSheetId="5">[52]splatnosti!#REF!</definedName>
    <definedName name="kmar17">[52]splatnosti!#REF!</definedName>
    <definedName name="kmar18" localSheetId="4">[53]Ardal_splatnosti!#REF!</definedName>
    <definedName name="kmar18" localSheetId="14">[53]Ardal_splatnosti!#REF!</definedName>
    <definedName name="kmar18" localSheetId="5">[53]Ardal_splatnosti!#REF!</definedName>
    <definedName name="kmar18">[53]Ardal_splatnosti!#REF!</definedName>
    <definedName name="kmar19" localSheetId="4">[53]Ardal_splatnosti!#REF!</definedName>
    <definedName name="kmar19" localSheetId="14">[53]Ardal_splatnosti!#REF!</definedName>
    <definedName name="kmar19" localSheetId="5">[53]Ardal_splatnosti!#REF!</definedName>
    <definedName name="kmar19">[53]Ardal_splatnosti!#REF!</definedName>
    <definedName name="kmar20" localSheetId="4">[53]Ardal_splatnosti!#REF!</definedName>
    <definedName name="kmar20" localSheetId="14">[53]Ardal_splatnosti!#REF!</definedName>
    <definedName name="kmar20" localSheetId="5">[53]Ardal_splatnosti!#REF!</definedName>
    <definedName name="kmar20">[53]Ardal_splatnosti!#REF!</definedName>
    <definedName name="kmar21" localSheetId="4">[53]Ardal_splatnosti!#REF!</definedName>
    <definedName name="kmar21" localSheetId="14">[53]Ardal_splatnosti!#REF!</definedName>
    <definedName name="kmar21" localSheetId="5">[53]Ardal_splatnosti!#REF!</definedName>
    <definedName name="kmar21">[53]Ardal_splatnosti!#REF!</definedName>
    <definedName name="knov16" localSheetId="4">[52]splatnosti!#REF!</definedName>
    <definedName name="knov16" localSheetId="14">[52]splatnosti!#REF!</definedName>
    <definedName name="knov16" localSheetId="5">[52]splatnosti!#REF!</definedName>
    <definedName name="knov16">[52]splatnosti!#REF!</definedName>
    <definedName name="knov17" localSheetId="4">[52]splatnosti!#REF!</definedName>
    <definedName name="knov17" localSheetId="14">[52]splatnosti!#REF!</definedName>
    <definedName name="knov17" localSheetId="5">[52]splatnosti!#REF!</definedName>
    <definedName name="knov17">[52]splatnosti!#REF!</definedName>
    <definedName name="knov18" localSheetId="4">[53]Ardal_splatnosti!#REF!</definedName>
    <definedName name="knov18" localSheetId="14">[53]Ardal_splatnosti!#REF!</definedName>
    <definedName name="knov18" localSheetId="5">[53]Ardal_splatnosti!#REF!</definedName>
    <definedName name="knov18">[53]Ardal_splatnosti!#REF!</definedName>
    <definedName name="knov19" localSheetId="4">[53]Ardal_splatnosti!#REF!</definedName>
    <definedName name="knov19" localSheetId="14">[53]Ardal_splatnosti!#REF!</definedName>
    <definedName name="knov19" localSheetId="5">[53]Ardal_splatnosti!#REF!</definedName>
    <definedName name="knov19">[53]Ardal_splatnosti!#REF!</definedName>
    <definedName name="knov20" localSheetId="4">[53]Ardal_splatnosti!#REF!</definedName>
    <definedName name="knov20" localSheetId="14">[53]Ardal_splatnosti!#REF!</definedName>
    <definedName name="knov20" localSheetId="5">[53]Ardal_splatnosti!#REF!</definedName>
    <definedName name="knov20">[53]Ardal_splatnosti!#REF!</definedName>
    <definedName name="knov21" localSheetId="4">[53]Ardal_splatnosti!#REF!</definedName>
    <definedName name="knov21" localSheetId="14">[53]Ardal_splatnosti!#REF!</definedName>
    <definedName name="knov21" localSheetId="5">[53]Ardal_splatnosti!#REF!</definedName>
    <definedName name="knov21">[53]Ardal_splatnosti!#REF!</definedName>
    <definedName name="kokt16" localSheetId="4">[52]splatnosti!#REF!</definedName>
    <definedName name="kokt16" localSheetId="14">[52]splatnosti!#REF!</definedName>
    <definedName name="kokt16" localSheetId="5">[52]splatnosti!#REF!</definedName>
    <definedName name="kokt16">[52]splatnosti!#REF!</definedName>
    <definedName name="kokt17" localSheetId="4">[52]splatnosti!#REF!</definedName>
    <definedName name="kokt17" localSheetId="14">[52]splatnosti!#REF!</definedName>
    <definedName name="kokt17" localSheetId="5">[52]splatnosti!#REF!</definedName>
    <definedName name="kokt17">[52]splatnosti!#REF!</definedName>
    <definedName name="kokt18" localSheetId="4">[53]Ardal_splatnosti!#REF!</definedName>
    <definedName name="kokt18" localSheetId="14">[53]Ardal_splatnosti!#REF!</definedName>
    <definedName name="kokt18" localSheetId="5">[53]Ardal_splatnosti!#REF!</definedName>
    <definedName name="kokt18">[53]Ardal_splatnosti!#REF!</definedName>
    <definedName name="kokt19" localSheetId="4">[53]Ardal_splatnosti!#REF!</definedName>
    <definedName name="kokt19" localSheetId="14">[53]Ardal_splatnosti!#REF!</definedName>
    <definedName name="kokt19" localSheetId="5">[53]Ardal_splatnosti!#REF!</definedName>
    <definedName name="kokt19">[53]Ardal_splatnosti!#REF!</definedName>
    <definedName name="kokt20" localSheetId="4">[53]Ardal_splatnosti!#REF!</definedName>
    <definedName name="kokt20" localSheetId="14">[53]Ardal_splatnosti!#REF!</definedName>
    <definedName name="kokt20" localSheetId="5">[53]Ardal_splatnosti!#REF!</definedName>
    <definedName name="kokt20">[53]Ardal_splatnosti!#REF!</definedName>
    <definedName name="kokt21" localSheetId="4">[53]Ardal_splatnosti!#REF!</definedName>
    <definedName name="kokt21" localSheetId="14">[53]Ardal_splatnosti!#REF!</definedName>
    <definedName name="kokt21" localSheetId="5">[53]Ardal_splatnosti!#REF!</definedName>
    <definedName name="kokt21">[53]Ardal_splatnosti!#REF!</definedName>
    <definedName name="Konto" localSheetId="4">#REF!</definedName>
    <definedName name="Konto" localSheetId="14">#REF!</definedName>
    <definedName name="Konto" localSheetId="5">#REF!</definedName>
    <definedName name="Konto" localSheetId="7">#REF!</definedName>
    <definedName name="Konto" localSheetId="8">#REF!</definedName>
    <definedName name="Konto" localSheetId="10">#REF!</definedName>
    <definedName name="Konto">#REF!</definedName>
    <definedName name="KSDn_2" localSheetId="7">[48]makro!$C$7</definedName>
    <definedName name="KSDn_2" localSheetId="8">[48]makro!$C$7</definedName>
    <definedName name="KSDn_2" localSheetId="10">[48]makro!$C$7</definedName>
    <definedName name="KSDn_2">[48]makro!$C$7</definedName>
    <definedName name="KSDn_2_up" localSheetId="7">[48]makro!$C$8</definedName>
    <definedName name="KSDn_2_up" localSheetId="8">[48]makro!$C$8</definedName>
    <definedName name="KSDn_2_up" localSheetId="10">[48]makro!$C$8</definedName>
    <definedName name="KSDn_2_up">[48]makro!$C$8</definedName>
    <definedName name="KSDn_2n" localSheetId="7">[48]makro!$C$29</definedName>
    <definedName name="KSDn_2n" localSheetId="8">[48]makro!$C$29</definedName>
    <definedName name="KSDn_2n" localSheetId="10">[48]makro!$C$29</definedName>
    <definedName name="KSDn_2n">[48]makro!$C$29</definedName>
    <definedName name="KSDn_2n_up" localSheetId="7">[48]makro!$C$30</definedName>
    <definedName name="KSDn_2n_up" localSheetId="8">[48]makro!$C$30</definedName>
    <definedName name="KSDn_2n_up" localSheetId="10">[48]makro!$C$30</definedName>
    <definedName name="KSDn_2n_up">[48]makro!$C$30</definedName>
    <definedName name="KSDn_3" localSheetId="7">[48]makro!$D$7</definedName>
    <definedName name="KSDn_3" localSheetId="8">[48]makro!$D$7</definedName>
    <definedName name="KSDn_3" localSheetId="10">[48]makro!$D$7</definedName>
    <definedName name="KSDn_3">[48]makro!$D$7</definedName>
    <definedName name="KSDn_3_up" localSheetId="7">[48]makro!$D$8</definedName>
    <definedName name="KSDn_3_up" localSheetId="8">[48]makro!$D$8</definedName>
    <definedName name="KSDn_3_up" localSheetId="10">[48]makro!$D$8</definedName>
    <definedName name="KSDn_3_up">[48]makro!$D$8</definedName>
    <definedName name="KSDn_3n" localSheetId="7">[48]makro!$D$29</definedName>
    <definedName name="KSDn_3n" localSheetId="8">[48]makro!$D$29</definedName>
    <definedName name="KSDn_3n" localSheetId="10">[48]makro!$D$29</definedName>
    <definedName name="KSDn_3n">[48]makro!$D$29</definedName>
    <definedName name="KSDn_3n_up" localSheetId="7">[48]makro!$D$30</definedName>
    <definedName name="KSDn_3n_up" localSheetId="8">[48]makro!$D$30</definedName>
    <definedName name="KSDn_3n_up" localSheetId="10">[48]makro!$D$30</definedName>
    <definedName name="KSDn_3n_up">[48]makro!$D$30</definedName>
    <definedName name="KSDn_4" localSheetId="7">[48]makro!$E$7</definedName>
    <definedName name="KSDn_4" localSheetId="8">[48]makro!$E$7</definedName>
    <definedName name="KSDn_4" localSheetId="10">[48]makro!$E$7</definedName>
    <definedName name="KSDn_4">[48]makro!$E$7</definedName>
    <definedName name="KSDn_4_up" localSheetId="7">[48]makro!$E$8</definedName>
    <definedName name="KSDn_4_up" localSheetId="8">[48]makro!$E$8</definedName>
    <definedName name="KSDn_4_up" localSheetId="10">[48]makro!$E$8</definedName>
    <definedName name="KSDn_4_up">[48]makro!$E$8</definedName>
    <definedName name="KSDn_4n" localSheetId="7">[48]makro!$E$29</definedName>
    <definedName name="KSDn_4n" localSheetId="8">[48]makro!$E$29</definedName>
    <definedName name="KSDn_4n" localSheetId="10">[48]makro!$E$29</definedName>
    <definedName name="KSDn_4n">[48]makro!$E$29</definedName>
    <definedName name="KSDn_4n_up" localSheetId="7">[48]makro!$E$30</definedName>
    <definedName name="KSDn_4n_up" localSheetId="8">[48]makro!$E$30</definedName>
    <definedName name="KSDn_4n_up" localSheetId="10">[48]makro!$E$30</definedName>
    <definedName name="KSDn_4n_up">[48]makro!$E$30</definedName>
    <definedName name="KSDn_5" localSheetId="7">[48]makro!$F$7</definedName>
    <definedName name="KSDn_5" localSheetId="8">[48]makro!$F$7</definedName>
    <definedName name="KSDn_5" localSheetId="10">[48]makro!$F$7</definedName>
    <definedName name="KSDn_5">[48]makro!$F$7</definedName>
    <definedName name="KSDn_5_up" localSheetId="7">[48]makro!$F$8</definedName>
    <definedName name="KSDn_5_up" localSheetId="8">[48]makro!$F$8</definedName>
    <definedName name="KSDn_5_up" localSheetId="10">[48]makro!$F$8</definedName>
    <definedName name="KSDn_5_up">[48]makro!$F$8</definedName>
    <definedName name="KSDn_5n" localSheetId="7">[48]makro!$F$29</definedName>
    <definedName name="KSDn_5n" localSheetId="8">[48]makro!$F$29</definedName>
    <definedName name="KSDn_5n" localSheetId="10">[48]makro!$F$29</definedName>
    <definedName name="KSDn_5n">[48]makro!$F$29</definedName>
    <definedName name="KSDn_5n_up" localSheetId="7">[48]makro!$F$30</definedName>
    <definedName name="KSDn_5n_up" localSheetId="8">[48]makro!$F$30</definedName>
    <definedName name="KSDn_5n_up" localSheetId="10">[48]makro!$F$30</definedName>
    <definedName name="KSDn_5n_up">[48]makro!$F$30</definedName>
    <definedName name="KSDn_6" localSheetId="7">[48]makro!$G$7</definedName>
    <definedName name="KSDn_6" localSheetId="8">[48]makro!$G$7</definedName>
    <definedName name="KSDn_6" localSheetId="10">[48]makro!$G$7</definedName>
    <definedName name="KSDn_6">[48]makro!$G$7</definedName>
    <definedName name="KSDn_6_up" localSheetId="7">[48]makro!$G$8</definedName>
    <definedName name="KSDn_6_up" localSheetId="8">[48]makro!$G$8</definedName>
    <definedName name="KSDn_6_up" localSheetId="10">[48]makro!$G$8</definedName>
    <definedName name="KSDn_6_up">[48]makro!$G$8</definedName>
    <definedName name="KSDn_6n" localSheetId="7">[48]makro!$G$29</definedName>
    <definedName name="KSDn_6n" localSheetId="8">[48]makro!$G$29</definedName>
    <definedName name="KSDn_6n" localSheetId="10">[48]makro!$G$29</definedName>
    <definedName name="KSDn_6n">[48]makro!$G$29</definedName>
    <definedName name="KSDn_6n_up" localSheetId="7">[48]makro!$G$30</definedName>
    <definedName name="KSDn_6n_up" localSheetId="8">[48]makro!$G$30</definedName>
    <definedName name="KSDn_6n_up" localSheetId="10">[48]makro!$G$30</definedName>
    <definedName name="KSDn_6n_up">[48]makro!$G$30</definedName>
    <definedName name="KSDr_2" localSheetId="7">[48]makro!$C$6</definedName>
    <definedName name="KSDr_2" localSheetId="8">[48]makro!$C$6</definedName>
    <definedName name="KSDr_2" localSheetId="10">[48]makro!$C$6</definedName>
    <definedName name="KSDr_2">[48]makro!$C$6</definedName>
    <definedName name="KSDr_2n" localSheetId="7">[48]makro!$C$28</definedName>
    <definedName name="KSDr_2n" localSheetId="8">[48]makro!$C$28</definedName>
    <definedName name="KSDr_2n" localSheetId="10">[48]makro!$C$28</definedName>
    <definedName name="KSDr_2n">[48]makro!$C$28</definedName>
    <definedName name="KSDr_3" localSheetId="7">[48]makro!$D$6</definedName>
    <definedName name="KSDr_3" localSheetId="8">[48]makro!$D$6</definedName>
    <definedName name="KSDr_3" localSheetId="10">[48]makro!$D$6</definedName>
    <definedName name="KSDr_3">[48]makro!$D$6</definedName>
    <definedName name="KSDr_3n" localSheetId="7">[48]makro!$D$28</definedName>
    <definedName name="KSDr_3n" localSheetId="8">[48]makro!$D$28</definedName>
    <definedName name="KSDr_3n" localSheetId="10">[48]makro!$D$28</definedName>
    <definedName name="KSDr_3n">[48]makro!$D$28</definedName>
    <definedName name="KSDr_4" localSheetId="7">[48]makro!$E$6</definedName>
    <definedName name="KSDr_4" localSheetId="8">[48]makro!$E$6</definedName>
    <definedName name="KSDr_4" localSheetId="10">[48]makro!$E$6</definedName>
    <definedName name="KSDr_4">[48]makro!$E$6</definedName>
    <definedName name="KSDr_4n" localSheetId="7">[48]makro!$E$28</definedName>
    <definedName name="KSDr_4n" localSheetId="8">[48]makro!$E$28</definedName>
    <definedName name="KSDr_4n" localSheetId="10">[48]makro!$E$28</definedName>
    <definedName name="KSDr_4n">[48]makro!$E$28</definedName>
    <definedName name="KSDr_5" localSheetId="7">[48]makro!$F$6</definedName>
    <definedName name="KSDr_5" localSheetId="8">[48]makro!$F$6</definedName>
    <definedName name="KSDr_5" localSheetId="10">[48]makro!$F$6</definedName>
    <definedName name="KSDr_5">[48]makro!$F$6</definedName>
    <definedName name="KSDr_5n" localSheetId="7">[48]makro!$F$28</definedName>
    <definedName name="KSDr_5n" localSheetId="8">[48]makro!$F$28</definedName>
    <definedName name="KSDr_5n" localSheetId="10">[48]makro!$F$28</definedName>
    <definedName name="KSDr_5n">[48]makro!$F$28</definedName>
    <definedName name="KSDr_6" localSheetId="7">[48]makro!$G$6</definedName>
    <definedName name="KSDr_6" localSheetId="8">[48]makro!$G$6</definedName>
    <definedName name="KSDr_6" localSheetId="10">[48]makro!$G$6</definedName>
    <definedName name="KSDr_6">[48]makro!$G$6</definedName>
    <definedName name="KSDr_6n" localSheetId="7">[48]makro!$G$28</definedName>
    <definedName name="KSDr_6n" localSheetId="8">[48]makro!$G$28</definedName>
    <definedName name="KSDr_6n" localSheetId="10">[48]makro!$G$28</definedName>
    <definedName name="KSDr_6n">[48]makro!$G$28</definedName>
    <definedName name="ksep16" localSheetId="4">[52]splatnosti!#REF!</definedName>
    <definedName name="ksep16" localSheetId="14">[52]splatnosti!#REF!</definedName>
    <definedName name="ksep16" localSheetId="5">[52]splatnosti!#REF!</definedName>
    <definedName name="ksep16">[52]splatnosti!#REF!</definedName>
    <definedName name="ksep17" localSheetId="4">[52]splatnosti!#REF!</definedName>
    <definedName name="ksep17" localSheetId="14">[52]splatnosti!#REF!</definedName>
    <definedName name="ksep17" localSheetId="5">[52]splatnosti!#REF!</definedName>
    <definedName name="ksep17">[52]splatnosti!#REF!</definedName>
    <definedName name="ksep18" localSheetId="4">[53]Ardal_splatnosti!#REF!</definedName>
    <definedName name="ksep18" localSheetId="14">[53]Ardal_splatnosti!#REF!</definedName>
    <definedName name="ksep18" localSheetId="5">[53]Ardal_splatnosti!#REF!</definedName>
    <definedName name="ksep18">[53]Ardal_splatnosti!#REF!</definedName>
    <definedName name="ksep19" localSheetId="4">[53]Ardal_splatnosti!#REF!</definedName>
    <definedName name="ksep19" localSheetId="14">[53]Ardal_splatnosti!#REF!</definedName>
    <definedName name="ksep19" localSheetId="5">[53]Ardal_splatnosti!#REF!</definedName>
    <definedName name="ksep19">[53]Ardal_splatnosti!#REF!</definedName>
    <definedName name="ksep20" localSheetId="4">[53]Ardal_splatnosti!#REF!</definedName>
    <definedName name="ksep20" localSheetId="14">[53]Ardal_splatnosti!#REF!</definedName>
    <definedName name="ksep20" localSheetId="5">[53]Ardal_splatnosti!#REF!</definedName>
    <definedName name="ksep20">[53]Ardal_splatnosti!#REF!</definedName>
    <definedName name="ksep21" localSheetId="4">[53]Ardal_splatnosti!#REF!</definedName>
    <definedName name="ksep21" localSheetId="14">[53]Ardal_splatnosti!#REF!</definedName>
    <definedName name="ksep21" localSheetId="5">[53]Ardal_splatnosti!#REF!</definedName>
    <definedName name="ksep21">[53]Ardal_splatnosti!#REF!</definedName>
    <definedName name="kumul1" localSheetId="4">#REF!</definedName>
    <definedName name="kumul1" localSheetId="14">#REF!</definedName>
    <definedName name="kumul1" localSheetId="5">#REF!</definedName>
    <definedName name="kumul1" localSheetId="7">#REF!</definedName>
    <definedName name="kumul1" localSheetId="8">#REF!</definedName>
    <definedName name="kumul1" localSheetId="10">#REF!</definedName>
    <definedName name="kumul1">#REF!</definedName>
    <definedName name="kumul2" localSheetId="4">#REF!</definedName>
    <definedName name="kumul2" localSheetId="14">#REF!</definedName>
    <definedName name="kumul2" localSheetId="5">#REF!</definedName>
    <definedName name="kumul2" localSheetId="10">#REF!</definedName>
    <definedName name="kumul2">#REF!</definedName>
    <definedName name="kvart1" localSheetId="4">#REF!</definedName>
    <definedName name="kvart1" localSheetId="14">#REF!</definedName>
    <definedName name="kvart1" localSheetId="5">#REF!</definedName>
    <definedName name="kvart1" localSheetId="6">#REF!</definedName>
    <definedName name="kvart1" localSheetId="10">#REF!</definedName>
    <definedName name="kvart1">#REF!</definedName>
    <definedName name="kvart2" localSheetId="4">#REF!</definedName>
    <definedName name="kvart2" localSheetId="14">#REF!</definedName>
    <definedName name="kvart2" localSheetId="5">#REF!</definedName>
    <definedName name="kvart2" localSheetId="10">#REF!</definedName>
    <definedName name="kvart2">#REF!</definedName>
    <definedName name="kvart3" localSheetId="4">#REF!</definedName>
    <definedName name="kvart3" localSheetId="14">#REF!</definedName>
    <definedName name="kvart3" localSheetId="5">#REF!</definedName>
    <definedName name="kvart3" localSheetId="10">#REF!</definedName>
    <definedName name="kvart3">#REF!</definedName>
    <definedName name="kvart4" localSheetId="4">#REF!</definedName>
    <definedName name="kvart4" localSheetId="14">#REF!</definedName>
    <definedName name="kvart4" localSheetId="5">#REF!</definedName>
    <definedName name="kvart4" localSheetId="10">#REF!</definedName>
    <definedName name="kvart4">#REF!</definedName>
    <definedName name="ll" localSheetId="7" hidden="1">{"Tab1",#N/A,FALSE,"P";"Tab2",#N/A,FALSE,"P"}</definedName>
    <definedName name="ll" localSheetId="8" hidden="1">{"Tab1",#N/A,FALSE,"P";"Tab2",#N/A,FALSE,"P"}</definedName>
    <definedName name="ll" localSheetId="10" hidden="1">{"Tab1",#N/A,FALSE,"P";"Tab2",#N/A,FALSE,"P"}</definedName>
    <definedName name="ll" localSheetId="1" hidden="1">{"Tab1",#N/A,FALSE,"P";"Tab2",#N/A,FALSE,"P"}</definedName>
    <definedName name="ll" localSheetId="3" hidden="1">{"Tab1",#N/A,FALSE,"P";"Tab2",#N/A,FALSE,"P"}</definedName>
    <definedName name="ll" hidden="1">{"Tab1",#N/A,FALSE,"P";"Tab2",#N/A,FALSE,"P"}</definedName>
    <definedName name="lll" localSheetId="7" hidden="1">{"Riqfin97",#N/A,FALSE,"Tran";"Riqfinpro",#N/A,FALSE,"Tran"}</definedName>
    <definedName name="lll" localSheetId="8" hidden="1">{"Riqfin97",#N/A,FALSE,"Tran";"Riqfinpro",#N/A,FALSE,"Tran"}</definedName>
    <definedName name="lll" localSheetId="10" hidden="1">{"Riqfin97",#N/A,FALSE,"Tran";"Riqfinpro",#N/A,FALSE,"Tran"}</definedName>
    <definedName name="lll" localSheetId="1" hidden="1">{"Riqfin97",#N/A,FALSE,"Tran";"Riqfinpro",#N/A,FALSE,"Tran"}</definedName>
    <definedName name="lll" localSheetId="3" hidden="1">{"Riqfin97",#N/A,FALSE,"Tran";"Riqfinpro",#N/A,FALSE,"Tran"}</definedName>
    <definedName name="lll" hidden="1">{"Riqfin97",#N/A,FALSE,"Tran";"Riqfinpro",#N/A,FALSE,"Tran"}</definedName>
    <definedName name="llll" localSheetId="4" hidden="1">[51]M!#REF!</definedName>
    <definedName name="llll" localSheetId="14" hidden="1">[51]M!#REF!</definedName>
    <definedName name="llll" localSheetId="5" hidden="1">[51]M!#REF!</definedName>
    <definedName name="llll" hidden="1">[51]M!#REF!</definedName>
    <definedName name="ls">[38]LS!$A$1:$E$65536</definedName>
    <definedName name="LUR">#N/A</definedName>
    <definedName name="Malaysia" localSheetId="4">#REF!</definedName>
    <definedName name="Malaysia" localSheetId="14">#REF!</definedName>
    <definedName name="Malaysia" localSheetId="5">#REF!</definedName>
    <definedName name="Malaysia" localSheetId="7">#REF!</definedName>
    <definedName name="Malaysia" localSheetId="8">#REF!</definedName>
    <definedName name="Malaysia" localSheetId="10">#REF!</definedName>
    <definedName name="Malaysia">#REF!</definedName>
    <definedName name="MB_2" localSheetId="7">[48]makro!$C$11</definedName>
    <definedName name="MB_2" localSheetId="8">[48]makro!$C$11</definedName>
    <definedName name="MB_2" localSheetId="10">[48]makro!$C$11</definedName>
    <definedName name="MB_2">[48]makro!$C$11</definedName>
    <definedName name="MB_2n" localSheetId="7">[48]makro!$C$33</definedName>
    <definedName name="MB_2n" localSheetId="8">[48]makro!$C$33</definedName>
    <definedName name="MB_2n" localSheetId="10">[48]makro!$C$33</definedName>
    <definedName name="MB_2n">[48]makro!$C$33</definedName>
    <definedName name="MB_3" localSheetId="7">[48]makro!$D$11</definedName>
    <definedName name="MB_3" localSheetId="8">[48]makro!$D$11</definedName>
    <definedName name="MB_3" localSheetId="10">[48]makro!$D$11</definedName>
    <definedName name="MB_3">[48]makro!$D$11</definedName>
    <definedName name="MB_3n" localSheetId="7">[48]makro!$D$33</definedName>
    <definedName name="MB_3n" localSheetId="8">[48]makro!$D$33</definedName>
    <definedName name="MB_3n" localSheetId="10">[48]makro!$D$33</definedName>
    <definedName name="MB_3n">[48]makro!$D$33</definedName>
    <definedName name="MB_4" localSheetId="7">[48]makro!$E$11</definedName>
    <definedName name="MB_4" localSheetId="8">[48]makro!$E$11</definedName>
    <definedName name="MB_4" localSheetId="10">[48]makro!$E$11</definedName>
    <definedName name="MB_4">[48]makro!$E$11</definedName>
    <definedName name="MB_4n" localSheetId="7">[48]makro!$E$33</definedName>
    <definedName name="MB_4n" localSheetId="8">[48]makro!$E$33</definedName>
    <definedName name="MB_4n" localSheetId="10">[48]makro!$E$33</definedName>
    <definedName name="MB_4n">[48]makro!$E$33</definedName>
    <definedName name="MB_5" localSheetId="7">[48]makro!$F$11</definedName>
    <definedName name="MB_5" localSheetId="8">[48]makro!$F$11</definedName>
    <definedName name="MB_5" localSheetId="10">[48]makro!$F$11</definedName>
    <definedName name="MB_5">[48]makro!$F$11</definedName>
    <definedName name="MB_5n" localSheetId="7">[48]makro!$F$33</definedName>
    <definedName name="MB_5n" localSheetId="8">[48]makro!$F$33</definedName>
    <definedName name="MB_5n" localSheetId="10">[48]makro!$F$33</definedName>
    <definedName name="MB_5n">[48]makro!$F$33</definedName>
    <definedName name="MB_6" localSheetId="7">[48]makro!$G$11</definedName>
    <definedName name="MB_6" localSheetId="8">[48]makro!$G$11</definedName>
    <definedName name="MB_6" localSheetId="10">[48]makro!$G$11</definedName>
    <definedName name="MB_6">[48]makro!$G$11</definedName>
    <definedName name="MB_6n" localSheetId="7">[48]makro!$G$33</definedName>
    <definedName name="MB_6n" localSheetId="8">[48]makro!$G$33</definedName>
    <definedName name="MB_6n" localSheetId="10">[48]makro!$G$33</definedName>
    <definedName name="MB_6n">[48]makro!$G$33</definedName>
    <definedName name="MCV">#N/A</definedName>
    <definedName name="MCV_B">#N/A</definedName>
    <definedName name="MCV_B1" localSheetId="4">'[24]WEO-BOP'!#REF!</definedName>
    <definedName name="MCV_B1" localSheetId="14">'[24]WEO-BOP'!#REF!</definedName>
    <definedName name="MCV_B1" localSheetId="5">'[24]WEO-BOP'!#REF!</definedName>
    <definedName name="MCV_B1" localSheetId="6">'[24]WEO-BOP'!#REF!</definedName>
    <definedName name="MCV_B1" localSheetId="7">'[24]WEO-BOP'!#REF!</definedName>
    <definedName name="MCV_B1" localSheetId="8">'[24]WEO-BOP'!#REF!</definedName>
    <definedName name="MCV_B1">'[24]WEO-BOP'!#REF!</definedName>
    <definedName name="MCV_D">#N/A</definedName>
    <definedName name="MCV_N">#N/A</definedName>
    <definedName name="MCV_T">#N/A</definedName>
    <definedName name="MENORES" localSheetId="4">#REF!</definedName>
    <definedName name="MENORES" localSheetId="14">#REF!</definedName>
    <definedName name="MENORES" localSheetId="5">#REF!</definedName>
    <definedName name="MENORES" localSheetId="7">#REF!</definedName>
    <definedName name="MENORES" localSheetId="8">#REF!</definedName>
    <definedName name="MENORES" localSheetId="10">#REF!</definedName>
    <definedName name="MENORES">#REF!</definedName>
    <definedName name="mesec1" localSheetId="4">#REF!</definedName>
    <definedName name="mesec1" localSheetId="14">#REF!</definedName>
    <definedName name="mesec1" localSheetId="5">#REF!</definedName>
    <definedName name="mesec1" localSheetId="10">#REF!</definedName>
    <definedName name="mesec1">#REF!</definedName>
    <definedName name="mesec2" localSheetId="4">#REF!</definedName>
    <definedName name="mesec2" localSheetId="14">#REF!</definedName>
    <definedName name="mesec2" localSheetId="5">#REF!</definedName>
    <definedName name="mesec2" localSheetId="10">#REF!</definedName>
    <definedName name="mesec2">#REF!</definedName>
    <definedName name="mf" localSheetId="7" hidden="1">{"Tab1",#N/A,FALSE,"P";"Tab2",#N/A,FALSE,"P"}</definedName>
    <definedName name="mf" localSheetId="8" hidden="1">{"Tab1",#N/A,FALSE,"P";"Tab2",#N/A,FALSE,"P"}</definedName>
    <definedName name="mf" localSheetId="10" hidden="1">{"Tab1",#N/A,FALSE,"P";"Tab2",#N/A,FALSE,"P"}</definedName>
    <definedName name="mf" localSheetId="1" hidden="1">{"Tab1",#N/A,FALSE,"P";"Tab2",#N/A,FALSE,"P"}</definedName>
    <definedName name="mf" localSheetId="3" hidden="1">{"Tab1",#N/A,FALSE,"P";"Tab2",#N/A,FALSE,"P"}</definedName>
    <definedName name="mf" hidden="1">{"Tab1",#N/A,FALSE,"P";"Tab2",#N/A,FALSE,"P"}</definedName>
    <definedName name="MFISCAL" localSheetId="4">'[3]Annual Raw Data'!#REF!</definedName>
    <definedName name="MFISCAL" localSheetId="14">'[3]Annual Raw Data'!#REF!</definedName>
    <definedName name="MFISCAL" localSheetId="5">'[3]Annual Raw Data'!#REF!</definedName>
    <definedName name="MFISCAL">'[3]Annual Raw Data'!#REF!</definedName>
    <definedName name="mflowsa" localSheetId="4">[17]!mflowsa</definedName>
    <definedName name="mflowsa" localSheetId="14">[17]!mflowsa</definedName>
    <definedName name="mflowsa" localSheetId="5">[17]!mflowsa</definedName>
    <definedName name="mflowsa">[17]!mflowsa</definedName>
    <definedName name="mflowsq" localSheetId="4">[17]!mflowsq</definedName>
    <definedName name="mflowsq" localSheetId="14">[17]!mflowsq</definedName>
    <definedName name="mflowsq" localSheetId="5">[17]!mflowsq</definedName>
    <definedName name="mflowsq">[17]!mflowsq</definedName>
    <definedName name="MICRO" localSheetId="4">#REF!</definedName>
    <definedName name="MICRO" localSheetId="14">#REF!</definedName>
    <definedName name="MICRO" localSheetId="5">#REF!</definedName>
    <definedName name="MICRO" localSheetId="7">#REF!</definedName>
    <definedName name="MICRO" localSheetId="8">#REF!</definedName>
    <definedName name="MICRO" localSheetId="10">#REF!</definedName>
    <definedName name="MICRO">#REF!</definedName>
    <definedName name="min_VZ" localSheetId="4">[26]Graf14_Graf15!#REF!</definedName>
    <definedName name="min_VZ" localSheetId="14">[26]Graf14_Graf15!#REF!</definedName>
    <definedName name="min_VZ" localSheetId="5">[26]Graf14_Graf15!#REF!</definedName>
    <definedName name="min_VZ" localSheetId="7">[26]Graf14_Graf15!#REF!</definedName>
    <definedName name="min_VZ" localSheetId="8">[26]Graf14_Graf15!#REF!</definedName>
    <definedName name="min_VZ" localSheetId="10">[26]Graf14_Graf15!#REF!</definedName>
    <definedName name="min_VZ">[26]Graf14_Graf15!#REF!</definedName>
    <definedName name="MISC3" localSheetId="4">#REF!</definedName>
    <definedName name="MISC3" localSheetId="14">#REF!</definedName>
    <definedName name="MISC3" localSheetId="5">#REF!</definedName>
    <definedName name="MISC3" localSheetId="7">#REF!</definedName>
    <definedName name="MISC3" localSheetId="8">#REF!</definedName>
    <definedName name="MISC3" localSheetId="10">#REF!</definedName>
    <definedName name="MISC3">#REF!</definedName>
    <definedName name="MISC4" localSheetId="4">[1]OUTPUT!#REF!</definedName>
    <definedName name="MISC4" localSheetId="14">[1]OUTPUT!#REF!</definedName>
    <definedName name="MISC4" localSheetId="5">[1]OUTPUT!#REF!</definedName>
    <definedName name="MISC4" localSheetId="7">[1]OUTPUT!#REF!</definedName>
    <definedName name="MISC4" localSheetId="8">[1]OUTPUT!#REF!</definedName>
    <definedName name="MISC4" localSheetId="10">[1]OUTPUT!#REF!</definedName>
    <definedName name="MISC4">[1]OUTPUT!#REF!</definedName>
    <definedName name="mmm" localSheetId="7" hidden="1">{"Riqfin97",#N/A,FALSE,"Tran";"Riqfinpro",#N/A,FALSE,"Tran"}</definedName>
    <definedName name="mmm" localSheetId="8" hidden="1">{"Riqfin97",#N/A,FALSE,"Tran";"Riqfinpro",#N/A,FALSE,"Tran"}</definedName>
    <definedName name="mmm" localSheetId="10" hidden="1">{"Riqfin97",#N/A,FALSE,"Tran";"Riqfinpro",#N/A,FALSE,"Tran"}</definedName>
    <definedName name="mmm" localSheetId="1" hidden="1">{"Riqfin97",#N/A,FALSE,"Tran";"Riqfinpro",#N/A,FALSE,"Tran"}</definedName>
    <definedName name="mmm" localSheetId="3" hidden="1">{"Riqfin97",#N/A,FALSE,"Tran";"Riqfinpro",#N/A,FALSE,"Tran"}</definedName>
    <definedName name="mmm" hidden="1">{"Riqfin97",#N/A,FALSE,"Tran";"Riqfinpro",#N/A,FALSE,"Tran"}</definedName>
    <definedName name="mmmm" localSheetId="7" hidden="1">{"Tab1",#N/A,FALSE,"P";"Tab2",#N/A,FALSE,"P"}</definedName>
    <definedName name="mmmm" localSheetId="8" hidden="1">{"Tab1",#N/A,FALSE,"P";"Tab2",#N/A,FALSE,"P"}</definedName>
    <definedName name="mmmm" localSheetId="10" hidden="1">{"Tab1",#N/A,FALSE,"P";"Tab2",#N/A,FALSE,"P"}</definedName>
    <definedName name="mmmm" localSheetId="1" hidden="1">{"Tab1",#N/A,FALSE,"P";"Tab2",#N/A,FALSE,"P"}</definedName>
    <definedName name="mmmm" localSheetId="3" hidden="1">{"Tab1",#N/A,FALSE,"P";"Tab2",#N/A,FALSE,"P"}</definedName>
    <definedName name="mmmm" hidden="1">{"Tab1",#N/A,FALSE,"P";"Tab2",#N/A,FALSE,"P"}</definedName>
    <definedName name="MON_SM" localSheetId="4">#REF!</definedName>
    <definedName name="MON_SM" localSheetId="14">#REF!</definedName>
    <definedName name="MON_SM" localSheetId="5">#REF!</definedName>
    <definedName name="MON_SM" localSheetId="7">#REF!</definedName>
    <definedName name="MON_SM" localSheetId="8">#REF!</definedName>
    <definedName name="MON_SM" localSheetId="10">#REF!</definedName>
    <definedName name="MON_SM">#REF!</definedName>
    <definedName name="MONF_SM" localSheetId="4">#REF!</definedName>
    <definedName name="MONF_SM" localSheetId="14">#REF!</definedName>
    <definedName name="MONF_SM" localSheetId="5">#REF!</definedName>
    <definedName name="MONF_SM" localSheetId="10">#REF!</definedName>
    <definedName name="MONF_SM">#REF!</definedName>
    <definedName name="MONTH">[20]REER!$D$140:$E$199</definedName>
    <definedName name="mstocksa" localSheetId="4">[17]!mstocksa</definedName>
    <definedName name="mstocksa" localSheetId="14">[17]!mstocksa</definedName>
    <definedName name="mstocksa" localSheetId="5">[17]!mstocksa</definedName>
    <definedName name="mstocksa">[17]!mstocksa</definedName>
    <definedName name="mstocksq" localSheetId="4">[17]!mstocksq</definedName>
    <definedName name="mstocksq" localSheetId="14">[17]!mstocksq</definedName>
    <definedName name="mstocksq" localSheetId="5">[17]!mstocksq</definedName>
    <definedName name="mstocksq">[17]!mstocksq</definedName>
    <definedName name="MTO" localSheetId="4">#REF!</definedName>
    <definedName name="MTO" localSheetId="14">#REF!</definedName>
    <definedName name="MTO" localSheetId="5">#REF!</definedName>
    <definedName name="MTO" localSheetId="7">#REF!</definedName>
    <definedName name="MTO" localSheetId="8">#REF!</definedName>
    <definedName name="MTO" localSheetId="10">#REF!</definedName>
    <definedName name="MTO">#REF!</definedName>
    <definedName name="Municipios" localSheetId="4">#REF!</definedName>
    <definedName name="Municipios" localSheetId="14">#REF!</definedName>
    <definedName name="Municipios" localSheetId="5">#REF!</definedName>
    <definedName name="Municipios" localSheetId="10">#REF!</definedName>
    <definedName name="Municipios">#REF!</definedName>
    <definedName name="MVZ_1.5x" localSheetId="4">[26]Graf14_Graf15!#REF!</definedName>
    <definedName name="MVZ_1.5x" localSheetId="14">[26]Graf14_Graf15!#REF!</definedName>
    <definedName name="MVZ_1.5x" localSheetId="5">[26]Graf14_Graf15!#REF!</definedName>
    <definedName name="MVZ_1.5x" localSheetId="10">[26]Graf14_Graf15!#REF!</definedName>
    <definedName name="MVZ_1.5x">[26]Graf14_Graf15!#REF!</definedName>
    <definedName name="MVZ_4x" localSheetId="4">[26]Graf14_Graf15!#REF!</definedName>
    <definedName name="MVZ_4x" localSheetId="14">[26]Graf14_Graf15!#REF!</definedName>
    <definedName name="MVZ_4x" localSheetId="5">[26]Graf14_Graf15!#REF!</definedName>
    <definedName name="MVZ_4x">[26]Graf14_Graf15!#REF!</definedName>
    <definedName name="MVZ_5x" localSheetId="4">[26]Graf14_Graf15!#REF!</definedName>
    <definedName name="MVZ_5x" localSheetId="14">[26]Graf14_Graf15!#REF!</definedName>
    <definedName name="MVZ_5x" localSheetId="5">[26]Graf14_Graf15!#REF!</definedName>
    <definedName name="MVZ_5x">[26]Graf14_Graf15!#REF!</definedName>
    <definedName name="MW" localSheetId="4">[26]Graf14_Graf15!#REF!</definedName>
    <definedName name="MW" localSheetId="14">[26]Graf14_Graf15!#REF!</definedName>
    <definedName name="MW" localSheetId="5">[26]Graf14_Graf15!#REF!</definedName>
    <definedName name="MW">[26]Graf14_Graf15!#REF!</definedName>
    <definedName name="MW_2" localSheetId="4">[26]Graf14_Graf15!#REF!</definedName>
    <definedName name="MW_2" localSheetId="14">[26]Graf14_Graf15!#REF!</definedName>
    <definedName name="MW_2" localSheetId="5">[26]Graf14_Graf15!#REF!</definedName>
    <definedName name="MW_2">[26]Graf14_Graf15!#REF!</definedName>
    <definedName name="NACTCURRENT" localSheetId="4">#REF!</definedName>
    <definedName name="NACTCURRENT" localSheetId="14">#REF!</definedName>
    <definedName name="NACTCURRENT" localSheetId="5">#REF!</definedName>
    <definedName name="NACTCURRENT" localSheetId="7">#REF!</definedName>
    <definedName name="NACTCURRENT" localSheetId="8">#REF!</definedName>
    <definedName name="NACTCURRENT" localSheetId="10">#REF!</definedName>
    <definedName name="NACTCURRENT">#REF!</definedName>
    <definedName name="nam1out" localSheetId="4">#REF!</definedName>
    <definedName name="nam1out" localSheetId="14">#REF!</definedName>
    <definedName name="nam1out" localSheetId="5">#REF!</definedName>
    <definedName name="nam1out" localSheetId="10">#REF!</definedName>
    <definedName name="nam1out">#REF!</definedName>
    <definedName name="nam2in" localSheetId="4">#REF!</definedName>
    <definedName name="nam2in" localSheetId="14">#REF!</definedName>
    <definedName name="nam2in" localSheetId="5">#REF!</definedName>
    <definedName name="nam2in" localSheetId="10">#REF!</definedName>
    <definedName name="nam2in">#REF!</definedName>
    <definedName name="nam2out" localSheetId="4">#REF!</definedName>
    <definedName name="nam2out" localSheetId="14">#REF!</definedName>
    <definedName name="nam2out" localSheetId="5">#REF!</definedName>
    <definedName name="nam2out" localSheetId="10">#REF!</definedName>
    <definedName name="nam2out">#REF!</definedName>
    <definedName name="NAMB">[20]REER!$AY$143:$BB$143</definedName>
    <definedName name="namcr" localSheetId="4">'[2]Tab ann curr'!#REF!</definedName>
    <definedName name="namcr" localSheetId="14">'[2]Tab ann curr'!#REF!</definedName>
    <definedName name="namcr" localSheetId="5">'[2]Tab ann curr'!#REF!</definedName>
    <definedName name="namcr" localSheetId="7">'[2]Tab ann curr'!#REF!</definedName>
    <definedName name="namcr" localSheetId="8">'[2]Tab ann curr'!#REF!</definedName>
    <definedName name="namcr">'[2]Tab ann curr'!#REF!</definedName>
    <definedName name="namcs" localSheetId="4">'[2]Tab ann cst'!#REF!</definedName>
    <definedName name="namcs" localSheetId="14">'[2]Tab ann cst'!#REF!</definedName>
    <definedName name="namcs" localSheetId="5">'[2]Tab ann cst'!#REF!</definedName>
    <definedName name="namcs" localSheetId="7">'[2]Tab ann cst'!#REF!</definedName>
    <definedName name="namcs" localSheetId="8">'[2]Tab ann cst'!#REF!</definedName>
    <definedName name="namcs">'[2]Tab ann cst'!#REF!</definedName>
    <definedName name="name_AD">[32]Sheet1!$A$20</definedName>
    <definedName name="name_EXP">[32]Sheet1!$N$54:$N$71</definedName>
    <definedName name="name_FISC" localSheetId="4">#REF!</definedName>
    <definedName name="name_FISC" localSheetId="14">#REF!</definedName>
    <definedName name="name_FISC" localSheetId="5">#REF!</definedName>
    <definedName name="name_FISC" localSheetId="7">#REF!</definedName>
    <definedName name="name_FISC" localSheetId="8">#REF!</definedName>
    <definedName name="name_FISC" localSheetId="10">#REF!</definedName>
    <definedName name="name_FISC">#REF!</definedName>
    <definedName name="nameIntLiq" localSheetId="4">#REF!</definedName>
    <definedName name="nameIntLiq" localSheetId="14">#REF!</definedName>
    <definedName name="nameIntLiq" localSheetId="5">#REF!</definedName>
    <definedName name="nameIntLiq" localSheetId="10">#REF!</definedName>
    <definedName name="nameIntLiq">#REF!</definedName>
    <definedName name="nameMoney" localSheetId="4">#REF!</definedName>
    <definedName name="nameMoney" localSheetId="14">#REF!</definedName>
    <definedName name="nameMoney" localSheetId="5">#REF!</definedName>
    <definedName name="nameMoney" localSheetId="10">#REF!</definedName>
    <definedName name="nameMoney">#REF!</definedName>
    <definedName name="nameRATES" localSheetId="4">#REF!</definedName>
    <definedName name="nameRATES" localSheetId="14">#REF!</definedName>
    <definedName name="nameRATES" localSheetId="5">#REF!</definedName>
    <definedName name="nameRATES" localSheetId="10">#REF!</definedName>
    <definedName name="nameRATES">#REF!</definedName>
    <definedName name="nameRAWQ" localSheetId="4">'[33]Raw Data'!#REF!</definedName>
    <definedName name="nameRAWQ" localSheetId="14">'[33]Raw Data'!#REF!</definedName>
    <definedName name="nameRAWQ" localSheetId="5">'[33]Raw Data'!#REF!</definedName>
    <definedName name="nameRAWQ" localSheetId="10">'[33]Raw Data'!#REF!</definedName>
    <definedName name="nameRAWQ">'[33]Raw Data'!#REF!</definedName>
    <definedName name="nameReal" localSheetId="4">#REF!</definedName>
    <definedName name="nameReal" localSheetId="14">#REF!</definedName>
    <definedName name="nameReal" localSheetId="5">#REF!</definedName>
    <definedName name="nameReal" localSheetId="7">#REF!</definedName>
    <definedName name="nameReal" localSheetId="8">#REF!</definedName>
    <definedName name="nameReal" localSheetId="10">#REF!</definedName>
    <definedName name="nameReal">#REF!</definedName>
    <definedName name="names" localSheetId="4">#REF!</definedName>
    <definedName name="names" localSheetId="14">#REF!</definedName>
    <definedName name="names" localSheetId="5">#REF!</definedName>
    <definedName name="names" localSheetId="10">#REF!</definedName>
    <definedName name="names">#REF!</definedName>
    <definedName name="NAMES_fidr_r" localSheetId="4">[31]monthly!#REF!</definedName>
    <definedName name="NAMES_fidr_r" localSheetId="14">[31]monthly!#REF!</definedName>
    <definedName name="NAMES_fidr_r" localSheetId="5">[31]monthly!#REF!</definedName>
    <definedName name="NAMES_fidr_r" localSheetId="10">[31]monthly!#REF!</definedName>
    <definedName name="NAMES_fidr_r">[31]monthly!#REF!</definedName>
    <definedName name="names_figb_r" localSheetId="4">[31]monthly!#REF!</definedName>
    <definedName name="names_figb_r" localSheetId="14">[31]monthly!#REF!</definedName>
    <definedName name="names_figb_r" localSheetId="5">[31]monthly!#REF!</definedName>
    <definedName name="names_figb_r">[31]monthly!#REF!</definedName>
    <definedName name="names_w" localSheetId="4">#REF!</definedName>
    <definedName name="names_w" localSheetId="14">#REF!</definedName>
    <definedName name="names_w" localSheetId="5">#REF!</definedName>
    <definedName name="names_w" localSheetId="7">#REF!</definedName>
    <definedName name="names_w" localSheetId="8">#REF!</definedName>
    <definedName name="names_w" localSheetId="10">#REF!</definedName>
    <definedName name="names_w">#REF!</definedName>
    <definedName name="names1in" localSheetId="4">#REF!</definedName>
    <definedName name="names1in" localSheetId="14">#REF!</definedName>
    <definedName name="names1in" localSheetId="5">#REF!</definedName>
    <definedName name="names1in" localSheetId="10">#REF!</definedName>
    <definedName name="names1in">#REF!</definedName>
    <definedName name="NAMESB" localSheetId="4">#REF!</definedName>
    <definedName name="NAMESB" localSheetId="14">#REF!</definedName>
    <definedName name="NAMESB" localSheetId="5">#REF!</definedName>
    <definedName name="NAMESB" localSheetId="10">#REF!</definedName>
    <definedName name="NAMESB">#REF!</definedName>
    <definedName name="namesc" localSheetId="4">#REF!</definedName>
    <definedName name="namesc" localSheetId="14">#REF!</definedName>
    <definedName name="namesc" localSheetId="5">#REF!</definedName>
    <definedName name="namesc" localSheetId="10">#REF!</definedName>
    <definedName name="namesc">#REF!</definedName>
    <definedName name="NAMESG" localSheetId="4">#REF!</definedName>
    <definedName name="NAMESG" localSheetId="14">#REF!</definedName>
    <definedName name="NAMESG" localSheetId="5">#REF!</definedName>
    <definedName name="NAMESG" localSheetId="10">#REF!</definedName>
    <definedName name="NAMESG">#REF!</definedName>
    <definedName name="namesm" localSheetId="4">#REF!</definedName>
    <definedName name="namesm" localSheetId="14">#REF!</definedName>
    <definedName name="namesm" localSheetId="5">#REF!</definedName>
    <definedName name="namesm" localSheetId="10">#REF!</definedName>
    <definedName name="namesm">#REF!</definedName>
    <definedName name="NAMESQ" localSheetId="4">#REF!</definedName>
    <definedName name="NAMESQ" localSheetId="14">#REF!</definedName>
    <definedName name="NAMESQ" localSheetId="5">#REF!</definedName>
    <definedName name="NAMESQ" localSheetId="10">#REF!</definedName>
    <definedName name="NAMESQ">#REF!</definedName>
    <definedName name="namesr" localSheetId="4">#REF!</definedName>
    <definedName name="namesr" localSheetId="14">#REF!</definedName>
    <definedName name="namesr" localSheetId="5">#REF!</definedName>
    <definedName name="namesr" localSheetId="10">#REF!</definedName>
    <definedName name="namesr">#REF!</definedName>
    <definedName name="namestran">[27]transfer!$C$1:$O$1</definedName>
    <definedName name="namgdp" localSheetId="4">#REF!</definedName>
    <definedName name="namgdp" localSheetId="14">#REF!</definedName>
    <definedName name="namgdp" localSheetId="5">#REF!</definedName>
    <definedName name="namgdp" localSheetId="7">#REF!</definedName>
    <definedName name="namgdp" localSheetId="8">#REF!</definedName>
    <definedName name="namgdp" localSheetId="10">#REF!</definedName>
    <definedName name="namgdp">#REF!</definedName>
    <definedName name="NAMIN" localSheetId="4">#REF!</definedName>
    <definedName name="NAMIN" localSheetId="14">#REF!</definedName>
    <definedName name="NAMIN" localSheetId="5">#REF!</definedName>
    <definedName name="NAMIN" localSheetId="10">#REF!</definedName>
    <definedName name="NAMIN">#REF!</definedName>
    <definedName name="namin1">[20]REER!$F$1:$BP$1</definedName>
    <definedName name="namin2">[20]REER!$F$138:$AA$138</definedName>
    <definedName name="namind" localSheetId="4">'[2]work Q real'!#REF!</definedName>
    <definedName name="namind" localSheetId="14">'[2]work Q real'!#REF!</definedName>
    <definedName name="namind" localSheetId="5">'[2]work Q real'!#REF!</definedName>
    <definedName name="namind" localSheetId="7">'[2]work Q real'!#REF!</definedName>
    <definedName name="namind" localSheetId="8">'[2]work Q real'!#REF!</definedName>
    <definedName name="namind">'[2]work Q real'!#REF!</definedName>
    <definedName name="naminm" localSheetId="4">#REF!</definedName>
    <definedName name="naminm" localSheetId="14">#REF!</definedName>
    <definedName name="naminm" localSheetId="5">#REF!</definedName>
    <definedName name="naminm" localSheetId="7">#REF!</definedName>
    <definedName name="naminm" localSheetId="8">#REF!</definedName>
    <definedName name="naminm" localSheetId="10">#REF!</definedName>
    <definedName name="naminm">#REF!</definedName>
    <definedName name="naminq" localSheetId="4">#REF!</definedName>
    <definedName name="naminq" localSheetId="14">#REF!</definedName>
    <definedName name="naminq" localSheetId="5">#REF!</definedName>
    <definedName name="naminq" localSheetId="10">#REF!</definedName>
    <definedName name="naminq">#REF!</definedName>
    <definedName name="namm" localSheetId="4">#REF!</definedName>
    <definedName name="namm" localSheetId="14">#REF!</definedName>
    <definedName name="namm" localSheetId="5">#REF!</definedName>
    <definedName name="namm" localSheetId="10">#REF!</definedName>
    <definedName name="namm">#REF!</definedName>
    <definedName name="NAMOUT" localSheetId="4">#REF!</definedName>
    <definedName name="NAMOUT" localSheetId="14">#REF!</definedName>
    <definedName name="NAMOUT" localSheetId="5">#REF!</definedName>
    <definedName name="NAMOUT" localSheetId="10">#REF!</definedName>
    <definedName name="NAMOUT">#REF!</definedName>
    <definedName name="namout1">[20]REER!$F$2:$AA$2</definedName>
    <definedName name="namoutm" localSheetId="4">#REF!</definedName>
    <definedName name="namoutm" localSheetId="14">#REF!</definedName>
    <definedName name="namoutm" localSheetId="5">#REF!</definedName>
    <definedName name="namoutm" localSheetId="7">#REF!</definedName>
    <definedName name="namoutm" localSheetId="8">#REF!</definedName>
    <definedName name="namoutm" localSheetId="10">#REF!</definedName>
    <definedName name="namoutm">#REF!</definedName>
    <definedName name="namoutq" localSheetId="4">#REF!</definedName>
    <definedName name="namoutq" localSheetId="14">#REF!</definedName>
    <definedName name="namoutq" localSheetId="5">#REF!</definedName>
    <definedName name="namoutq" localSheetId="10">#REF!</definedName>
    <definedName name="namoutq">#REF!</definedName>
    <definedName name="namprofit">[20]C!$O$1:$Z$1</definedName>
    <definedName name="namq" localSheetId="4">#REF!</definedName>
    <definedName name="namq" localSheetId="14">#REF!</definedName>
    <definedName name="namq" localSheetId="5">#REF!</definedName>
    <definedName name="namq" localSheetId="7">#REF!</definedName>
    <definedName name="namq" localSheetId="8">#REF!</definedName>
    <definedName name="namq" localSheetId="10">#REF!</definedName>
    <definedName name="namq">#REF!</definedName>
    <definedName name="namq1" localSheetId="4">#REF!</definedName>
    <definedName name="namq1" localSheetId="14">#REF!</definedName>
    <definedName name="namq1" localSheetId="5">#REF!</definedName>
    <definedName name="namq1" localSheetId="10">#REF!</definedName>
    <definedName name="namq1">#REF!</definedName>
    <definedName name="namq2" localSheetId="4">#REF!</definedName>
    <definedName name="namq2" localSheetId="14">#REF!</definedName>
    <definedName name="namq2" localSheetId="5">#REF!</definedName>
    <definedName name="namq2" localSheetId="10">#REF!</definedName>
    <definedName name="namq2">#REF!</definedName>
    <definedName name="namreer">[20]REER!$AY$143:$BF$143</definedName>
    <definedName name="namsgdp" localSheetId="4">#REF!</definedName>
    <definedName name="namsgdp" localSheetId="14">#REF!</definedName>
    <definedName name="namsgdp" localSheetId="5">#REF!</definedName>
    <definedName name="namsgdp" localSheetId="7">#REF!</definedName>
    <definedName name="namsgdp" localSheetId="8">#REF!</definedName>
    <definedName name="namsgdp" localSheetId="10">#REF!</definedName>
    <definedName name="namsgdp">#REF!</definedName>
    <definedName name="namtin" localSheetId="4">#REF!</definedName>
    <definedName name="namtin" localSheetId="14">#REF!</definedName>
    <definedName name="namtin" localSheetId="5">#REF!</definedName>
    <definedName name="namtin" localSheetId="10">#REF!</definedName>
    <definedName name="namtin">#REF!</definedName>
    <definedName name="namtout" localSheetId="4">#REF!</definedName>
    <definedName name="namtout" localSheetId="14">#REF!</definedName>
    <definedName name="namtout" localSheetId="5">#REF!</definedName>
    <definedName name="namtout" localSheetId="10">#REF!</definedName>
    <definedName name="namtout">#REF!</definedName>
    <definedName name="namulc">[20]REER!$BI$1:$BP$1</definedName>
    <definedName name="_xlnm.Print_Titles" localSheetId="4">#REF!,#REF!</definedName>
    <definedName name="_xlnm.Print_Titles" localSheetId="14">#REF!,#REF!</definedName>
    <definedName name="_xlnm.Print_Titles" localSheetId="5">#REF!,#REF!</definedName>
    <definedName name="_xlnm.Print_Titles" localSheetId="6">#REF!,#REF!</definedName>
    <definedName name="_xlnm.Print_Titles" localSheetId="7">#REF!,#REF!</definedName>
    <definedName name="_xlnm.Print_Titles" localSheetId="8">#REF!,#REF!</definedName>
    <definedName name="_xlnm.Print_Titles" localSheetId="10">#REF!,#REF!</definedName>
    <definedName name="_xlnm.Print_Titles">#REF!,#REF!</definedName>
    <definedName name="NCG">#N/A</definedName>
    <definedName name="NCG_R">#N/A</definedName>
    <definedName name="NCP">#N/A</definedName>
    <definedName name="NCP_R">#N/A</definedName>
    <definedName name="NCZD" localSheetId="4">[26]Graf14_Graf15!#REF!</definedName>
    <definedName name="NCZD" localSheetId="14">[26]Graf14_Graf15!#REF!</definedName>
    <definedName name="NCZD" localSheetId="5">[26]Graf14_Graf15!#REF!</definedName>
    <definedName name="NCZD" localSheetId="7">[26]Graf14_Graf15!#REF!</definedName>
    <definedName name="NCZD" localSheetId="8">[26]Graf14_Graf15!#REF!</definedName>
    <definedName name="NCZD" localSheetId="10">[26]Graf14_Graf15!#REF!</definedName>
    <definedName name="NCZD">[26]Graf14_Graf15!#REF!</definedName>
    <definedName name="NCZD_2" localSheetId="4">[26]Graf14_Graf15!#REF!</definedName>
    <definedName name="NCZD_2" localSheetId="14">[26]Graf14_Graf15!#REF!</definedName>
    <definedName name="NCZD_2" localSheetId="5">[26]Graf14_Graf15!#REF!</definedName>
    <definedName name="NCZD_2" localSheetId="7">[26]Graf14_Graf15!#REF!</definedName>
    <definedName name="NCZD_2" localSheetId="8">[26]Graf14_Graf15!#REF!</definedName>
    <definedName name="NCZD_2" localSheetId="10">[26]Graf14_Graf15!#REF!</definedName>
    <definedName name="NCZD_2">[26]Graf14_Graf15!#REF!</definedName>
    <definedName name="NEER">[20]REER!$AY$144:$AY$206</definedName>
    <definedName name="NFI">#N/A</definedName>
    <definedName name="NFI_R">#N/A</definedName>
    <definedName name="NGDP">#N/A</definedName>
    <definedName name="NGDP_DG">#N/A</definedName>
    <definedName name="NGDP_R">#N/A</definedName>
    <definedName name="NGDP_RG">#N/A</definedName>
    <definedName name="NGDPA" localSheetId="4">#REF!</definedName>
    <definedName name="NGDPA" localSheetId="14">#REF!</definedName>
    <definedName name="NGDPA" localSheetId="5">#REF!</definedName>
    <definedName name="NGDPA" localSheetId="7">#REF!</definedName>
    <definedName name="NGDPA" localSheetId="8">#REF!</definedName>
    <definedName name="NGDPA" localSheetId="1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7" hidden="1">{"Riqfin97",#N/A,FALSE,"Tran";"Riqfinpro",#N/A,FALSE,"Tran"}</definedName>
    <definedName name="nn" localSheetId="8" hidden="1">{"Riqfin97",#N/A,FALSE,"Tran";"Riqfinpro",#N/A,FALSE,"Tran"}</definedName>
    <definedName name="nn" localSheetId="10" hidden="1">{"Riqfin97",#N/A,FALSE,"Tran";"Riqfinpro",#N/A,FALSE,"Tran"}</definedName>
    <definedName name="nn" localSheetId="1" hidden="1">{"Riqfin97",#N/A,FALSE,"Tran";"Riqfinpro",#N/A,FALSE,"Tran"}</definedName>
    <definedName name="nn" localSheetId="3" hidden="1">{"Riqfin97",#N/A,FALSE,"Tran";"Riqfinpro",#N/A,FALSE,"Tran"}</definedName>
    <definedName name="nn" hidden="1">{"Riqfin97",#N/A,FALSE,"Tran";"Riqfinpro",#N/A,FALSE,"Tran"}</definedName>
    <definedName name="nnn" localSheetId="7" hidden="1">{"Tab1",#N/A,FALSE,"P";"Tab2",#N/A,FALSE,"P"}</definedName>
    <definedName name="nnn" localSheetId="8" hidden="1">{"Tab1",#N/A,FALSE,"P";"Tab2",#N/A,FALSE,"P"}</definedName>
    <definedName name="nnn" localSheetId="10" hidden="1">{"Tab1",#N/A,FALSE,"P";"Tab2",#N/A,FALSE,"P"}</definedName>
    <definedName name="nnn" localSheetId="1" hidden="1">{"Tab1",#N/A,FALSE,"P";"Tab2",#N/A,FALSE,"P"}</definedName>
    <definedName name="nnn" localSheetId="3" hidden="1">{"Tab1",#N/A,FALSE,"P";"Tab2",#N/A,FALSE,"P"}</definedName>
    <definedName name="nnn" hidden="1">{"Tab1",#N/A,FALSE,"P";"Tab2",#N/A,FALSE,"P"}</definedName>
    <definedName name="NOMINAL" localSheetId="4">#REF!</definedName>
    <definedName name="NOMINAL" localSheetId="14">#REF!</definedName>
    <definedName name="NOMINAL" localSheetId="5">#REF!</definedName>
    <definedName name="NOMINAL" localSheetId="7">#REF!</definedName>
    <definedName name="NOMINAL" localSheetId="8">#REF!</definedName>
    <definedName name="NOMINAL" localSheetId="10">#REF!</definedName>
    <definedName name="NOMINAL">#REF!</definedName>
    <definedName name="NPee_2" localSheetId="4">[26]Graf14_Graf15!#REF!</definedName>
    <definedName name="NPee_2" localSheetId="14">[26]Graf14_Graf15!#REF!</definedName>
    <definedName name="NPee_2" localSheetId="5">[26]Graf14_Graf15!#REF!</definedName>
    <definedName name="NPee_2" localSheetId="7">[26]Graf14_Graf15!#REF!</definedName>
    <definedName name="NPee_2" localSheetId="8">[26]Graf14_Graf15!#REF!</definedName>
    <definedName name="NPee_2" localSheetId="10">[26]Graf14_Graf15!#REF!</definedName>
    <definedName name="NPee_2">[26]Graf14_Graf15!#REF!</definedName>
    <definedName name="NPer_2" localSheetId="4">[26]Graf14_Graf15!#REF!</definedName>
    <definedName name="NPer_2" localSheetId="14">[26]Graf14_Graf15!#REF!</definedName>
    <definedName name="NPer_2" localSheetId="5">[26]Graf14_Graf15!#REF!</definedName>
    <definedName name="NPer_2" localSheetId="7">[26]Graf14_Graf15!#REF!</definedName>
    <definedName name="NPer_2" localSheetId="8">[26]Graf14_Graf15!#REF!</definedName>
    <definedName name="NPer_2">[26]Graf14_Graf15!#REF!</definedName>
    <definedName name="NTDD_RG">[21]!NTDD_RG</definedName>
    <definedName name="NX">#N/A</definedName>
    <definedName name="NX_R">#N/A</definedName>
    <definedName name="NXG_RG">#N/A</definedName>
    <definedName name="_xlnm.Print_Area">#N/A</definedName>
    <definedName name="Odh" localSheetId="4">#REF!</definedName>
    <definedName name="Odh" localSheetId="14">#REF!</definedName>
    <definedName name="Odh" localSheetId="5">#REF!</definedName>
    <definedName name="Odh" localSheetId="7">#REF!</definedName>
    <definedName name="Odh" localSheetId="8">#REF!</definedName>
    <definedName name="Odh" localSheetId="10">#REF!</definedName>
    <definedName name="Odh">#REF!</definedName>
    <definedName name="oliu" localSheetId="7" hidden="1">{"WEO",#N/A,FALSE,"T"}</definedName>
    <definedName name="oliu" localSheetId="8" hidden="1">{"WEO",#N/A,FALSE,"T"}</definedName>
    <definedName name="oliu" localSheetId="10" hidden="1">{"WEO",#N/A,FALSE,"T"}</definedName>
    <definedName name="oliu" hidden="1">{"WEO",#N/A,FALSE,"T"}</definedName>
    <definedName name="oo" localSheetId="7" hidden="1">{"Riqfin97",#N/A,FALSE,"Tran";"Riqfinpro",#N/A,FALSE,"Tran"}</definedName>
    <definedName name="oo" localSheetId="8" hidden="1">{"Riqfin97",#N/A,FALSE,"Tran";"Riqfinpro",#N/A,FALSE,"Tran"}</definedName>
    <definedName name="oo" localSheetId="10" hidden="1">{"Riqfin97",#N/A,FALSE,"Tran";"Riqfinpro",#N/A,FALSE,"Tran"}</definedName>
    <definedName name="oo" localSheetId="1" hidden="1">{"Riqfin97",#N/A,FALSE,"Tran";"Riqfinpro",#N/A,FALSE,"Tran"}</definedName>
    <definedName name="oo" localSheetId="3" hidden="1">{"Riqfin97",#N/A,FALSE,"Tran";"Riqfinpro",#N/A,FALSE,"Tran"}</definedName>
    <definedName name="oo" hidden="1">{"Riqfin97",#N/A,FALSE,"Tran";"Riqfinpro",#N/A,FALSE,"Tran"}</definedName>
    <definedName name="ooo" localSheetId="7" hidden="1">{"Tab1",#N/A,FALSE,"P";"Tab2",#N/A,FALSE,"P"}</definedName>
    <definedName name="ooo" localSheetId="8" hidden="1">{"Tab1",#N/A,FALSE,"P";"Tab2",#N/A,FALSE,"P"}</definedName>
    <definedName name="ooo" localSheetId="10" hidden="1">{"Tab1",#N/A,FALSE,"P";"Tab2",#N/A,FALSE,"P"}</definedName>
    <definedName name="ooo" localSheetId="1" hidden="1">{"Tab1",#N/A,FALSE,"P";"Tab2",#N/A,FALSE,"P"}</definedName>
    <definedName name="ooo" localSheetId="3" hidden="1">{"Tab1",#N/A,FALSE,"P";"Tab2",#N/A,FALSE,"P"}</definedName>
    <definedName name="ooo" hidden="1">{"Tab1",#N/A,FALSE,"P";"Tab2",#N/A,FALSE,"P"}</definedName>
    <definedName name="OS2015_new" localSheetId="4">#REF!</definedName>
    <definedName name="OS2015_new" localSheetId="14">#REF!</definedName>
    <definedName name="OS2015_new" localSheetId="5">#REF!</definedName>
    <definedName name="OS2015_new" localSheetId="6">#REF!</definedName>
    <definedName name="OS2015_new" localSheetId="7">#REF!</definedName>
    <definedName name="OS2015_new" localSheetId="8">#REF!</definedName>
    <definedName name="OS2015_new" localSheetId="10">#REF!</definedName>
    <definedName name="OS2015_new">#REF!</definedName>
    <definedName name="other" localSheetId="4">#REF!</definedName>
    <definedName name="other" localSheetId="14">#REF!</definedName>
    <definedName name="other" localSheetId="5">#REF!</definedName>
    <definedName name="other" localSheetId="7">#REF!</definedName>
    <definedName name="other" localSheetId="8">#REF!</definedName>
    <definedName name="other" localSheetId="10">#REF!</definedName>
    <definedName name="other">#REF!</definedName>
    <definedName name="Otras_Residuales" localSheetId="4">#REF!</definedName>
    <definedName name="Otras_Residuales" localSheetId="14">#REF!</definedName>
    <definedName name="Otras_Residuales" localSheetId="5">#REF!</definedName>
    <definedName name="Otras_Residuales" localSheetId="10">#REF!</definedName>
    <definedName name="Otras_Residuales">#REF!</definedName>
    <definedName name="out">[54]output!$A$3:$P$128</definedName>
    <definedName name="OUTB">[27]B!$D$6:$H$6</definedName>
    <definedName name="outc">[27]C!$C$6:$D$6</definedName>
    <definedName name="output" localSheetId="4">#REF!</definedName>
    <definedName name="output" localSheetId="14">#REF!</definedName>
    <definedName name="output" localSheetId="5">#REF!</definedName>
    <definedName name="output" localSheetId="7">#REF!</definedName>
    <definedName name="output" localSheetId="8">#REF!</definedName>
    <definedName name="output" localSheetId="10">#REF!</definedName>
    <definedName name="output">#REF!</definedName>
    <definedName name="output_projections">[55]projections!$A$3:$R$108</definedName>
    <definedName name="output1">[23]output!$A$1:$J$122</definedName>
    <definedName name="p" localSheetId="7" hidden="1">{"Riqfin97",#N/A,FALSE,"Tran";"Riqfinpro",#N/A,FALSE,"Tran"}</definedName>
    <definedName name="p" localSheetId="8" hidden="1">{"Riqfin97",#N/A,FALSE,"Tran";"Riqfinpro",#N/A,FALSE,"Tran"}</definedName>
    <definedName name="p" localSheetId="10" hidden="1">{"Riqfin97",#N/A,FALSE,"Tran";"Riqfinpro",#N/A,FALSE,"Tran"}</definedName>
    <definedName name="p" localSheetId="1" hidden="1">{"Riqfin97",#N/A,FALSE,"Tran";"Riqfinpro",#N/A,FALSE,"Tran"}</definedName>
    <definedName name="p" localSheetId="3" hidden="1">{"Riqfin97",#N/A,FALSE,"Tran";"Riqfinpro",#N/A,FALSE,"Tran"}</definedName>
    <definedName name="p" hidden="1">{"Riqfin97",#N/A,FALSE,"Tran";"Riqfinpro",#N/A,FALSE,"Tran"}</definedName>
    <definedName name="Page_4" localSheetId="4">#REF!</definedName>
    <definedName name="Page_4" localSheetId="14">#REF!</definedName>
    <definedName name="Page_4" localSheetId="5">#REF!</definedName>
    <definedName name="Page_4" localSheetId="7">#REF!</definedName>
    <definedName name="Page_4" localSheetId="8">#REF!</definedName>
    <definedName name="Page_4" localSheetId="10">#REF!</definedName>
    <definedName name="Page_4">#REF!</definedName>
    <definedName name="page2" localSheetId="4">#REF!</definedName>
    <definedName name="page2" localSheetId="14">#REF!</definedName>
    <definedName name="page2" localSheetId="5">#REF!</definedName>
    <definedName name="page2" localSheetId="10">#REF!</definedName>
    <definedName name="page2">#REF!</definedName>
    <definedName name="pata" localSheetId="7" hidden="1">{"Tab1",#N/A,FALSE,"P";"Tab2",#N/A,FALSE,"P"}</definedName>
    <definedName name="pata" localSheetId="8" hidden="1">{"Tab1",#N/A,FALSE,"P";"Tab2",#N/A,FALSE,"P"}</definedName>
    <definedName name="pata" localSheetId="10" hidden="1">{"Tab1",#N/A,FALSE,"P";"Tab2",#N/A,FALSE,"P"}</definedName>
    <definedName name="pata" localSheetId="1" hidden="1">{"Tab1",#N/A,FALSE,"P";"Tab2",#N/A,FALSE,"P"}</definedName>
    <definedName name="pata" localSheetId="3" hidden="1">{"Tab1",#N/A,FALSE,"P";"Tab2",#N/A,FALSE,"P"}</definedName>
    <definedName name="pata" hidden="1">{"Tab1",#N/A,FALSE,"P";"Tab2",#N/A,FALSE,"P"}</definedName>
    <definedName name="PCPIG">#N/A</definedName>
    <definedName name="Petroecuador" localSheetId="4">#REF!</definedName>
    <definedName name="Petroecuador" localSheetId="14">#REF!</definedName>
    <definedName name="Petroecuador" localSheetId="5">#REF!</definedName>
    <definedName name="Petroecuador" localSheetId="7">#REF!</definedName>
    <definedName name="Petroecuador" localSheetId="8">#REF!</definedName>
    <definedName name="Petroecuador" localSheetId="10">#REF!</definedName>
    <definedName name="Petroecuador">#REF!</definedName>
    <definedName name="pchar00memu.m" localSheetId="4">[31]monthly!#REF!</definedName>
    <definedName name="pchar00memu.m" localSheetId="14">[31]monthly!#REF!</definedName>
    <definedName name="pchar00memu.m" localSheetId="5">[31]monthly!#REF!</definedName>
    <definedName name="pchar00memu.m" localSheetId="6">[31]monthly!#REF!</definedName>
    <definedName name="pchar00memu.m" localSheetId="7">[31]monthly!#REF!</definedName>
    <definedName name="pchar00memu.m" localSheetId="8">[31]monthly!#REF!</definedName>
    <definedName name="pchar00memu.m" localSheetId="10">[31]monthly!#REF!</definedName>
    <definedName name="pchar00memu.m">[31]monthly!#REF!</definedName>
    <definedName name="podatki" localSheetId="4">#REF!</definedName>
    <definedName name="podatki" localSheetId="14">#REF!</definedName>
    <definedName name="podatki" localSheetId="5">#REF!</definedName>
    <definedName name="podatki" localSheetId="7">#REF!</definedName>
    <definedName name="podatki" localSheetId="8">#REF!</definedName>
    <definedName name="podatki" localSheetId="10">#REF!</definedName>
    <definedName name="podatki">#REF!</definedName>
    <definedName name="Ports" localSheetId="4">#REF!</definedName>
    <definedName name="Ports" localSheetId="14">#REF!</definedName>
    <definedName name="Ports" localSheetId="5">#REF!</definedName>
    <definedName name="Ports" localSheetId="10">#REF!</definedName>
    <definedName name="Ports">#REF!</definedName>
    <definedName name="pp" localSheetId="7" hidden="1">{"Riqfin97",#N/A,FALSE,"Tran";"Riqfinpro",#N/A,FALSE,"Tran"}</definedName>
    <definedName name="pp" localSheetId="8" hidden="1">{"Riqfin97",#N/A,FALSE,"Tran";"Riqfinpro",#N/A,FALSE,"Tran"}</definedName>
    <definedName name="pp" localSheetId="10" hidden="1">{"Riqfin97",#N/A,FALSE,"Tran";"Riqfinpro",#N/A,FALSE,"Tran"}</definedName>
    <definedName name="pp" localSheetId="1" hidden="1">{"Riqfin97",#N/A,FALSE,"Tran";"Riqfinpro",#N/A,FALSE,"Tran"}</definedName>
    <definedName name="pp" localSheetId="3" hidden="1">{"Riqfin97",#N/A,FALSE,"Tran";"Riqfinpro",#N/A,FALSE,"Tran"}</definedName>
    <definedName name="pp" hidden="1">{"Riqfin97",#N/A,FALSE,"Tran";"Riqfinpro",#N/A,FALSE,"Tran"}</definedName>
    <definedName name="ppp" localSheetId="7" hidden="1">{"Riqfin97",#N/A,FALSE,"Tran";"Riqfinpro",#N/A,FALSE,"Tran"}</definedName>
    <definedName name="ppp" localSheetId="8" hidden="1">{"Riqfin97",#N/A,FALSE,"Tran";"Riqfinpro",#N/A,FALSE,"Tran"}</definedName>
    <definedName name="ppp" localSheetId="10" hidden="1">{"Riqfin97",#N/A,FALSE,"Tran";"Riqfinpro",#N/A,FALSE,"Tran"}</definedName>
    <definedName name="ppp" localSheetId="1" hidden="1">{"Riqfin97",#N/A,FALSE,"Tran";"Riqfinpro",#N/A,FALSE,"Tran"}</definedName>
    <definedName name="ppp" localSheetId="3" hidden="1">{"Riqfin97",#N/A,FALSE,"Tran";"Riqfinpro",#N/A,FALSE,"Tran"}</definedName>
    <definedName name="ppp" hidden="1">{"Riqfin97",#N/A,FALSE,"Tran";"Riqfinpro",#N/A,FALSE,"Tran"}</definedName>
    <definedName name="PPPWGT">#N/A</definedName>
    <definedName name="pri" localSheetId="4">#REF!</definedName>
    <definedName name="pri" localSheetId="14">#REF!</definedName>
    <definedName name="pri" localSheetId="5">#REF!</definedName>
    <definedName name="pri" localSheetId="7">#REF!</definedName>
    <definedName name="pri" localSheetId="8">#REF!</definedName>
    <definedName name="pri" localSheetId="10">#REF!</definedName>
    <definedName name="pri">#REF!</definedName>
    <definedName name="Print" localSheetId="4">#REF!</definedName>
    <definedName name="Print" localSheetId="14">#REF!</definedName>
    <definedName name="Print" localSheetId="5">#REF!</definedName>
    <definedName name="Print" localSheetId="10">#REF!</definedName>
    <definedName name="Print">#REF!</definedName>
    <definedName name="PRINT1" localSheetId="4">[56]Index!#REF!</definedName>
    <definedName name="PRINT1" localSheetId="14">[56]Index!#REF!</definedName>
    <definedName name="PRINT1" localSheetId="5">[56]Index!#REF!</definedName>
    <definedName name="PRINT1" localSheetId="10">[56]Index!#REF!</definedName>
    <definedName name="PRINT1">[56]Index!#REF!</definedName>
    <definedName name="PRINT2" localSheetId="4">[56]Index!#REF!</definedName>
    <definedName name="PRINT2" localSheetId="14">[56]Index!#REF!</definedName>
    <definedName name="PRINT2" localSheetId="5">[56]Index!#REF!</definedName>
    <definedName name="PRINT2">[56]Index!#REF!</definedName>
    <definedName name="PRINT3" localSheetId="4">[56]Index!#REF!</definedName>
    <definedName name="PRINT3" localSheetId="14">[56]Index!#REF!</definedName>
    <definedName name="PRINT3" localSheetId="5">[56]Index!#REF!</definedName>
    <definedName name="PRINT3">[56]Index!#REF!</definedName>
    <definedName name="PrintThis_Links">[41]Links!$A$1:$F$33</definedName>
    <definedName name="profit">[20]C!$O$1:$T$1</definedName>
    <definedName name="prorač">[57]Prorač!$A:$IV</definedName>
    <definedName name="PvNee_2" localSheetId="4">[26]Graf14_Graf15!#REF!</definedName>
    <definedName name="PvNee_2" localSheetId="14">[26]Graf14_Graf15!#REF!</definedName>
    <definedName name="PvNee_2" localSheetId="5">[26]Graf14_Graf15!#REF!</definedName>
    <definedName name="PvNee_2" localSheetId="6">[26]Graf14_Graf15!#REF!</definedName>
    <definedName name="PvNee_2" localSheetId="7">[26]Graf14_Graf15!#REF!</definedName>
    <definedName name="PvNee_2" localSheetId="8">[26]Graf14_Graf15!#REF!</definedName>
    <definedName name="PvNee_2">[26]Graf14_Graf15!#REF!</definedName>
    <definedName name="PvNer_2" localSheetId="4">[26]Graf14_Graf15!#REF!</definedName>
    <definedName name="PvNer_2" localSheetId="14">[26]Graf14_Graf15!#REF!</definedName>
    <definedName name="PvNer_2" localSheetId="5">[26]Graf14_Graf15!#REF!</definedName>
    <definedName name="PvNer_2" localSheetId="6">[26]Graf14_Graf15!#REF!</definedName>
    <definedName name="PvNer_2" localSheetId="7">[26]Graf14_Graf15!#REF!</definedName>
    <definedName name="PvNer_2" localSheetId="8">[26]Graf14_Graf15!#REF!</definedName>
    <definedName name="PvNer_2">[26]Graf14_Graf15!#REF!</definedName>
    <definedName name="Q6_" localSheetId="4">#REF!</definedName>
    <definedName name="Q6_" localSheetId="14">#REF!</definedName>
    <definedName name="Q6_" localSheetId="5">#REF!</definedName>
    <definedName name="Q6_" localSheetId="7">#REF!</definedName>
    <definedName name="Q6_" localSheetId="8">#REF!</definedName>
    <definedName name="Q6_" localSheetId="10">#REF!</definedName>
    <definedName name="Q6_">#REF!</definedName>
    <definedName name="QFISCAL" localSheetId="4">'[3]Quarterly Raw Data'!#REF!</definedName>
    <definedName name="QFISCAL" localSheetId="14">'[3]Quarterly Raw Data'!#REF!</definedName>
    <definedName name="QFISCAL" localSheetId="5">'[3]Quarterly Raw Data'!#REF!</definedName>
    <definedName name="QFISCAL" localSheetId="7">'[3]Quarterly Raw Data'!#REF!</definedName>
    <definedName name="QFISCAL" localSheetId="8">'[3]Quarterly Raw Data'!#REF!</definedName>
    <definedName name="QFISCAL" localSheetId="10">'[3]Quarterly Raw Data'!#REF!</definedName>
    <definedName name="QFISCAL">'[3]Quarterly Raw Data'!#REF!</definedName>
    <definedName name="qq" localSheetId="4" hidden="1">'[49]J(Priv.Cap)'!#REF!</definedName>
    <definedName name="qq" localSheetId="14" hidden="1">'[49]J(Priv.Cap)'!#REF!</definedName>
    <definedName name="qq" localSheetId="5" hidden="1">'[49]J(Priv.Cap)'!#REF!</definedName>
    <definedName name="qq" localSheetId="7" hidden="1">'[49]J(Priv.Cap)'!#REF!</definedName>
    <definedName name="qq" localSheetId="8" hidden="1">'[49]J(Priv.Cap)'!#REF!</definedName>
    <definedName name="qq" localSheetId="1" hidden="1">'[49]J(Priv.Cap)'!#REF!</definedName>
    <definedName name="qq" localSheetId="3" hidden="1">'[49]J(Priv.Cap)'!#REF!</definedName>
    <definedName name="qq" hidden="1">'[49]J(Priv.Cap)'!#REF!</definedName>
    <definedName name="qtab_35" localSheetId="4">'[58]i1-CA'!#REF!</definedName>
    <definedName name="qtab_35" localSheetId="14">'[58]i1-CA'!#REF!</definedName>
    <definedName name="qtab_35" localSheetId="5">'[58]i1-CA'!#REF!</definedName>
    <definedName name="qtab_35" localSheetId="6">'[58]i1-CA'!#REF!</definedName>
    <definedName name="qtab_35" localSheetId="7">'[58]i1-CA'!#REF!</definedName>
    <definedName name="qtab_35" localSheetId="8">'[58]i1-CA'!#REF!</definedName>
    <definedName name="qtab_35">'[58]i1-CA'!#REF!</definedName>
    <definedName name="QTAB7" localSheetId="4">'[3]Quarterly MacroFlow'!#REF!</definedName>
    <definedName name="QTAB7" localSheetId="14">'[3]Quarterly MacroFlow'!#REF!</definedName>
    <definedName name="QTAB7" localSheetId="5">'[3]Quarterly MacroFlow'!#REF!</definedName>
    <definedName name="QTAB7" localSheetId="6">'[3]Quarterly MacroFlow'!#REF!</definedName>
    <definedName name="QTAB7" localSheetId="7">'[3]Quarterly MacroFlow'!#REF!</definedName>
    <definedName name="QTAB7" localSheetId="8">'[3]Quarterly MacroFlow'!#REF!</definedName>
    <definedName name="QTAB7">'[3]Quarterly MacroFlow'!#REF!</definedName>
    <definedName name="QTAB7A" localSheetId="4">'[3]Quarterly MacroFlow'!#REF!</definedName>
    <definedName name="QTAB7A" localSheetId="14">'[3]Quarterly MacroFlow'!#REF!</definedName>
    <definedName name="QTAB7A" localSheetId="5">'[3]Quarterly MacroFlow'!#REF!</definedName>
    <definedName name="QTAB7A" localSheetId="6">'[3]Quarterly MacroFlow'!#REF!</definedName>
    <definedName name="QTAB7A">'[3]Quarterly MacroFlow'!#REF!</definedName>
    <definedName name="quest1" localSheetId="4">#REF!</definedName>
    <definedName name="quest1" localSheetId="14">#REF!</definedName>
    <definedName name="quest1" localSheetId="5">#REF!</definedName>
    <definedName name="quest1" localSheetId="7">#REF!</definedName>
    <definedName name="quest1" localSheetId="8">#REF!</definedName>
    <definedName name="quest1" localSheetId="10">#REF!</definedName>
    <definedName name="quest1">#REF!</definedName>
    <definedName name="quest2" localSheetId="4">#REF!</definedName>
    <definedName name="quest2" localSheetId="14">#REF!</definedName>
    <definedName name="quest2" localSheetId="5">#REF!</definedName>
    <definedName name="quest2" localSheetId="10">#REF!</definedName>
    <definedName name="quest2">#REF!</definedName>
    <definedName name="quest3" localSheetId="4">#REF!</definedName>
    <definedName name="quest3" localSheetId="14">#REF!</definedName>
    <definedName name="quest3" localSheetId="5">#REF!</definedName>
    <definedName name="quest3" localSheetId="10">#REF!</definedName>
    <definedName name="quest3">#REF!</definedName>
    <definedName name="quest4" localSheetId="4">#REF!</definedName>
    <definedName name="quest4" localSheetId="14">#REF!</definedName>
    <definedName name="quest4" localSheetId="5">#REF!</definedName>
    <definedName name="quest4" localSheetId="10">#REF!</definedName>
    <definedName name="quest4">#REF!</definedName>
    <definedName name="quest5" localSheetId="4">#REF!</definedName>
    <definedName name="quest5" localSheetId="14">#REF!</definedName>
    <definedName name="quest5" localSheetId="5">#REF!</definedName>
    <definedName name="quest5" localSheetId="10">#REF!</definedName>
    <definedName name="quest5">#REF!</definedName>
    <definedName name="quest6" localSheetId="4">#REF!</definedName>
    <definedName name="quest6" localSheetId="14">#REF!</definedName>
    <definedName name="quest6" localSheetId="5">#REF!</definedName>
    <definedName name="quest6" localSheetId="10">#REF!</definedName>
    <definedName name="quest6">#REF!</definedName>
    <definedName name="quest7" localSheetId="4">#REF!</definedName>
    <definedName name="quest7" localSheetId="14">#REF!</definedName>
    <definedName name="quest7" localSheetId="5">#REF!</definedName>
    <definedName name="quest7" localSheetId="10">#REF!</definedName>
    <definedName name="quest7">#REF!</definedName>
    <definedName name="QW" localSheetId="4">#REF!</definedName>
    <definedName name="QW" localSheetId="14">#REF!</definedName>
    <definedName name="QW" localSheetId="5">#REF!</definedName>
    <definedName name="QW" localSheetId="10">#REF!</definedName>
    <definedName name="QW">#REF!</definedName>
    <definedName name="REAL" localSheetId="4">#REF!</definedName>
    <definedName name="REAL" localSheetId="14">#REF!</definedName>
    <definedName name="REAL" localSheetId="5">#REF!</definedName>
    <definedName name="REAL" localSheetId="10">#REF!</definedName>
    <definedName name="REAL">#REF!</definedName>
    <definedName name="REALANNUAL" localSheetId="4">#REF!</definedName>
    <definedName name="REALANNUAL" localSheetId="14">#REF!</definedName>
    <definedName name="REALANNUAL" localSheetId="5">#REF!</definedName>
    <definedName name="REALANNUAL" localSheetId="10">#REF!</definedName>
    <definedName name="REALANNUAL">#REF!</definedName>
    <definedName name="realizacia">[59]Sheet1!$A$1:$I$406</definedName>
    <definedName name="realizacija">[59]Sheet1!$A$1:$I$406</definedName>
    <definedName name="REALNACT" localSheetId="4">#REF!</definedName>
    <definedName name="REALNACT" localSheetId="14">#REF!</definedName>
    <definedName name="REALNACT" localSheetId="5">#REF!</definedName>
    <definedName name="REALNACT" localSheetId="7">#REF!</definedName>
    <definedName name="REALNACT" localSheetId="8">#REF!</definedName>
    <definedName name="REALNACT" localSheetId="10">#REF!</definedName>
    <definedName name="REALNACT">#REF!</definedName>
    <definedName name="red_26" localSheetId="4">#REF!</definedName>
    <definedName name="red_26" localSheetId="14">#REF!</definedName>
    <definedName name="red_26" localSheetId="5">#REF!</definedName>
    <definedName name="red_26" localSheetId="10">#REF!</definedName>
    <definedName name="red_26">#REF!</definedName>
    <definedName name="red_33" localSheetId="4">#REF!</definedName>
    <definedName name="red_33" localSheetId="14">#REF!</definedName>
    <definedName name="red_33" localSheetId="5">#REF!</definedName>
    <definedName name="red_33" localSheetId="10">#REF!</definedName>
    <definedName name="red_33">#REF!</definedName>
    <definedName name="red_34" localSheetId="4">#REF!</definedName>
    <definedName name="red_34" localSheetId="14">#REF!</definedName>
    <definedName name="red_34" localSheetId="5">#REF!</definedName>
    <definedName name="red_34" localSheetId="10">#REF!</definedName>
    <definedName name="red_34">#REF!</definedName>
    <definedName name="red_35" localSheetId="4">#REF!</definedName>
    <definedName name="red_35" localSheetId="14">#REF!</definedName>
    <definedName name="red_35" localSheetId="5">#REF!</definedName>
    <definedName name="red_35" localSheetId="10">#REF!</definedName>
    <definedName name="red_35">#REF!</definedName>
    <definedName name="REDTbl3" localSheetId="4">#REF!</definedName>
    <definedName name="REDTbl3" localSheetId="14">#REF!</definedName>
    <definedName name="REDTbl3" localSheetId="5">#REF!</definedName>
    <definedName name="REDTbl3" localSheetId="10">#REF!</definedName>
    <definedName name="REDTbl3">#REF!</definedName>
    <definedName name="REDTbl4" localSheetId="4">#REF!</definedName>
    <definedName name="REDTbl4" localSheetId="14">#REF!</definedName>
    <definedName name="REDTbl4" localSheetId="5">#REF!</definedName>
    <definedName name="REDTbl4" localSheetId="10">#REF!</definedName>
    <definedName name="REDTbl4">#REF!</definedName>
    <definedName name="REDTbl5" localSheetId="4">#REF!</definedName>
    <definedName name="REDTbl5" localSheetId="14">#REF!</definedName>
    <definedName name="REDTbl5" localSheetId="5">#REF!</definedName>
    <definedName name="REDTbl5" localSheetId="10">#REF!</definedName>
    <definedName name="REDTbl5">#REF!</definedName>
    <definedName name="REDTbl6" localSheetId="4">#REF!</definedName>
    <definedName name="REDTbl6" localSheetId="14">#REF!</definedName>
    <definedName name="REDTbl6" localSheetId="5">#REF!</definedName>
    <definedName name="REDTbl6" localSheetId="10">#REF!</definedName>
    <definedName name="REDTbl6">#REF!</definedName>
    <definedName name="REDTbl7" localSheetId="4">#REF!</definedName>
    <definedName name="REDTbl7" localSheetId="14">#REF!</definedName>
    <definedName name="REDTbl7" localSheetId="5">#REF!</definedName>
    <definedName name="REDTbl7" localSheetId="10">#REF!</definedName>
    <definedName name="REDTbl7">#REF!</definedName>
    <definedName name="REERCPI">[20]REER!$AZ$144:$AZ$206</definedName>
    <definedName name="REERPPI">[20]REER!$BB$144:$BB$206</definedName>
    <definedName name="RefVintage">[29]readme!$B$4</definedName>
    <definedName name="REGISTERALL" localSheetId="4">#REF!</definedName>
    <definedName name="REGISTERALL" localSheetId="14">#REF!</definedName>
    <definedName name="REGISTERALL" localSheetId="5">#REF!</definedName>
    <definedName name="REGISTERALL" localSheetId="7">#REF!</definedName>
    <definedName name="REGISTERALL" localSheetId="8">#REF!</definedName>
    <definedName name="REGISTERALL" localSheetId="10">#REF!</definedName>
    <definedName name="REGISTERALL">#REF!</definedName>
    <definedName name="RFSee_2" localSheetId="4">[26]Graf14_Graf15!#REF!</definedName>
    <definedName name="RFSee_2" localSheetId="14">[26]Graf14_Graf15!#REF!</definedName>
    <definedName name="RFSee_2" localSheetId="5">[26]Graf14_Graf15!#REF!</definedName>
    <definedName name="RFSee_2" localSheetId="7">[26]Graf14_Graf15!#REF!</definedName>
    <definedName name="RFSee_2" localSheetId="8">[26]Graf14_Graf15!#REF!</definedName>
    <definedName name="RFSee_2" localSheetId="10">[26]Graf14_Graf15!#REF!</definedName>
    <definedName name="RFSee_2">[26]Graf14_Graf15!#REF!</definedName>
    <definedName name="RFSer_2" localSheetId="4">[26]Graf14_Graf15!#REF!</definedName>
    <definedName name="RFSer_2" localSheetId="14">[26]Graf14_Graf15!#REF!</definedName>
    <definedName name="RFSer_2" localSheetId="5">[26]Graf14_Graf15!#REF!</definedName>
    <definedName name="RFSer_2" localSheetId="7">[26]Graf14_Graf15!#REF!</definedName>
    <definedName name="RFSer_2" localSheetId="8">[26]Graf14_Graf15!#REF!</definedName>
    <definedName name="RFSer_2">[26]Graf14_Graf15!#REF!</definedName>
    <definedName name="RGDPA" localSheetId="4">#REF!</definedName>
    <definedName name="RGDPA" localSheetId="14">#REF!</definedName>
    <definedName name="RGDPA" localSheetId="5">#REF!</definedName>
    <definedName name="RGDPA" localSheetId="7">#REF!</definedName>
    <definedName name="RGDPA" localSheetId="8">#REF!</definedName>
    <definedName name="RGDPA" localSheetId="10">#REF!</definedName>
    <definedName name="RGDPA">#REF!</definedName>
    <definedName name="RgFdPartCsource" localSheetId="4">#REF!</definedName>
    <definedName name="RgFdPartCsource" localSheetId="14">#REF!</definedName>
    <definedName name="RgFdPartCsource" localSheetId="5">#REF!</definedName>
    <definedName name="RgFdPartCsource" localSheetId="10">#REF!</definedName>
    <definedName name="RgFdPartCsource">#REF!</definedName>
    <definedName name="RgFdPartEseries" localSheetId="4">#REF!</definedName>
    <definedName name="RgFdPartEseries" localSheetId="14">#REF!</definedName>
    <definedName name="RgFdPartEseries" localSheetId="5">#REF!</definedName>
    <definedName name="RgFdPartEseries" localSheetId="10">#REF!</definedName>
    <definedName name="RgFdPartEseries">#REF!</definedName>
    <definedName name="RgFdPartEsource" localSheetId="4">#REF!</definedName>
    <definedName name="RgFdPartEsource" localSheetId="14">#REF!</definedName>
    <definedName name="RgFdPartEsource" localSheetId="5">#REF!</definedName>
    <definedName name="RgFdPartEsource" localSheetId="10">#REF!</definedName>
    <definedName name="RgFdPartEsource">#REF!</definedName>
    <definedName name="RgFdReptCSeries" localSheetId="4">#REF!</definedName>
    <definedName name="RgFdReptCSeries" localSheetId="14">#REF!</definedName>
    <definedName name="RgFdReptCSeries" localSheetId="5">#REF!</definedName>
    <definedName name="RgFdReptCSeries" localSheetId="10">#REF!</definedName>
    <definedName name="RgFdReptCSeries">#REF!</definedName>
    <definedName name="RgFdReptCsource" localSheetId="4">#REF!</definedName>
    <definedName name="RgFdReptCsource" localSheetId="14">#REF!</definedName>
    <definedName name="RgFdReptCsource" localSheetId="5">#REF!</definedName>
    <definedName name="RgFdReptCsource" localSheetId="10">#REF!</definedName>
    <definedName name="RgFdReptCsource">#REF!</definedName>
    <definedName name="RgFdReptEseries" localSheetId="4">#REF!</definedName>
    <definedName name="RgFdReptEseries" localSheetId="14">#REF!</definedName>
    <definedName name="RgFdReptEseries" localSheetId="5">#REF!</definedName>
    <definedName name="RgFdReptEseries" localSheetId="10">#REF!</definedName>
    <definedName name="RgFdReptEseries">#REF!</definedName>
    <definedName name="RgFdReptEsource" localSheetId="4">#REF!</definedName>
    <definedName name="RgFdReptEsource" localSheetId="14">#REF!</definedName>
    <definedName name="RgFdReptEsource" localSheetId="5">#REF!</definedName>
    <definedName name="RgFdReptEsource" localSheetId="10">#REF!</definedName>
    <definedName name="RgFdReptEsource">#REF!</definedName>
    <definedName name="RgFdSAMethod" localSheetId="4">#REF!</definedName>
    <definedName name="RgFdSAMethod" localSheetId="14">#REF!</definedName>
    <definedName name="RgFdSAMethod" localSheetId="5">#REF!</definedName>
    <definedName name="RgFdSAMethod" localSheetId="10">#REF!</definedName>
    <definedName name="RgFdSAMethod">#REF!</definedName>
    <definedName name="RgFdTbBper" localSheetId="4">#REF!</definedName>
    <definedName name="RgFdTbBper" localSheetId="14">#REF!</definedName>
    <definedName name="RgFdTbBper" localSheetId="5">#REF!</definedName>
    <definedName name="RgFdTbBper" localSheetId="10">#REF!</definedName>
    <definedName name="RgFdTbBper">#REF!</definedName>
    <definedName name="RgFdTbCreate" localSheetId="4">#REF!</definedName>
    <definedName name="RgFdTbCreate" localSheetId="14">#REF!</definedName>
    <definedName name="RgFdTbCreate" localSheetId="5">#REF!</definedName>
    <definedName name="RgFdTbCreate" localSheetId="10">#REF!</definedName>
    <definedName name="RgFdTbCreate">#REF!</definedName>
    <definedName name="RgFdTbEper" localSheetId="4">#REF!</definedName>
    <definedName name="RgFdTbEper" localSheetId="14">#REF!</definedName>
    <definedName name="RgFdTbEper" localSheetId="5">#REF!</definedName>
    <definedName name="RgFdTbEper" localSheetId="10">#REF!</definedName>
    <definedName name="RgFdTbEper">#REF!</definedName>
    <definedName name="RGFdTbFoot" localSheetId="4">#REF!</definedName>
    <definedName name="RGFdTbFoot" localSheetId="14">#REF!</definedName>
    <definedName name="RGFdTbFoot" localSheetId="5">#REF!</definedName>
    <definedName name="RGFdTbFoot" localSheetId="10">#REF!</definedName>
    <definedName name="RGFdTbFoot">#REF!</definedName>
    <definedName name="RgFdTbFreq" localSheetId="4">#REF!</definedName>
    <definedName name="RgFdTbFreq" localSheetId="14">#REF!</definedName>
    <definedName name="RgFdTbFreq" localSheetId="5">#REF!</definedName>
    <definedName name="RgFdTbFreq" localSheetId="10">#REF!</definedName>
    <definedName name="RgFdTbFreq">#REF!</definedName>
    <definedName name="RgFdTbFreqVal" localSheetId="4">#REF!</definedName>
    <definedName name="RgFdTbFreqVal" localSheetId="14">#REF!</definedName>
    <definedName name="RgFdTbFreqVal" localSheetId="5">#REF!</definedName>
    <definedName name="RgFdTbFreqVal" localSheetId="10">#REF!</definedName>
    <definedName name="RgFdTbFreqVal">#REF!</definedName>
    <definedName name="RgFdTbSendto" localSheetId="4">#REF!</definedName>
    <definedName name="RgFdTbSendto" localSheetId="14">#REF!</definedName>
    <definedName name="RgFdTbSendto" localSheetId="5">#REF!</definedName>
    <definedName name="RgFdTbSendto" localSheetId="10">#REF!</definedName>
    <definedName name="RgFdTbSendto">#REF!</definedName>
    <definedName name="RgFdWgtMethod" localSheetId="4">#REF!</definedName>
    <definedName name="RgFdWgtMethod" localSheetId="14">#REF!</definedName>
    <definedName name="RgFdWgtMethod" localSheetId="5">#REF!</definedName>
    <definedName name="RgFdWgtMethod" localSheetId="10">#REF!</definedName>
    <definedName name="RgFdWgtMethod">#REF!</definedName>
    <definedName name="RGSPA" localSheetId="4">#REF!</definedName>
    <definedName name="RGSPA" localSheetId="14">#REF!</definedName>
    <definedName name="RGSPA" localSheetId="5">#REF!</definedName>
    <definedName name="RGSPA" localSheetId="10">#REF!</definedName>
    <definedName name="RGSPA">#REF!</definedName>
    <definedName name="rngBefore">[41]Main!$AB$26</definedName>
    <definedName name="rngDepartmentDrive">[41]Main!$AB$23</definedName>
    <definedName name="rngEMailAddress">[41]Main!$AB$20</definedName>
    <definedName name="rngErrorSort">[41]ErrCheck!$A$4</definedName>
    <definedName name="rngLastSave">[41]Main!$G$19</definedName>
    <definedName name="rngLastSent">[41]Main!$G$18</definedName>
    <definedName name="rngLastUpdate">[41]Links!$D$2</definedName>
    <definedName name="rngNeedsUpdate">[41]Links!$E$2</definedName>
    <definedName name="rngNews">[41]Main!$AB$27</definedName>
    <definedName name="rngQuestChecked">[41]ErrCheck!$A$3</definedName>
    <definedName name="rounding" localSheetId="4">[26]Graf14_Graf15!#REF!</definedName>
    <definedName name="rounding" localSheetId="14">[26]Graf14_Graf15!#REF!</definedName>
    <definedName name="rounding" localSheetId="5">[26]Graf14_Graf15!#REF!</definedName>
    <definedName name="rounding">[26]Graf14_Graf15!#REF!</definedName>
    <definedName name="rr" localSheetId="7" hidden="1">{"Riqfin97",#N/A,FALSE,"Tran";"Riqfinpro",#N/A,FALSE,"Tran"}</definedName>
    <definedName name="rr" localSheetId="8" hidden="1">{"Riqfin97",#N/A,FALSE,"Tran";"Riqfinpro",#N/A,FALSE,"Tran"}</definedName>
    <definedName name="rr" localSheetId="10" hidden="1">{"Riqfin97",#N/A,FALSE,"Tran";"Riqfinpro",#N/A,FALSE,"Tran"}</definedName>
    <definedName name="rr" localSheetId="1" hidden="1">{"Riqfin97",#N/A,FALSE,"Tran";"Riqfinpro",#N/A,FALSE,"Tran"}</definedName>
    <definedName name="rr" localSheetId="3" hidden="1">{"Riqfin97",#N/A,FALSE,"Tran";"Riqfinpro",#N/A,FALSE,"Tran"}</definedName>
    <definedName name="rr" hidden="1">{"Riqfin97",#N/A,FALSE,"Tran";"Riqfinpro",#N/A,FALSE,"Tran"}</definedName>
    <definedName name="rrr" localSheetId="7" hidden="1">{"Riqfin97",#N/A,FALSE,"Tran";"Riqfinpro",#N/A,FALSE,"Tran"}</definedName>
    <definedName name="rrr" localSheetId="8" hidden="1">{"Riqfin97",#N/A,FALSE,"Tran";"Riqfinpro",#N/A,FALSE,"Tran"}</definedName>
    <definedName name="rrr" localSheetId="10" hidden="1">{"Riqfin97",#N/A,FALSE,"Tran";"Riqfinpro",#N/A,FALSE,"Tran"}</definedName>
    <definedName name="rrr" localSheetId="1" hidden="1">{"Riqfin97",#N/A,FALSE,"Tran";"Riqfinpro",#N/A,FALSE,"Tran"}</definedName>
    <definedName name="rrr" localSheetId="3" hidden="1">{"Riqfin97",#N/A,FALSE,"Tran";"Riqfinpro",#N/A,FALSE,"Tran"}</definedName>
    <definedName name="rrr" hidden="1">{"Riqfin97",#N/A,FALSE,"Tran";"Riqfinpro",#N/A,FALSE,"Tran"}</definedName>
    <definedName name="RULCPPI">[20]C!$O$9:$O$71</definedName>
    <definedName name="SAPBEXrevision" hidden="1">38</definedName>
    <definedName name="SAPBEXsysID" hidden="1">"BSP"</definedName>
    <definedName name="SAPBEXwbID" hidden="1">"4GPMQGOE6GBN721YXH4DRY8ES"</definedName>
    <definedName name="sdakjkjsad" localSheetId="4" hidden="1">'[5]Time series'!#REF!</definedName>
    <definedName name="sdakjkjsad" localSheetId="14" hidden="1">'[5]Time series'!#REF!</definedName>
    <definedName name="sdakjkjsad" localSheetId="5" hidden="1">'[5]Time series'!#REF!</definedName>
    <definedName name="sdakjkjsad" localSheetId="7" hidden="1">'[5]Time series'!#REF!</definedName>
    <definedName name="sdakjkjsad" localSheetId="8" hidden="1">'[5]Time series'!#REF!</definedName>
    <definedName name="sdakjkjsad" localSheetId="10" hidden="1">'[5]Time series'!#REF!</definedName>
    <definedName name="sdakjkjsad" hidden="1">'[5]Time series'!#REF!</definedName>
    <definedName name="SECTORS" localSheetId="4">#REF!</definedName>
    <definedName name="SECTORS" localSheetId="14">#REF!</definedName>
    <definedName name="SECTORS" localSheetId="5">#REF!</definedName>
    <definedName name="SECTORS" localSheetId="7">#REF!</definedName>
    <definedName name="SECTORS" localSheetId="8">#REF!</definedName>
    <definedName name="SECTORS" localSheetId="10">#REF!</definedName>
    <definedName name="SECTORS">#REF!</definedName>
    <definedName name="seitable">'[60]Sel. Ind. Tbl'!$A$3:$G$75</definedName>
    <definedName name="sencount" hidden="1">2</definedName>
    <definedName name="SPee_2" localSheetId="4">[26]Graf14_Graf15!#REF!</definedName>
    <definedName name="SPee_2" localSheetId="14">[26]Graf14_Graf15!#REF!</definedName>
    <definedName name="SPee_2" localSheetId="5">[26]Graf14_Graf15!#REF!</definedName>
    <definedName name="SPee_2" localSheetId="7">[26]Graf14_Graf15!#REF!</definedName>
    <definedName name="SPee_2" localSheetId="8">[26]Graf14_Graf15!#REF!</definedName>
    <definedName name="SPee_2">[26]Graf14_Graf15!#REF!</definedName>
    <definedName name="SPer_2" localSheetId="4">[26]Graf14_Graf15!#REF!</definedName>
    <definedName name="SPer_2" localSheetId="14">[26]Graf14_Graf15!#REF!</definedName>
    <definedName name="SPer_2" localSheetId="5">[26]Graf14_Graf15!#REF!</definedName>
    <definedName name="SPer_2" localSheetId="7">[26]Graf14_Graf15!#REF!</definedName>
    <definedName name="SPer_2" localSheetId="8">[26]Graf14_Graf15!#REF!</definedName>
    <definedName name="SPer_2">[26]Graf14_Graf15!#REF!</definedName>
    <definedName name="SPPY15" localSheetId="4">#REF!</definedName>
    <definedName name="SPPY15" localSheetId="14">#REF!</definedName>
    <definedName name="SPPY15" localSheetId="5">#REF!</definedName>
    <definedName name="SPPY15">#REF!</definedName>
    <definedName name="SPPY16" localSheetId="4">#REF!</definedName>
    <definedName name="SPPY16" localSheetId="14">#REF!</definedName>
    <definedName name="SPPY16" localSheetId="5">#REF!</definedName>
    <definedName name="SPPY16">#REF!</definedName>
    <definedName name="SPPY17" localSheetId="4">#REF!</definedName>
    <definedName name="SPPY17" localSheetId="14">#REF!</definedName>
    <definedName name="SPPY17" localSheetId="5">#REF!</definedName>
    <definedName name="SPPY17">#REF!</definedName>
    <definedName name="SPPY18" localSheetId="4">#REF!</definedName>
    <definedName name="SPPY18" localSheetId="14">#REF!</definedName>
    <definedName name="SPPY18" localSheetId="5">#REF!</definedName>
    <definedName name="SPPY18">#REF!</definedName>
    <definedName name="SPPY19" localSheetId="4">#REF!</definedName>
    <definedName name="SPPY19" localSheetId="14">#REF!</definedName>
    <definedName name="SPPY19" localSheetId="5">#REF!</definedName>
    <definedName name="SPPY19">#REF!</definedName>
    <definedName name="SPPY20" localSheetId="4">#REF!</definedName>
    <definedName name="SPPY20" localSheetId="14">#REF!</definedName>
    <definedName name="SPPY20" localSheetId="5">#REF!</definedName>
    <definedName name="SPPY20">#REF!</definedName>
    <definedName name="SprejetiProracun" localSheetId="4">#REF!</definedName>
    <definedName name="SprejetiProracun" localSheetId="14">#REF!</definedName>
    <definedName name="SprejetiProracun" localSheetId="5">#REF!</definedName>
    <definedName name="SprejetiProracun" localSheetId="7">#REF!</definedName>
    <definedName name="SprejetiProracun" localSheetId="8">#REF!</definedName>
    <definedName name="SprejetiProracun" localSheetId="10">#REF!</definedName>
    <definedName name="SprejetiProracun">#REF!</definedName>
    <definedName name="SR_3" localSheetId="4">#REF!</definedName>
    <definedName name="SR_3" localSheetId="14">#REF!</definedName>
    <definedName name="SR_3" localSheetId="5">#REF!</definedName>
    <definedName name="SR_3" localSheetId="10">#REF!</definedName>
    <definedName name="SR_3">#REF!</definedName>
    <definedName name="SR_5" localSheetId="4">#REF!</definedName>
    <definedName name="SR_5" localSheetId="14">#REF!</definedName>
    <definedName name="SR_5" localSheetId="5">#REF!</definedName>
    <definedName name="SR_5" localSheetId="10">#REF!</definedName>
    <definedName name="SR_5">#REF!</definedName>
    <definedName name="SS">[61]IMATA!$B$45:$B$108</definedName>
    <definedName name="StatusTable">[29]readme!$A$12:$B$21</definedName>
    <definedName name="T1.13" localSheetId="4">#REF!</definedName>
    <definedName name="T1.13" localSheetId="14">#REF!</definedName>
    <definedName name="T1.13" localSheetId="5">#REF!</definedName>
    <definedName name="T1.13" localSheetId="7">#REF!</definedName>
    <definedName name="T1.13" localSheetId="8">#REF!</definedName>
    <definedName name="T1.13" localSheetId="10">#REF!</definedName>
    <definedName name="T1.13">#REF!</definedName>
    <definedName name="t2q" localSheetId="4">#REF!</definedName>
    <definedName name="t2q" localSheetId="14">#REF!</definedName>
    <definedName name="t2q" localSheetId="5">#REF!</definedName>
    <definedName name="t2q" localSheetId="10">#REF!</definedName>
    <definedName name="t2q">#REF!</definedName>
    <definedName name="TAB1A" localSheetId="4">#REF!</definedName>
    <definedName name="TAB1A" localSheetId="14">#REF!</definedName>
    <definedName name="TAB1A" localSheetId="5">#REF!</definedName>
    <definedName name="TAB1A" localSheetId="10">#REF!</definedName>
    <definedName name="TAB1A">#REF!</definedName>
    <definedName name="TAB1CK" localSheetId="4">#REF!</definedName>
    <definedName name="TAB1CK" localSheetId="14">#REF!</definedName>
    <definedName name="TAB1CK" localSheetId="5">#REF!</definedName>
    <definedName name="TAB1CK" localSheetId="10">#REF!</definedName>
    <definedName name="TAB1CK">#REF!</definedName>
    <definedName name="Tab25a" localSheetId="4">#REF!</definedName>
    <definedName name="Tab25a" localSheetId="14">#REF!</definedName>
    <definedName name="Tab25a" localSheetId="5">#REF!</definedName>
    <definedName name="Tab25a" localSheetId="10">#REF!</definedName>
    <definedName name="Tab25a">#REF!</definedName>
    <definedName name="Tab25b" localSheetId="4">#REF!</definedName>
    <definedName name="Tab25b" localSheetId="14">#REF!</definedName>
    <definedName name="Tab25b" localSheetId="5">#REF!</definedName>
    <definedName name="Tab25b" localSheetId="10">#REF!</definedName>
    <definedName name="Tab25b">#REF!</definedName>
    <definedName name="TAB2A" localSheetId="4">#REF!</definedName>
    <definedName name="TAB2A" localSheetId="14">#REF!</definedName>
    <definedName name="TAB2A" localSheetId="5">#REF!</definedName>
    <definedName name="TAB2A" localSheetId="10">#REF!</definedName>
    <definedName name="TAB2A">#REF!</definedName>
    <definedName name="TAB5A" localSheetId="4">#REF!</definedName>
    <definedName name="TAB5A" localSheetId="14">#REF!</definedName>
    <definedName name="TAB5A" localSheetId="5">#REF!</definedName>
    <definedName name="TAB5A" localSheetId="10">#REF!</definedName>
    <definedName name="TAB5A">#REF!</definedName>
    <definedName name="TAB6A" localSheetId="4">'[3]Annual Tables'!#REF!</definedName>
    <definedName name="TAB6A" localSheetId="14">'[3]Annual Tables'!#REF!</definedName>
    <definedName name="TAB6A" localSheetId="5">'[3]Annual Tables'!#REF!</definedName>
    <definedName name="TAB6A" localSheetId="10">'[3]Annual Tables'!#REF!</definedName>
    <definedName name="TAB6A">'[3]Annual Tables'!#REF!</definedName>
    <definedName name="TAB6B" localSheetId="4">'[3]Annual Tables'!#REF!</definedName>
    <definedName name="TAB6B" localSheetId="14">'[3]Annual Tables'!#REF!</definedName>
    <definedName name="TAB6B" localSheetId="5">'[3]Annual Tables'!#REF!</definedName>
    <definedName name="TAB6B" localSheetId="10">'[3]Annual Tables'!#REF!</definedName>
    <definedName name="TAB6B">'[3]Annual Tables'!#REF!</definedName>
    <definedName name="TAB6C" localSheetId="4">#REF!</definedName>
    <definedName name="TAB6C" localSheetId="14">#REF!</definedName>
    <definedName name="TAB6C" localSheetId="5">#REF!</definedName>
    <definedName name="TAB6C" localSheetId="7">#REF!</definedName>
    <definedName name="TAB6C" localSheetId="8">#REF!</definedName>
    <definedName name="TAB6C" localSheetId="10">#REF!</definedName>
    <definedName name="TAB6C">#REF!</definedName>
    <definedName name="TAB7A" localSheetId="4">#REF!</definedName>
    <definedName name="TAB7A" localSheetId="14">#REF!</definedName>
    <definedName name="TAB7A" localSheetId="5">#REF!</definedName>
    <definedName name="TAB7A" localSheetId="10">#REF!</definedName>
    <definedName name="TAB7A">#REF!</definedName>
    <definedName name="tabC1" localSheetId="4">#REF!</definedName>
    <definedName name="tabC1" localSheetId="14">#REF!</definedName>
    <definedName name="tabC1" localSheetId="5">#REF!</definedName>
    <definedName name="tabC1" localSheetId="10">#REF!</definedName>
    <definedName name="tabC1">#REF!</definedName>
    <definedName name="tabC2" localSheetId="4">#REF!</definedName>
    <definedName name="tabC2" localSheetId="14">#REF!</definedName>
    <definedName name="tabC2" localSheetId="5">#REF!</definedName>
    <definedName name="tabC2" localSheetId="10">#REF!</definedName>
    <definedName name="tabC2">#REF!</definedName>
    <definedName name="Tabela_6a" localSheetId="4">#REF!</definedName>
    <definedName name="Tabela_6a" localSheetId="14">#REF!</definedName>
    <definedName name="Tabela_6a" localSheetId="5">#REF!</definedName>
    <definedName name="Tabela_6a" localSheetId="10">#REF!</definedName>
    <definedName name="Tabela_6a">#REF!</definedName>
    <definedName name="tabela3a" localSheetId="4">'[62]Table 1'!#REF!</definedName>
    <definedName name="tabela3a" localSheetId="14">'[62]Table 1'!#REF!</definedName>
    <definedName name="tabela3a" localSheetId="5">'[62]Table 1'!#REF!</definedName>
    <definedName name="tabela3a" localSheetId="10">'[62]Table 1'!#REF!</definedName>
    <definedName name="tabela3a">'[62]Table 1'!#REF!</definedName>
    <definedName name="Tabelaxx" localSheetId="4">#REF!</definedName>
    <definedName name="Tabelaxx" localSheetId="14">#REF!</definedName>
    <definedName name="Tabelaxx" localSheetId="5">#REF!</definedName>
    <definedName name="Tabelaxx" localSheetId="7">#REF!</definedName>
    <definedName name="Tabelaxx" localSheetId="8">#REF!</definedName>
    <definedName name="Tabelaxx" localSheetId="10">#REF!</definedName>
    <definedName name="Tabelaxx">#REF!</definedName>
    <definedName name="tabF" localSheetId="4">#REF!</definedName>
    <definedName name="tabF" localSheetId="14">#REF!</definedName>
    <definedName name="tabF" localSheetId="5">#REF!</definedName>
    <definedName name="tabF" localSheetId="10">#REF!</definedName>
    <definedName name="tabF">#REF!</definedName>
    <definedName name="tabH" localSheetId="4">#REF!</definedName>
    <definedName name="tabH" localSheetId="14">#REF!</definedName>
    <definedName name="tabH" localSheetId="5">#REF!</definedName>
    <definedName name="tabH" localSheetId="10">#REF!</definedName>
    <definedName name="tabH">#REF!</definedName>
    <definedName name="tabI" localSheetId="4">#REF!</definedName>
    <definedName name="tabI" localSheetId="14">#REF!</definedName>
    <definedName name="tabI" localSheetId="5">#REF!</definedName>
    <definedName name="tabI" localSheetId="10">#REF!</definedName>
    <definedName name="tabI">#REF!</definedName>
    <definedName name="Table__47">[63]RED47!$A$1:$I$53</definedName>
    <definedName name="Table_2._Country_X___Public_Sector_Financing_1" localSheetId="4">#REF!</definedName>
    <definedName name="Table_2._Country_X___Public_Sector_Financing_1" localSheetId="14">#REF!</definedName>
    <definedName name="Table_2._Country_X___Public_Sector_Financing_1" localSheetId="5">#REF!</definedName>
    <definedName name="Table_2._Country_X___Public_Sector_Financing_1" localSheetId="7">#REF!</definedName>
    <definedName name="Table_2._Country_X___Public_Sector_Financing_1" localSheetId="8">#REF!</definedName>
    <definedName name="Table_2._Country_X___Public_Sector_Financing_1" localSheetId="10">#REF!</definedName>
    <definedName name="Table_2._Country_X___Public_Sector_Financing_1">#REF!</definedName>
    <definedName name="Table_4SR" localSheetId="4">#REF!</definedName>
    <definedName name="Table_4SR" localSheetId="14">#REF!</definedName>
    <definedName name="Table_4SR" localSheetId="5">#REF!</definedName>
    <definedName name="Table_4SR" localSheetId="10">#REF!</definedName>
    <definedName name="Table_4SR">#REF!</definedName>
    <definedName name="Table_debt">[64]Table!$A$3:$AB$73</definedName>
    <definedName name="TABLE1" localSheetId="4">#REF!</definedName>
    <definedName name="TABLE1" localSheetId="14">#REF!</definedName>
    <definedName name="TABLE1" localSheetId="5">#REF!</definedName>
    <definedName name="TABLE1" localSheetId="7">#REF!</definedName>
    <definedName name="TABLE1" localSheetId="8">#REF!</definedName>
    <definedName name="TABLE1" localSheetId="10">#REF!</definedName>
    <definedName name="TABLE1">#REF!</definedName>
    <definedName name="Table1printarea" localSheetId="4">#REF!</definedName>
    <definedName name="Table1printarea" localSheetId="14">#REF!</definedName>
    <definedName name="Table1printarea" localSheetId="5">#REF!</definedName>
    <definedName name="Table1printarea" localSheetId="10">#REF!</definedName>
    <definedName name="Table1printarea">#REF!</definedName>
    <definedName name="table30" localSheetId="4">#REF!</definedName>
    <definedName name="table30" localSheetId="14">#REF!</definedName>
    <definedName name="table30" localSheetId="5">#REF!</definedName>
    <definedName name="table30" localSheetId="10">#REF!</definedName>
    <definedName name="table30">#REF!</definedName>
    <definedName name="TABLE31" localSheetId="4">#REF!</definedName>
    <definedName name="TABLE31" localSheetId="14">#REF!</definedName>
    <definedName name="TABLE31" localSheetId="5">#REF!</definedName>
    <definedName name="TABLE31" localSheetId="10">#REF!</definedName>
    <definedName name="TABLE31">#REF!</definedName>
    <definedName name="TABLE32" localSheetId="4">#REF!</definedName>
    <definedName name="TABLE32" localSheetId="14">#REF!</definedName>
    <definedName name="TABLE32" localSheetId="5">#REF!</definedName>
    <definedName name="TABLE32" localSheetId="10">#REF!</definedName>
    <definedName name="TABLE32">#REF!</definedName>
    <definedName name="TABLE33" localSheetId="4">#REF!</definedName>
    <definedName name="TABLE33" localSheetId="14">#REF!</definedName>
    <definedName name="TABLE33" localSheetId="5">#REF!</definedName>
    <definedName name="TABLE33" localSheetId="10">#REF!</definedName>
    <definedName name="TABLE33">#REF!</definedName>
    <definedName name="TABLE4" localSheetId="4">#REF!</definedName>
    <definedName name="TABLE4" localSheetId="14">#REF!</definedName>
    <definedName name="TABLE4" localSheetId="5">#REF!</definedName>
    <definedName name="TABLE4" localSheetId="10">#REF!</definedName>
    <definedName name="TABLE4">#REF!</definedName>
    <definedName name="table6" localSheetId="4">#REF!</definedName>
    <definedName name="table6" localSheetId="14">#REF!</definedName>
    <definedName name="table6" localSheetId="5">#REF!</definedName>
    <definedName name="table6" localSheetId="10">#REF!</definedName>
    <definedName name="table6">#REF!</definedName>
    <definedName name="table9" localSheetId="4">#REF!</definedName>
    <definedName name="table9" localSheetId="14">#REF!</definedName>
    <definedName name="table9" localSheetId="5">#REF!</definedName>
    <definedName name="table9" localSheetId="10">#REF!</definedName>
    <definedName name="table9">#REF!</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ME" localSheetId="4">#REF!</definedName>
    <definedName name="TAME" localSheetId="14">#REF!</definedName>
    <definedName name="TAME" localSheetId="5">#REF!</definedName>
    <definedName name="TAME" localSheetId="6">#REF!</definedName>
    <definedName name="TAME" localSheetId="7">#REF!</definedName>
    <definedName name="TAME" localSheetId="8">#REF!</definedName>
    <definedName name="TAME" localSheetId="10">#REF!</definedName>
    <definedName name="TAME">#REF!</definedName>
    <definedName name="Tbl_GFN">[64]Table_GEF!$B$2:$T$53</definedName>
    <definedName name="tblChecks">[41]ErrCheck!$A$3:$E$5</definedName>
    <definedName name="tblLinks">[41]Links!$A$4:$F$33</definedName>
    <definedName name="TEMP" localSheetId="4">[65]Data!#REF!</definedName>
    <definedName name="TEMP" localSheetId="14">[65]Data!#REF!</definedName>
    <definedName name="TEMP" localSheetId="5">[65]Data!#REF!</definedName>
    <definedName name="TEMP" localSheetId="7">[65]Data!#REF!</definedName>
    <definedName name="TEMP" localSheetId="8">[65]Data!#REF!</definedName>
    <definedName name="TEMP">[65]Data!#REF!</definedName>
    <definedName name="tempo_kles" localSheetId="4">[26]Graf14_Graf15!#REF!</definedName>
    <definedName name="tempo_kles" localSheetId="14">[26]Graf14_Graf15!#REF!</definedName>
    <definedName name="tempo_kles" localSheetId="5">[26]Graf14_Graf15!#REF!</definedName>
    <definedName name="tempo_kles" localSheetId="7">[26]Graf14_Graf15!#REF!</definedName>
    <definedName name="tempo_kles" localSheetId="8">[26]Graf14_Graf15!#REF!</definedName>
    <definedName name="tempo_kles">[26]Graf14_Graf15!#REF!</definedName>
    <definedName name="tempo_kles_2" localSheetId="4">[26]Graf14_Graf15!#REF!</definedName>
    <definedName name="tempo_kles_2" localSheetId="14">[26]Graf14_Graf15!#REF!</definedName>
    <definedName name="tempo_kles_2" localSheetId="5">[26]Graf14_Graf15!#REF!</definedName>
    <definedName name="tempo_kles_2">[26]Graf14_Graf15!#REF!</definedName>
    <definedName name="text" localSheetId="7" hidden="1">{#N/A,#N/A,FALSE,"CB";#N/A,#N/A,FALSE,"CMB";#N/A,#N/A,FALSE,"BSYS";#N/A,#N/A,FALSE,"NBFI";#N/A,#N/A,FALSE,"FSYS"}</definedName>
    <definedName name="text" localSheetId="8" hidden="1">{#N/A,#N/A,FALSE,"CB";#N/A,#N/A,FALSE,"CMB";#N/A,#N/A,FALSE,"BSYS";#N/A,#N/A,FALSE,"NBFI";#N/A,#N/A,FALSE,"FSYS"}</definedName>
    <definedName name="text" localSheetId="10" hidden="1">{#N/A,#N/A,FALSE,"CB";#N/A,#N/A,FALSE,"CMB";#N/A,#N/A,FALSE,"BSYS";#N/A,#N/A,FALSE,"NBFI";#N/A,#N/A,FALSE,"FSYS"}</definedName>
    <definedName name="text" hidden="1">{#N/A,#N/A,FALSE,"CB";#N/A,#N/A,FALSE,"CMB";#N/A,#N/A,FALSE,"BSYS";#N/A,#N/A,FALSE,"NBFI";#N/A,#N/A,FALSE,"FSYS"}</definedName>
    <definedName name="TMG_D">[25]Q5!$E$23:$AH$23</definedName>
    <definedName name="TMGO">#N/A</definedName>
    <definedName name="TOWEO" localSheetId="4">#REF!</definedName>
    <definedName name="TOWEO" localSheetId="14">#REF!</definedName>
    <definedName name="TOWEO" localSheetId="5">#REF!</definedName>
    <definedName name="TOWEO" localSheetId="7">#REF!</definedName>
    <definedName name="TOWEO" localSheetId="8">#REF!</definedName>
    <definedName name="TOWEO" localSheetId="10">#REF!</definedName>
    <definedName name="TOWEO">#REF!</definedName>
    <definedName name="TRADE3" localSheetId="4">[1]Trade!#REF!</definedName>
    <definedName name="TRADE3" localSheetId="14">[1]Trade!#REF!</definedName>
    <definedName name="TRADE3" localSheetId="5">[1]Trade!#REF!</definedName>
    <definedName name="TRADE3" localSheetId="6">[1]Trade!#REF!</definedName>
    <definedName name="TRADE3" localSheetId="7">[1]Trade!#REF!</definedName>
    <definedName name="TRADE3" localSheetId="8">[1]Trade!#REF!</definedName>
    <definedName name="TRADE3" localSheetId="10">[1]Trade!#REF!</definedName>
    <definedName name="TRADE3">[1]Trade!#REF!</definedName>
    <definedName name="trans" localSheetId="4">#REF!</definedName>
    <definedName name="trans" localSheetId="14">#REF!</definedName>
    <definedName name="trans" localSheetId="5">#REF!</definedName>
    <definedName name="trans" localSheetId="7">#REF!</definedName>
    <definedName name="trans" localSheetId="8">#REF!</definedName>
    <definedName name="trans" localSheetId="10">#REF!</definedName>
    <definedName name="trans">#REF!</definedName>
    <definedName name="Transfer_check" localSheetId="4">#REF!</definedName>
    <definedName name="Transfer_check" localSheetId="14">#REF!</definedName>
    <definedName name="Transfer_check" localSheetId="5">#REF!</definedName>
    <definedName name="Transfer_check" localSheetId="10">#REF!</definedName>
    <definedName name="Transfer_check">#REF!</definedName>
    <definedName name="TRANSNAVE" localSheetId="4">#REF!</definedName>
    <definedName name="TRANSNAVE" localSheetId="14">#REF!</definedName>
    <definedName name="TRANSNAVE" localSheetId="5">#REF!</definedName>
    <definedName name="TRANSNAVE" localSheetId="10">#REF!</definedName>
    <definedName name="TRANSNAVE">#REF!</definedName>
    <definedName name="tt" localSheetId="7" hidden="1">{"Tab1",#N/A,FALSE,"P";"Tab2",#N/A,FALSE,"P"}</definedName>
    <definedName name="tt" localSheetId="8" hidden="1">{"Tab1",#N/A,FALSE,"P";"Tab2",#N/A,FALSE,"P"}</definedName>
    <definedName name="tt" localSheetId="10" hidden="1">{"Tab1",#N/A,FALSE,"P";"Tab2",#N/A,FALSE,"P"}</definedName>
    <definedName name="tt" localSheetId="1" hidden="1">{"Tab1",#N/A,FALSE,"P";"Tab2",#N/A,FALSE,"P"}</definedName>
    <definedName name="tt" localSheetId="3" hidden="1">{"Tab1",#N/A,FALSE,"P";"Tab2",#N/A,FALSE,"P"}</definedName>
    <definedName name="tt" hidden="1">{"Tab1",#N/A,FALSE,"P";"Tab2",#N/A,FALSE,"P"}</definedName>
    <definedName name="ttt" localSheetId="7" hidden="1">{"Tab1",#N/A,FALSE,"P";"Tab2",#N/A,FALSE,"P"}</definedName>
    <definedName name="ttt" localSheetId="8" hidden="1">{"Tab1",#N/A,FALSE,"P";"Tab2",#N/A,FALSE,"P"}</definedName>
    <definedName name="ttt" localSheetId="10" hidden="1">{"Tab1",#N/A,FALSE,"P";"Tab2",#N/A,FALSE,"P"}</definedName>
    <definedName name="ttt" localSheetId="1" hidden="1">{"Tab1",#N/A,FALSE,"P";"Tab2",#N/A,FALSE,"P"}</definedName>
    <definedName name="ttt" localSheetId="3" hidden="1">{"Tab1",#N/A,FALSE,"P";"Tab2",#N/A,FALSE,"P"}</definedName>
    <definedName name="ttt" hidden="1">{"Tab1",#N/A,FALSE,"P";"Tab2",#N/A,FALSE,"P"}</definedName>
    <definedName name="ttttt" localSheetId="4" hidden="1">[51]M!#REF!</definedName>
    <definedName name="ttttt" localSheetId="14" hidden="1">[51]M!#REF!</definedName>
    <definedName name="ttttt" localSheetId="5" hidden="1">[51]M!#REF!</definedName>
    <definedName name="ttttt" hidden="1">[51]M!#REF!</definedName>
    <definedName name="TTTTTTTTTTTT">[21]!TTTTTTTTTTTT</definedName>
    <definedName name="TXG_D">#N/A</definedName>
    <definedName name="TXGO">#N/A</definedName>
    <definedName name="u163lnulcm_x_et.m" localSheetId="4">[31]monthly!#REF!</definedName>
    <definedName name="u163lnulcm_x_et.m" localSheetId="14">[31]monthly!#REF!</definedName>
    <definedName name="u163lnulcm_x_et.m" localSheetId="5">[31]monthly!#REF!</definedName>
    <definedName name="u163lnulcm_x_et.m" localSheetId="7">[31]monthly!#REF!</definedName>
    <definedName name="u163lnulcm_x_et.m" localSheetId="8">[31]monthly!#REF!</definedName>
    <definedName name="u163lnulcm_x_et.m">[31]monthly!#REF!</definedName>
    <definedName name="UB_2" localSheetId="7">[48]makro!$C$14</definedName>
    <definedName name="UB_2" localSheetId="8">[48]makro!$C$14</definedName>
    <definedName name="UB_2" localSheetId="10">[48]makro!$C$14</definedName>
    <definedName name="UB_2">[48]makro!$C$14</definedName>
    <definedName name="UB_2n" localSheetId="7">[48]makro!$C$36</definedName>
    <definedName name="UB_2n" localSheetId="8">[48]makro!$C$36</definedName>
    <definedName name="UB_2n" localSheetId="10">[48]makro!$C$36</definedName>
    <definedName name="UB_2n">[48]makro!$C$36</definedName>
    <definedName name="UB_3" localSheetId="7">[48]makro!$D$14</definedName>
    <definedName name="UB_3" localSheetId="8">[48]makro!$D$14</definedName>
    <definedName name="UB_3" localSheetId="10">[48]makro!$D$14</definedName>
    <definedName name="UB_3">[48]makro!$D$14</definedName>
    <definedName name="UB_3n" localSheetId="7">[48]makro!$D$36</definedName>
    <definedName name="UB_3n" localSheetId="8">[48]makro!$D$36</definedName>
    <definedName name="UB_3n" localSheetId="10">[48]makro!$D$36</definedName>
    <definedName name="UB_3n">[48]makro!$D$36</definedName>
    <definedName name="UB_4" localSheetId="7">[48]makro!$E$14</definedName>
    <definedName name="UB_4" localSheetId="8">[48]makro!$E$14</definedName>
    <definedName name="UB_4" localSheetId="10">[48]makro!$E$14</definedName>
    <definedName name="UB_4">[48]makro!$E$14</definedName>
    <definedName name="UB_4n" localSheetId="7">[48]makro!$E$36</definedName>
    <definedName name="UB_4n" localSheetId="8">[48]makro!$E$36</definedName>
    <definedName name="UB_4n" localSheetId="10">[48]makro!$E$36</definedName>
    <definedName name="UB_4n">[48]makro!$E$36</definedName>
    <definedName name="UB_5" localSheetId="7">[48]makro!$F$14</definedName>
    <definedName name="UB_5" localSheetId="8">[48]makro!$F$14</definedName>
    <definedName name="UB_5" localSheetId="10">[48]makro!$F$14</definedName>
    <definedName name="UB_5">[48]makro!$F$14</definedName>
    <definedName name="UB_5n" localSheetId="7">[48]makro!$F$36</definedName>
    <definedName name="UB_5n" localSheetId="8">[48]makro!$F$36</definedName>
    <definedName name="UB_5n" localSheetId="10">[48]makro!$F$36</definedName>
    <definedName name="UB_5n">[48]makro!$F$36</definedName>
    <definedName name="UB_6" localSheetId="7">[48]makro!$G$14</definedName>
    <definedName name="UB_6" localSheetId="8">[48]makro!$G$14</definedName>
    <definedName name="UB_6" localSheetId="10">[48]makro!$G$14</definedName>
    <definedName name="UB_6">[48]makro!$G$14</definedName>
    <definedName name="UB_6n" localSheetId="7">[48]makro!$G$36</definedName>
    <definedName name="UB_6n" localSheetId="8">[48]makro!$G$36</definedName>
    <definedName name="UB_6n" localSheetId="10">[48]makro!$G$36</definedName>
    <definedName name="UB_6n">[48]makro!$G$36</definedName>
    <definedName name="ULC_CZ">[20]REER!$BU$144:$BU$206</definedName>
    <definedName name="ULC_PART">[20]REER!$BR$144:$BR$206</definedName>
    <definedName name="Universities" localSheetId="4">#REF!</definedName>
    <definedName name="Universities" localSheetId="14">#REF!</definedName>
    <definedName name="Universities" localSheetId="5">#REF!</definedName>
    <definedName name="Universities" localSheetId="7">#REF!</definedName>
    <definedName name="Universities" localSheetId="8">#REF!</definedName>
    <definedName name="Universities" localSheetId="10">#REF!</definedName>
    <definedName name="Universities">#REF!</definedName>
    <definedName name="UPee_2" localSheetId="4">[26]Graf14_Graf15!#REF!</definedName>
    <definedName name="UPee_2" localSheetId="14">[26]Graf14_Graf15!#REF!</definedName>
    <definedName name="UPee_2" localSheetId="5">[26]Graf14_Graf15!#REF!</definedName>
    <definedName name="UPee_2" localSheetId="7">[26]Graf14_Graf15!#REF!</definedName>
    <definedName name="UPee_2" localSheetId="8">[26]Graf14_Graf15!#REF!</definedName>
    <definedName name="UPee_2" localSheetId="10">[26]Graf14_Graf15!#REF!</definedName>
    <definedName name="UPee_2">[26]Graf14_Graf15!#REF!</definedName>
    <definedName name="UPer_2" localSheetId="4">[26]Graf14_Graf15!#REF!</definedName>
    <definedName name="UPer_2" localSheetId="14">[26]Graf14_Graf15!#REF!</definedName>
    <definedName name="UPer_2" localSheetId="5">[26]Graf14_Graf15!#REF!</definedName>
    <definedName name="UPer_2" localSheetId="7">[26]Graf14_Graf15!#REF!</definedName>
    <definedName name="UPer_2" localSheetId="8">[26]Graf14_Graf15!#REF!</definedName>
    <definedName name="UPer_2">[26]Graf14_Graf15!#REF!</definedName>
    <definedName name="Uruguay">'[66]PDR vulnerability table'!$A$3:$E$65</definedName>
    <definedName name="USERNAME" localSheetId="4">#REF!</definedName>
    <definedName name="USERNAME" localSheetId="14">#REF!</definedName>
    <definedName name="USERNAME" localSheetId="5">#REF!</definedName>
    <definedName name="USERNAME" localSheetId="7">#REF!</definedName>
    <definedName name="USERNAME" localSheetId="8">#REF!</definedName>
    <definedName name="USERNAME" localSheetId="10">#REF!</definedName>
    <definedName name="USERNAME">#REF!</definedName>
    <definedName name="uu" localSheetId="7" hidden="1">{"Riqfin97",#N/A,FALSE,"Tran";"Riqfinpro",#N/A,FALSE,"Tran"}</definedName>
    <definedName name="uu" localSheetId="8" hidden="1">{"Riqfin97",#N/A,FALSE,"Tran";"Riqfinpro",#N/A,FALSE,"Tran"}</definedName>
    <definedName name="uu" localSheetId="10" hidden="1">{"Riqfin97",#N/A,FALSE,"Tran";"Riqfinpro",#N/A,FALSE,"Tran"}</definedName>
    <definedName name="uu" localSheetId="1" hidden="1">{"Riqfin97",#N/A,FALSE,"Tran";"Riqfinpro",#N/A,FALSE,"Tran"}</definedName>
    <definedName name="uu" localSheetId="3" hidden="1">{"Riqfin97",#N/A,FALSE,"Tran";"Riqfinpro",#N/A,FALSE,"Tran"}</definedName>
    <definedName name="uu" hidden="1">{"Riqfin97",#N/A,FALSE,"Tran";"Riqfinpro",#N/A,FALSE,"Tran"}</definedName>
    <definedName name="uuu" localSheetId="7" hidden="1">{"Riqfin97",#N/A,FALSE,"Tran";"Riqfinpro",#N/A,FALSE,"Tran"}</definedName>
    <definedName name="uuu" localSheetId="8" hidden="1">{"Riqfin97",#N/A,FALSE,"Tran";"Riqfinpro",#N/A,FALSE,"Tran"}</definedName>
    <definedName name="uuu" localSheetId="10" hidden="1">{"Riqfin97",#N/A,FALSE,"Tran";"Riqfinpro",#N/A,FALSE,"Tran"}</definedName>
    <definedName name="uuu" localSheetId="1" hidden="1">{"Riqfin97",#N/A,FALSE,"Tran";"Riqfinpro",#N/A,FALSE,"Tran"}</definedName>
    <definedName name="uuu" localSheetId="3" hidden="1">{"Riqfin97",#N/A,FALSE,"Tran";"Riqfinpro",#N/A,FALSE,"Tran"}</definedName>
    <definedName name="uuu" hidden="1">{"Riqfin97",#N/A,FALSE,"Tran";"Riqfinpro",#N/A,FALSE,"Tran"}</definedName>
    <definedName name="UUUUUUUUUUU">[21]!UUUUUUUUUUU</definedName>
    <definedName name="ValidationList" localSheetId="4">#REF!</definedName>
    <definedName name="ValidationList" localSheetId="14">#REF!</definedName>
    <definedName name="ValidationList" localSheetId="5">#REF!</definedName>
    <definedName name="ValidationList" localSheetId="7">#REF!</definedName>
    <definedName name="ValidationList" localSheetId="8">#REF!</definedName>
    <definedName name="ValidationList" localSheetId="10">#REF!</definedName>
    <definedName name="ValidationList">#REF!</definedName>
    <definedName name="VeljavniProracun" localSheetId="4">#REF!</definedName>
    <definedName name="VeljavniProracun" localSheetId="14">#REF!</definedName>
    <definedName name="VeljavniProracun" localSheetId="5">#REF!</definedName>
    <definedName name="VeljavniProracun" localSheetId="10">#REF!</definedName>
    <definedName name="VeljavniProracun">#REF!</definedName>
    <definedName name="Venezuela" localSheetId="4">#REF!</definedName>
    <definedName name="Venezuela" localSheetId="14">#REF!</definedName>
    <definedName name="Venezuela" localSheetId="5">#REF!</definedName>
    <definedName name="Venezuela" localSheetId="10">#REF!</definedName>
    <definedName name="Venezuela">#REF!</definedName>
    <definedName name="vv" localSheetId="7" hidden="1">{"Tab1",#N/A,FALSE,"P";"Tab2",#N/A,FALSE,"P"}</definedName>
    <definedName name="vv" localSheetId="8" hidden="1">{"Tab1",#N/A,FALSE,"P";"Tab2",#N/A,FALSE,"P"}</definedName>
    <definedName name="vv" localSheetId="10" hidden="1">{"Tab1",#N/A,FALSE,"P";"Tab2",#N/A,FALSE,"P"}</definedName>
    <definedName name="vv" localSheetId="1" hidden="1">{"Tab1",#N/A,FALSE,"P";"Tab2",#N/A,FALSE,"P"}</definedName>
    <definedName name="vv" localSheetId="3" hidden="1">{"Tab1",#N/A,FALSE,"P";"Tab2",#N/A,FALSE,"P"}</definedName>
    <definedName name="vv" hidden="1">{"Tab1",#N/A,FALSE,"P";"Tab2",#N/A,FALSE,"P"}</definedName>
    <definedName name="vvv" localSheetId="7" hidden="1">{"Tab1",#N/A,FALSE,"P";"Tab2",#N/A,FALSE,"P"}</definedName>
    <definedName name="vvv" localSheetId="8" hidden="1">{"Tab1",#N/A,FALSE,"P";"Tab2",#N/A,FALSE,"P"}</definedName>
    <definedName name="vvv" localSheetId="10" hidden="1">{"Tab1",#N/A,FALSE,"P";"Tab2",#N/A,FALSE,"P"}</definedName>
    <definedName name="vvv" localSheetId="1" hidden="1">{"Tab1",#N/A,FALSE,"P";"Tab2",#N/A,FALSE,"P"}</definedName>
    <definedName name="vvv" localSheetId="3" hidden="1">{"Tab1",#N/A,FALSE,"P";"Tab2",#N/A,FALSE,"P"}</definedName>
    <definedName name="vvv" hidden="1">{"Tab1",#N/A,FALSE,"P";"Tab2",#N/A,FALSE,"P"}</definedName>
    <definedName name="we11pcpi.m" localSheetId="4">[31]monthly!#REF!</definedName>
    <definedName name="we11pcpi.m" localSheetId="14">[31]monthly!#REF!</definedName>
    <definedName name="we11pcpi.m" localSheetId="5">[31]monthly!#REF!</definedName>
    <definedName name="we11pcpi.m">[31]monthly!#REF!</definedName>
    <definedName name="WMENU" localSheetId="4">#REF!</definedName>
    <definedName name="WMENU" localSheetId="14">#REF!</definedName>
    <definedName name="WMENU" localSheetId="5">#REF!</definedName>
    <definedName name="WMENU" localSheetId="7">#REF!</definedName>
    <definedName name="WMENU" localSheetId="8">#REF!</definedName>
    <definedName name="WMENU" localSheetId="10">#REF!</definedName>
    <definedName name="WMENU">#REF!</definedName>
    <definedName name="wrn.1993_2002." localSheetId="7" hidden="1">{"1993_2002",#N/A,FALSE,"UnderlyingData"}</definedName>
    <definedName name="wrn.1993_2002." localSheetId="8" hidden="1">{"1993_2002",#N/A,FALSE,"UnderlyingData"}</definedName>
    <definedName name="wrn.1993_2002." localSheetId="10" hidden="1">{"1993_2002",#N/A,FALSE,"UnderlyingData"}</definedName>
    <definedName name="wrn.1993_2002." hidden="1">{"1993_2002",#N/A,FALSE,"UnderlyingData"}</definedName>
    <definedName name="wrn.a11._.general._.government." localSheetId="7" hidden="1">{"a11 general government",#N/A,FALSE,"RED Tables"}</definedName>
    <definedName name="wrn.a11._.general._.government." localSheetId="8" hidden="1">{"a11 general government",#N/A,FALSE,"RED Tables"}</definedName>
    <definedName name="wrn.a11._.general._.government." localSheetId="10" hidden="1">{"a11 general government",#N/A,FALSE,"RED Tables"}</definedName>
    <definedName name="wrn.a11._.general._.government." hidden="1">{"a11 general government",#N/A,FALSE,"RED Tables"}</definedName>
    <definedName name="wrn.a12._.Federal._.Government." localSheetId="7" hidden="1">{"a12 Federal Government",#N/A,FALSE,"RED Tables"}</definedName>
    <definedName name="wrn.a12._.Federal._.Government." localSheetId="8" hidden="1">{"a12 Federal Government",#N/A,FALSE,"RED Tables"}</definedName>
    <definedName name="wrn.a12._.Federal._.Government." localSheetId="10" hidden="1">{"a12 Federal Government",#N/A,FALSE,"RED Tables"}</definedName>
    <definedName name="wrn.a12._.Federal._.Government." hidden="1">{"a12 Federal Government",#N/A,FALSE,"RED Tables"}</definedName>
    <definedName name="wrn.a13._.social._.security." localSheetId="7" hidden="1">{"a13 social security",#N/A,FALSE,"RED Tables"}</definedName>
    <definedName name="wrn.a13._.social._.security." localSheetId="8" hidden="1">{"a13 social security",#N/A,FALSE,"RED Tables"}</definedName>
    <definedName name="wrn.a13._.social._.security." localSheetId="10" hidden="1">{"a13 social security",#N/A,FALSE,"RED Tables"}</definedName>
    <definedName name="wrn.a13._.social._.security." hidden="1">{"a13 social security",#N/A,FALSE,"RED Tables"}</definedName>
    <definedName name="wrn.a14._.regions._.and._.communities." localSheetId="7" hidden="1">{"a14 regions and communities",#N/A,FALSE,"RED Tables"}</definedName>
    <definedName name="wrn.a14._.regions._.and._.communities." localSheetId="8" hidden="1">{"a14 regions and communities",#N/A,FALSE,"RED Tables"}</definedName>
    <definedName name="wrn.a14._.regions._.and._.communities." localSheetId="10" hidden="1">{"a14 regions and communities",#N/A,FALSE,"RED Tables"}</definedName>
    <definedName name="wrn.a14._.regions._.and._.communities." hidden="1">{"a14 regions and communities",#N/A,FALSE,"RED Tables"}</definedName>
    <definedName name="wrn.a15._.local._.governments." localSheetId="7" hidden="1">{"a15 local governments",#N/A,FALSE,"RED Tables"}</definedName>
    <definedName name="wrn.a15._.local._.governments." localSheetId="8" hidden="1">{"a15 local governments",#N/A,FALSE,"RED Tables"}</definedName>
    <definedName name="wrn.a15._.local._.governments." localSheetId="10" hidden="1">{"a15 local governments",#N/A,FALSE,"RED Tables"}</definedName>
    <definedName name="wrn.a15._.local._.governments." hidden="1">{"a15 local governments",#N/A,FALSE,"RED Tables"}</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hidden="1">{"BOP_TAB",#N/A,FALSE,"N";"MIDTERM_TAB",#N/A,FALSE,"O"}</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hidden="1">{#N/A,#N/A,FALSE,"CB";#N/A,#N/A,FALSE,"CMB";#N/A,#N/A,FALSE,"BSYS";#N/A,#N/A,FALSE,"NBFI";#N/A,#N/A,FALSE,"FSYS"}</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hidden="1">{#N/A,#N/A,FALSE,"CB";#N/A,#N/A,FALSE,"CMB";#N/A,#N/A,FALSE,"NBFI"}</definedName>
    <definedName name="wrn.MONA." localSheetId="7" hidden="1">{"MONA",#N/A,FALSE,"S"}</definedName>
    <definedName name="wrn.MONA." localSheetId="8" hidden="1">{"MONA",#N/A,FALSE,"S"}</definedName>
    <definedName name="wrn.MONA." localSheetId="10" hidden="1">{"MONA",#N/A,FALSE,"S"}</definedName>
    <definedName name="wrn.MONA." hidden="1">{"MONA",#N/A,FALSE,"S"}</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rogram." localSheetId="7" hidden="1">{"Tab1",#N/A,FALSE,"P";"Tab2",#N/A,FALSE,"P"}</definedName>
    <definedName name="wrn.Program." localSheetId="8" hidden="1">{"Tab1",#N/A,FALSE,"P";"Tab2",#N/A,FALSE,"P"}</definedName>
    <definedName name="wrn.Program." localSheetId="10" hidden="1">{"Tab1",#N/A,FALSE,"P";"Tab2",#N/A,FALSE,"P"}</definedName>
    <definedName name="wrn.Program." localSheetId="1" hidden="1">{"Tab1",#N/A,FALSE,"P";"Tab2",#N/A,FALSE,"P"}</definedName>
    <definedName name="wrn.Program." localSheetId="3" hidden="1">{"Tab1",#N/A,FALSE,"P";"Tab2",#N/A,FALSE,"P"}</definedName>
    <definedName name="wrn.Program." hidden="1">{"Tab1",#N/A,FALSE,"P";"Tab2",#N/A,FALSE,"P"}</definedName>
    <definedName name="wrn.Ques._.1." localSheetId="7" hidden="1">{"Ques 1",#N/A,FALSE,"NWEO138"}</definedName>
    <definedName name="wrn.Ques._.1." localSheetId="8" hidden="1">{"Ques 1",#N/A,FALSE,"NWEO138"}</definedName>
    <definedName name="wrn.Ques._.1." localSheetId="10" hidden="1">{"Ques 1",#N/A,FALSE,"NWEO138"}</definedName>
    <definedName name="wrn.Ques._.1." hidden="1">{"Ques 1",#N/A,FALSE,"NWEO138"}</definedName>
    <definedName name="wrn.R22_Data_Collection1997." localSheetId="7" hidden="1">{"_R22_General",#N/A,TRUE,"R22_General";"_R22_Questions",#N/A,TRUE,"R22_Questions";"ColA_R22",#N/A,TRUE,"R2295";"_R22_Tables",#N/A,TRUE,"R2295"}</definedName>
    <definedName name="wrn.R22_Data_Collection1997." localSheetId="8" hidden="1">{"_R22_General",#N/A,TRUE,"R22_General";"_R22_Questions",#N/A,TRUE,"R22_Questions";"ColA_R22",#N/A,TRUE,"R2295";"_R22_Tables",#N/A,TRUE,"R2295"}</definedName>
    <definedName name="wrn.R22_Data_Collection1997." localSheetId="1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iqfin." localSheetId="7" hidden="1">{"Riqfin97",#N/A,FALSE,"Tran";"Riqfinpro",#N/A,FALSE,"Tran"}</definedName>
    <definedName name="wrn.Riqfin." localSheetId="8" hidden="1">{"Riqfin97",#N/A,FALSE,"Tran";"Riqfinpro",#N/A,FALSE,"Tran"}</definedName>
    <definedName name="wrn.Riqfin." localSheetId="10" hidden="1">{"Riqfin97",#N/A,FALSE,"Tran";"Riqfinpro",#N/A,FALSE,"Tran"}</definedName>
    <definedName name="wrn.Riqfin." localSheetId="1" hidden="1">{"Riqfin97",#N/A,FALSE,"Tran";"Riqfinpro",#N/A,FALSE,"Tran"}</definedName>
    <definedName name="wrn.Riqfin." localSheetId="3" hidden="1">{"Riqfin97",#N/A,FALSE,"Tran";"Riqfinpro",#N/A,FALSE,"Tran"}</definedName>
    <definedName name="wrn.Riqfin." hidden="1">{"Riqfin97",#N/A,FALSE,"Tran";"Riqfinpro",#N/A,FALSE,"Tran"}</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hidden="1">{#N/A,#N/A,FALSE,"SRFSYS";#N/A,#N/A,FALSE,"SRBSYS"}</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localSheetId="10" hidden="1">{"Page1",#N/A,FALSE,"ARA M&amp;F&amp;T";"Page2",#N/A,FALSE,"ARA M&amp;F&amp;T";"Page3",#N/A,FALSE,"ARA M&amp;F&amp;T"}</definedName>
    <definedName name="wrn.TabARA." hidden="1">{"Page1",#N/A,FALSE,"ARA M&amp;F&amp;T";"Page2",#N/A,FALSE,"ARA M&amp;F&amp;T";"Page3",#N/A,FALSE,"ARA M&amp;F&amp;T"}</definedName>
    <definedName name="wrn.WEO." localSheetId="7" hidden="1">{"WEO",#N/A,FALSE,"T"}</definedName>
    <definedName name="wrn.WEO." localSheetId="8" hidden="1">{"WEO",#N/A,FALSE,"T"}</definedName>
    <definedName name="wrn.WEO." localSheetId="10" hidden="1">{"WEO",#N/A,FALSE,"T"}</definedName>
    <definedName name="wrn.WEO." hidden="1">{"WEO",#N/A,FALSE,"T"}</definedName>
    <definedName name="ww" localSheetId="4" hidden="1">[51]M!#REF!</definedName>
    <definedName name="ww" localSheetId="14" hidden="1">[51]M!#REF!</definedName>
    <definedName name="ww" localSheetId="5" hidden="1">[51]M!#REF!</definedName>
    <definedName name="ww" hidden="1">[51]M!#REF!</definedName>
    <definedName name="www" localSheetId="7" hidden="1">{"Riqfin97",#N/A,FALSE,"Tran";"Riqfinpro",#N/A,FALSE,"Tran"}</definedName>
    <definedName name="www" localSheetId="8" hidden="1">{"Riqfin97",#N/A,FALSE,"Tran";"Riqfinpro",#N/A,FALSE,"Tran"}</definedName>
    <definedName name="www" localSheetId="10" hidden="1">{"Riqfin97",#N/A,FALSE,"Tran";"Riqfinpro",#N/A,FALSE,"Tran"}</definedName>
    <definedName name="www" localSheetId="1" hidden="1">{"Riqfin97",#N/A,FALSE,"Tran";"Riqfinpro",#N/A,FALSE,"Tran"}</definedName>
    <definedName name="www" localSheetId="3" hidden="1">{"Riqfin97",#N/A,FALSE,"Tran";"Riqfinpro",#N/A,FALSE,"Tran"}</definedName>
    <definedName name="www" hidden="1">{"Riqfin97",#N/A,FALSE,"Tran";"Riqfinpro",#N/A,FALSE,"Tran"}</definedName>
    <definedName name="XR">[20]REER!$AT$140:$BA$199</definedName>
    <definedName name="xx" localSheetId="7" hidden="1">{"Riqfin97",#N/A,FALSE,"Tran";"Riqfinpro",#N/A,FALSE,"Tran"}</definedName>
    <definedName name="xx" localSheetId="8" hidden="1">{"Riqfin97",#N/A,FALSE,"Tran";"Riqfinpro",#N/A,FALSE,"Tran"}</definedName>
    <definedName name="xx" localSheetId="10" hidden="1">{"Riqfin97",#N/A,FALSE,"Tran";"Riqfinpro",#N/A,FALSE,"Tran"}</definedName>
    <definedName name="xx" localSheetId="1" hidden="1">{"Riqfin97",#N/A,FALSE,"Tran";"Riqfinpro",#N/A,FALSE,"Tran"}</definedName>
    <definedName name="xx" localSheetId="3" hidden="1">{"Riqfin97",#N/A,FALSE,"Tran";"Riqfinpro",#N/A,FALSE,"Tran"}</definedName>
    <definedName name="xx" hidden="1">{"Riqfin97",#N/A,FALSE,"Tran";"Riqfinpro",#N/A,FALSE,"Tran"}</definedName>
    <definedName name="xxWRS_1" localSheetId="4">#REF!</definedName>
    <definedName name="xxWRS_1" localSheetId="14">#REF!</definedName>
    <definedName name="xxWRS_1" localSheetId="5">#REF!</definedName>
    <definedName name="xxWRS_1" localSheetId="7">#REF!</definedName>
    <definedName name="xxWRS_1" localSheetId="8">#REF!</definedName>
    <definedName name="xxWRS_1" localSheetId="10">#REF!</definedName>
    <definedName name="xxWRS_1">#REF!</definedName>
    <definedName name="xxWRS_10" localSheetId="4">#REF!</definedName>
    <definedName name="xxWRS_10" localSheetId="14">#REF!</definedName>
    <definedName name="xxWRS_10" localSheetId="5">#REF!</definedName>
    <definedName name="xxWRS_10" localSheetId="10">#REF!</definedName>
    <definedName name="xxWRS_10">#REF!</definedName>
    <definedName name="xxWRS_11" localSheetId="4">#REF!</definedName>
    <definedName name="xxWRS_11" localSheetId="14">#REF!</definedName>
    <definedName name="xxWRS_11" localSheetId="5">#REF!</definedName>
    <definedName name="xxWRS_11" localSheetId="10">#REF!</definedName>
    <definedName name="xxWRS_11">#REF!</definedName>
    <definedName name="xxWRS_12" localSheetId="4">#REF!</definedName>
    <definedName name="xxWRS_12" localSheetId="14">#REF!</definedName>
    <definedName name="xxWRS_12" localSheetId="5">#REF!</definedName>
    <definedName name="xxWRS_12" localSheetId="10">#REF!</definedName>
    <definedName name="xxWRS_12">#REF!</definedName>
    <definedName name="xxWRS_2" localSheetId="4">#REF!</definedName>
    <definedName name="xxWRS_2" localSheetId="14">#REF!</definedName>
    <definedName name="xxWRS_2" localSheetId="5">#REF!</definedName>
    <definedName name="xxWRS_2" localSheetId="10">#REF!</definedName>
    <definedName name="xxWRS_2">#REF!</definedName>
    <definedName name="xxWRS_6" localSheetId="4">#REF!</definedName>
    <definedName name="xxWRS_6" localSheetId="14">#REF!</definedName>
    <definedName name="xxWRS_6" localSheetId="5">#REF!</definedName>
    <definedName name="xxWRS_6" localSheetId="10">#REF!</definedName>
    <definedName name="xxWRS_6">#REF!</definedName>
    <definedName name="xxWRS_7" localSheetId="4">#REF!</definedName>
    <definedName name="xxWRS_7" localSheetId="14">#REF!</definedName>
    <definedName name="xxWRS_7" localSheetId="5">#REF!</definedName>
    <definedName name="xxWRS_7" localSheetId="10">#REF!</definedName>
    <definedName name="xxWRS_7">#REF!</definedName>
    <definedName name="xxWRS_8" localSheetId="4">#REF!</definedName>
    <definedName name="xxWRS_8" localSheetId="14">#REF!</definedName>
    <definedName name="xxWRS_8" localSheetId="5">#REF!</definedName>
    <definedName name="xxWRS_8" localSheetId="10">#REF!</definedName>
    <definedName name="xxWRS_8">#REF!</definedName>
    <definedName name="xxWRS_9" localSheetId="4">#REF!</definedName>
    <definedName name="xxWRS_9" localSheetId="14">#REF!</definedName>
    <definedName name="xxWRS_9" localSheetId="5">#REF!</definedName>
    <definedName name="xxWRS_9" localSheetId="10">#REF!</definedName>
    <definedName name="xxWRS_9">#REF!</definedName>
    <definedName name="xxxx" localSheetId="7" hidden="1">{"Riqfin97",#N/A,FALSE,"Tran";"Riqfinpro",#N/A,FALSE,"Tran"}</definedName>
    <definedName name="xxxx" localSheetId="8" hidden="1">{"Riqfin97",#N/A,FALSE,"Tran";"Riqfinpro",#N/A,FALSE,"Tran"}</definedName>
    <definedName name="xxxx" localSheetId="10" hidden="1">{"Riqfin97",#N/A,FALSE,"Tran";"Riqfinpro",#N/A,FALSE,"Tran"}</definedName>
    <definedName name="xxxx" localSheetId="1" hidden="1">{"Riqfin97",#N/A,FALSE,"Tran";"Riqfinpro",#N/A,FALSE,"Tran"}</definedName>
    <definedName name="xxxx" localSheetId="3" hidden="1">{"Riqfin97",#N/A,FALSE,"Tran";"Riqfinpro",#N/A,FALSE,"Tran"}</definedName>
    <definedName name="xxxx" hidden="1">{"Riqfin97",#N/A,FALSE,"Tran";"Riqfinpro",#N/A,FALSE,"Tran"}</definedName>
    <definedName name="year" localSheetId="4">[26]Graf14_Graf15!#REF!</definedName>
    <definedName name="year" localSheetId="14">[26]Graf14_Graf15!#REF!</definedName>
    <definedName name="year" localSheetId="5">[26]Graf14_Graf15!#REF!</definedName>
    <definedName name="year">[26]Graf14_Graf15!#REF!</definedName>
    <definedName name="yy" localSheetId="7" hidden="1">{"Tab1",#N/A,FALSE,"P";"Tab2",#N/A,FALSE,"P"}</definedName>
    <definedName name="yy" localSheetId="8" hidden="1">{"Tab1",#N/A,FALSE,"P";"Tab2",#N/A,FALSE,"P"}</definedName>
    <definedName name="yy" localSheetId="10" hidden="1">{"Tab1",#N/A,FALSE,"P";"Tab2",#N/A,FALSE,"P"}</definedName>
    <definedName name="yy" localSheetId="1" hidden="1">{"Tab1",#N/A,FALSE,"P";"Tab2",#N/A,FALSE,"P"}</definedName>
    <definedName name="yy" localSheetId="3" hidden="1">{"Tab1",#N/A,FALSE,"P";"Tab2",#N/A,FALSE,"P"}</definedName>
    <definedName name="yy" hidden="1">{"Tab1",#N/A,FALSE,"P";"Tab2",#N/A,FALSE,"P"}</definedName>
    <definedName name="yyy" localSheetId="7" hidden="1">{"Tab1",#N/A,FALSE,"P";"Tab2",#N/A,FALSE,"P"}</definedName>
    <definedName name="yyy" localSheetId="8" hidden="1">{"Tab1",#N/A,FALSE,"P";"Tab2",#N/A,FALSE,"P"}</definedName>
    <definedName name="yyy" localSheetId="10" hidden="1">{"Tab1",#N/A,FALSE,"P";"Tab2",#N/A,FALSE,"P"}</definedName>
    <definedName name="yyy" localSheetId="1" hidden="1">{"Tab1",#N/A,FALSE,"P";"Tab2",#N/A,FALSE,"P"}</definedName>
    <definedName name="yyy" localSheetId="3" hidden="1">{"Tab1",#N/A,FALSE,"P";"Tab2",#N/A,FALSE,"P"}</definedName>
    <definedName name="yyy" hidden="1">{"Tab1",#N/A,FALSE,"P";"Tab2",#N/A,FALSE,"P"}</definedName>
    <definedName name="yyyy" localSheetId="7" hidden="1">{"Riqfin97",#N/A,FALSE,"Tran";"Riqfinpro",#N/A,FALSE,"Tran"}</definedName>
    <definedName name="yyyy" localSheetId="8" hidden="1">{"Riqfin97",#N/A,FALSE,"Tran";"Riqfinpro",#N/A,FALSE,"Tran"}</definedName>
    <definedName name="yyyy" localSheetId="10" hidden="1">{"Riqfin97",#N/A,FALSE,"Tran";"Riqfinpro",#N/A,FALSE,"Tran"}</definedName>
    <definedName name="yyyy" localSheetId="1" hidden="1">{"Riqfin97",#N/A,FALSE,"Tran";"Riqfinpro",#N/A,FALSE,"Tran"}</definedName>
    <definedName name="yyyy" localSheetId="3" hidden="1">{"Riqfin97",#N/A,FALSE,"Tran";"Riqfinpro",#N/A,FALSE,"Tran"}</definedName>
    <definedName name="yyyy" hidden="1">{"Riqfin97",#N/A,FALSE,"Tran";"Riqfinpro",#N/A,FALSE,"Tran"}</definedName>
    <definedName name="Z_1D44FD83_577F_412D_85CC_4CD8A3A1C2A3_.wvu.Cols" localSheetId="1" hidden="1">MMF_TABULKA!#REF!</definedName>
    <definedName name="Z_95224721_0485_11D4_BFD1_00508B5F4DA4_.wvu.Cols" localSheetId="4" hidden="1">#REF!</definedName>
    <definedName name="Z_95224721_0485_11D4_BFD1_00508B5F4DA4_.wvu.Cols" localSheetId="14" hidden="1">#REF!</definedName>
    <definedName name="Z_95224721_0485_11D4_BFD1_00508B5F4DA4_.wvu.Cols" localSheetId="5"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localSheetId="10" hidden="1">#REF!</definedName>
    <definedName name="Z_95224721_0485_11D4_BFD1_00508B5F4DA4_.wvu.Cols" hidden="1">#REF!</definedName>
    <definedName name="zac_kles" localSheetId="4">[26]Graf14_Graf15!#REF!</definedName>
    <definedName name="zac_kles" localSheetId="14">[26]Graf14_Graf15!#REF!</definedName>
    <definedName name="zac_kles" localSheetId="5">[26]Graf14_Graf15!#REF!</definedName>
    <definedName name="zac_kles" localSheetId="6">[26]Graf14_Graf15!#REF!</definedName>
    <definedName name="zac_kles" localSheetId="7">[26]Graf14_Graf15!#REF!</definedName>
    <definedName name="zac_kles" localSheetId="8">[26]Graf14_Graf15!#REF!</definedName>
    <definedName name="zac_kles" localSheetId="10">[26]Graf14_Graf15!#REF!</definedName>
    <definedName name="zac_kles">[26]Graf14_Graf15!#REF!</definedName>
    <definedName name="zac_kles_2" localSheetId="4">[26]Graf14_Graf15!#REF!</definedName>
    <definedName name="zac_kles_2" localSheetId="14">[26]Graf14_Graf15!#REF!</definedName>
    <definedName name="zac_kles_2" localSheetId="5">[26]Graf14_Graf15!#REF!</definedName>
    <definedName name="zac_kles_2" localSheetId="6">[26]Graf14_Graf15!#REF!</definedName>
    <definedName name="zac_kles_2" localSheetId="7">[26]Graf14_Graf15!#REF!</definedName>
    <definedName name="zac_kles_2" localSheetId="8">[26]Graf14_Graf15!#REF!</definedName>
    <definedName name="zac_kles_2" localSheetId="10">[26]Graf14_Graf15!#REF!</definedName>
    <definedName name="zac_kles_2">[26]Graf14_Graf15!#REF!</definedName>
    <definedName name="zapr16" localSheetId="4">[52]splatnosti!#REF!</definedName>
    <definedName name="zapr16" localSheetId="14">[52]splatnosti!#REF!</definedName>
    <definedName name="zapr16" localSheetId="5">[52]splatnosti!#REF!</definedName>
    <definedName name="zapr16">[52]splatnosti!#REF!</definedName>
    <definedName name="zapr17" localSheetId="4">[52]splatnosti!#REF!</definedName>
    <definedName name="zapr17" localSheetId="14">[52]splatnosti!#REF!</definedName>
    <definedName name="zapr17" localSheetId="5">[52]splatnosti!#REF!</definedName>
    <definedName name="zapr17">[52]splatnosti!#REF!</definedName>
    <definedName name="zapr18" localSheetId="4">[53]Ardal_splatnosti!#REF!</definedName>
    <definedName name="zapr18" localSheetId="14">[53]Ardal_splatnosti!#REF!</definedName>
    <definedName name="zapr18" localSheetId="5">[53]Ardal_splatnosti!#REF!</definedName>
    <definedName name="zapr18">[53]Ardal_splatnosti!#REF!</definedName>
    <definedName name="zapr19" localSheetId="4">[53]Ardal_splatnosti!#REF!</definedName>
    <definedName name="zapr19" localSheetId="14">[53]Ardal_splatnosti!#REF!</definedName>
    <definedName name="zapr19" localSheetId="5">[53]Ardal_splatnosti!#REF!</definedName>
    <definedName name="zapr19">[53]Ardal_splatnosti!#REF!</definedName>
    <definedName name="zapr20" localSheetId="4">[53]Ardal_splatnosti!#REF!</definedName>
    <definedName name="zapr20" localSheetId="14">[53]Ardal_splatnosti!#REF!</definedName>
    <definedName name="zapr20" localSheetId="5">[53]Ardal_splatnosti!#REF!</definedName>
    <definedName name="zapr20">[53]Ardal_splatnosti!#REF!</definedName>
    <definedName name="zapr21" localSheetId="4">[53]Ardal_splatnosti!#REF!</definedName>
    <definedName name="zapr21" localSheetId="14">[53]Ardal_splatnosti!#REF!</definedName>
    <definedName name="zapr21" localSheetId="5">[53]Ardal_splatnosti!#REF!</definedName>
    <definedName name="zapr21">[53]Ardal_splatnosti!#REF!</definedName>
    <definedName name="zaug16" localSheetId="4">[52]splatnosti!#REF!</definedName>
    <definedName name="zaug16" localSheetId="14">[52]splatnosti!#REF!</definedName>
    <definedName name="zaug16" localSheetId="5">[52]splatnosti!#REF!</definedName>
    <definedName name="zaug16">[52]splatnosti!#REF!</definedName>
    <definedName name="zaug17" localSheetId="4">[52]splatnosti!#REF!</definedName>
    <definedName name="zaug17" localSheetId="14">[52]splatnosti!#REF!</definedName>
    <definedName name="zaug17" localSheetId="5">[52]splatnosti!#REF!</definedName>
    <definedName name="zaug17">[52]splatnosti!#REF!</definedName>
    <definedName name="zaug18" localSheetId="4">[53]Ardal_splatnosti!#REF!</definedName>
    <definedName name="zaug18" localSheetId="14">[53]Ardal_splatnosti!#REF!</definedName>
    <definedName name="zaug18" localSheetId="5">[53]Ardal_splatnosti!#REF!</definedName>
    <definedName name="zaug18">[53]Ardal_splatnosti!#REF!</definedName>
    <definedName name="zaug19" localSheetId="4">[53]Ardal_splatnosti!#REF!</definedName>
    <definedName name="zaug19" localSheetId="14">[53]Ardal_splatnosti!#REF!</definedName>
    <definedName name="zaug19" localSheetId="5">[53]Ardal_splatnosti!#REF!</definedName>
    <definedName name="zaug19">[53]Ardal_splatnosti!#REF!</definedName>
    <definedName name="zaug20" localSheetId="4">[53]Ardal_splatnosti!#REF!</definedName>
    <definedName name="zaug20" localSheetId="14">[53]Ardal_splatnosti!#REF!</definedName>
    <definedName name="zaug20" localSheetId="5">[53]Ardal_splatnosti!#REF!</definedName>
    <definedName name="zaug20">[53]Ardal_splatnosti!#REF!</definedName>
    <definedName name="zaug21" localSheetId="4">[53]Ardal_splatnosti!#REF!</definedName>
    <definedName name="zaug21" localSheetId="14">[53]Ardal_splatnosti!#REF!</definedName>
    <definedName name="zaug21" localSheetId="5">[53]Ardal_splatnosti!#REF!</definedName>
    <definedName name="zaug21">[53]Ardal_splatnosti!#REF!</definedName>
    <definedName name="zdec16" localSheetId="4">[52]splatnosti!#REF!</definedName>
    <definedName name="zdec16" localSheetId="14">[52]splatnosti!#REF!</definedName>
    <definedName name="zdec16" localSheetId="5">[52]splatnosti!#REF!</definedName>
    <definedName name="zdec16">[52]splatnosti!#REF!</definedName>
    <definedName name="zdec17" localSheetId="4">[52]splatnosti!#REF!</definedName>
    <definedName name="zdec17" localSheetId="14">[52]splatnosti!#REF!</definedName>
    <definedName name="zdec17" localSheetId="5">[52]splatnosti!#REF!</definedName>
    <definedName name="zdec17">[52]splatnosti!#REF!</definedName>
    <definedName name="zdec18" localSheetId="4">[53]Ardal_splatnosti!#REF!</definedName>
    <definedName name="zdec18" localSheetId="14">[53]Ardal_splatnosti!#REF!</definedName>
    <definedName name="zdec18" localSheetId="5">[53]Ardal_splatnosti!#REF!</definedName>
    <definedName name="zdec18">[53]Ardal_splatnosti!#REF!</definedName>
    <definedName name="zdec19" localSheetId="4">[53]Ardal_splatnosti!#REF!</definedName>
    <definedName name="zdec19" localSheetId="14">[53]Ardal_splatnosti!#REF!</definedName>
    <definedName name="zdec19" localSheetId="5">[53]Ardal_splatnosti!#REF!</definedName>
    <definedName name="zdec19">[53]Ardal_splatnosti!#REF!</definedName>
    <definedName name="zdec20" localSheetId="4">[53]Ardal_splatnosti!#REF!</definedName>
    <definedName name="zdec20" localSheetId="14">[53]Ardal_splatnosti!#REF!</definedName>
    <definedName name="zdec20" localSheetId="5">[53]Ardal_splatnosti!#REF!</definedName>
    <definedName name="zdec20">[53]Ardal_splatnosti!#REF!</definedName>
    <definedName name="zdec21" localSheetId="4">[53]Ardal_splatnosti!#REF!</definedName>
    <definedName name="zdec21" localSheetId="14">[53]Ardal_splatnosti!#REF!</definedName>
    <definedName name="zdec21" localSheetId="5">[53]Ardal_splatnosti!#REF!</definedName>
    <definedName name="zdec21">[53]Ardal_splatnosti!#REF!</definedName>
    <definedName name="zfeb16" localSheetId="4">[52]splatnosti!#REF!</definedName>
    <definedName name="zfeb16" localSheetId="14">[52]splatnosti!#REF!</definedName>
    <definedName name="zfeb16" localSheetId="5">[52]splatnosti!#REF!</definedName>
    <definedName name="zfeb16">[52]splatnosti!#REF!</definedName>
    <definedName name="zfeb17" localSheetId="4">[52]splatnosti!#REF!</definedName>
    <definedName name="zfeb17" localSheetId="14">[52]splatnosti!#REF!</definedName>
    <definedName name="zfeb17" localSheetId="5">[52]splatnosti!#REF!</definedName>
    <definedName name="zfeb17">[52]splatnosti!#REF!</definedName>
    <definedName name="zfeb18" localSheetId="4">[53]Ardal_splatnosti!#REF!</definedName>
    <definedName name="zfeb18" localSheetId="14">[53]Ardal_splatnosti!#REF!</definedName>
    <definedName name="zfeb18" localSheetId="5">[53]Ardal_splatnosti!#REF!</definedName>
    <definedName name="zfeb18">[53]Ardal_splatnosti!#REF!</definedName>
    <definedName name="zfeb19" localSheetId="4">[53]Ardal_splatnosti!#REF!</definedName>
    <definedName name="zfeb19" localSheetId="14">[53]Ardal_splatnosti!#REF!</definedName>
    <definedName name="zfeb19" localSheetId="5">[53]Ardal_splatnosti!#REF!</definedName>
    <definedName name="zfeb19">[53]Ardal_splatnosti!#REF!</definedName>
    <definedName name="zfeb20" localSheetId="4">[53]Ardal_splatnosti!#REF!</definedName>
    <definedName name="zfeb20" localSheetId="14">[53]Ardal_splatnosti!#REF!</definedName>
    <definedName name="zfeb20" localSheetId="5">[53]Ardal_splatnosti!#REF!</definedName>
    <definedName name="zfeb20">[53]Ardal_splatnosti!#REF!</definedName>
    <definedName name="zfeb21" localSheetId="4">[53]Ardal_splatnosti!#REF!</definedName>
    <definedName name="zfeb21" localSheetId="14">[53]Ardal_splatnosti!#REF!</definedName>
    <definedName name="zfeb21" localSheetId="5">[53]Ardal_splatnosti!#REF!</definedName>
    <definedName name="zfeb21">[53]Ardal_splatnosti!#REF!</definedName>
    <definedName name="zjan19" localSheetId="4">[53]Ardal_splatnosti!#REF!</definedName>
    <definedName name="zjan19" localSheetId="14">[53]Ardal_splatnosti!#REF!</definedName>
    <definedName name="zjan19" localSheetId="5">[53]Ardal_splatnosti!#REF!</definedName>
    <definedName name="zjan19">[53]Ardal_splatnosti!#REF!</definedName>
    <definedName name="zjan20" localSheetId="4">[53]Ardal_splatnosti!#REF!</definedName>
    <definedName name="zjan20" localSheetId="14">[53]Ardal_splatnosti!#REF!</definedName>
    <definedName name="zjan20" localSheetId="5">[53]Ardal_splatnosti!#REF!</definedName>
    <definedName name="zjan20">[53]Ardal_splatnosti!#REF!</definedName>
    <definedName name="zjan21" localSheetId="4">[53]Ardal_splatnosti!#REF!</definedName>
    <definedName name="zjan21" localSheetId="14">[53]Ardal_splatnosti!#REF!</definedName>
    <definedName name="zjan21" localSheetId="5">[53]Ardal_splatnosti!#REF!</definedName>
    <definedName name="zjan21">[53]Ardal_splatnosti!#REF!</definedName>
    <definedName name="zjul16" localSheetId="4">[52]splatnosti!#REF!</definedName>
    <definedName name="zjul16" localSheetId="14">[52]splatnosti!#REF!</definedName>
    <definedName name="zjul16" localSheetId="5">[52]splatnosti!#REF!</definedName>
    <definedName name="zjul16">[52]splatnosti!#REF!</definedName>
    <definedName name="zjul17" localSheetId="4">[52]splatnosti!#REF!</definedName>
    <definedName name="zjul17" localSheetId="14">[52]splatnosti!#REF!</definedName>
    <definedName name="zjul17" localSheetId="5">[52]splatnosti!#REF!</definedName>
    <definedName name="zjul17">[52]splatnosti!#REF!</definedName>
    <definedName name="zjul18" localSheetId="4">[53]Ardal_splatnosti!#REF!</definedName>
    <definedName name="zjul18" localSheetId="14">[53]Ardal_splatnosti!#REF!</definedName>
    <definedName name="zjul18" localSheetId="5">[53]Ardal_splatnosti!#REF!</definedName>
    <definedName name="zjul18">[53]Ardal_splatnosti!#REF!</definedName>
    <definedName name="zjul19" localSheetId="4">[53]Ardal_splatnosti!#REF!</definedName>
    <definedName name="zjul19" localSheetId="14">[53]Ardal_splatnosti!#REF!</definedName>
    <definedName name="zjul19" localSheetId="5">[53]Ardal_splatnosti!#REF!</definedName>
    <definedName name="zjul19">[53]Ardal_splatnosti!#REF!</definedName>
    <definedName name="zjul20" localSheetId="4">[53]Ardal_splatnosti!#REF!</definedName>
    <definedName name="zjul20" localSheetId="14">[53]Ardal_splatnosti!#REF!</definedName>
    <definedName name="zjul20" localSheetId="5">[53]Ardal_splatnosti!#REF!</definedName>
    <definedName name="zjul20">[53]Ardal_splatnosti!#REF!</definedName>
    <definedName name="zjul21" localSheetId="4">[53]Ardal_splatnosti!#REF!</definedName>
    <definedName name="zjul21" localSheetId="14">[53]Ardal_splatnosti!#REF!</definedName>
    <definedName name="zjul21" localSheetId="5">[53]Ardal_splatnosti!#REF!</definedName>
    <definedName name="zjul21">[53]Ardal_splatnosti!#REF!</definedName>
    <definedName name="zjun16" localSheetId="4">[52]splatnosti!#REF!</definedName>
    <definedName name="zjun16" localSheetId="14">[52]splatnosti!#REF!</definedName>
    <definedName name="zjun16" localSheetId="5">[52]splatnosti!#REF!</definedName>
    <definedName name="zjun16">[52]splatnosti!#REF!</definedName>
    <definedName name="zjun17" localSheetId="4">[52]splatnosti!#REF!</definedName>
    <definedName name="zjun17" localSheetId="14">[52]splatnosti!#REF!</definedName>
    <definedName name="zjun17" localSheetId="5">[52]splatnosti!#REF!</definedName>
    <definedName name="zjun17">[52]splatnosti!#REF!</definedName>
    <definedName name="zjun18" localSheetId="4">[53]Ardal_splatnosti!#REF!</definedName>
    <definedName name="zjun18" localSheetId="14">[53]Ardal_splatnosti!#REF!</definedName>
    <definedName name="zjun18" localSheetId="5">[53]Ardal_splatnosti!#REF!</definedName>
    <definedName name="zjun18">[53]Ardal_splatnosti!#REF!</definedName>
    <definedName name="zjun19" localSheetId="4">[53]Ardal_splatnosti!#REF!</definedName>
    <definedName name="zjun19" localSheetId="14">[53]Ardal_splatnosti!#REF!</definedName>
    <definedName name="zjun19" localSheetId="5">[53]Ardal_splatnosti!#REF!</definedName>
    <definedName name="zjun19">[53]Ardal_splatnosti!#REF!</definedName>
    <definedName name="zjun20" localSheetId="4">[53]Ardal_splatnosti!#REF!</definedName>
    <definedName name="zjun20" localSheetId="14">[53]Ardal_splatnosti!#REF!</definedName>
    <definedName name="zjun20" localSheetId="5">[53]Ardal_splatnosti!#REF!</definedName>
    <definedName name="zjun20">[53]Ardal_splatnosti!#REF!</definedName>
    <definedName name="zjun21" localSheetId="4">[53]Ardal_splatnosti!#REF!</definedName>
    <definedName name="zjun21" localSheetId="14">[53]Ardal_splatnosti!#REF!</definedName>
    <definedName name="zjun21" localSheetId="5">[53]Ardal_splatnosti!#REF!</definedName>
    <definedName name="zjun21">[53]Ardal_splatnosti!#REF!</definedName>
    <definedName name="zmaj16" localSheetId="4">[52]splatnosti!#REF!</definedName>
    <definedName name="zmaj16" localSheetId="14">[52]splatnosti!#REF!</definedName>
    <definedName name="zmaj16" localSheetId="5">[52]splatnosti!#REF!</definedName>
    <definedName name="zmaj16">[52]splatnosti!#REF!</definedName>
    <definedName name="zmaj17" localSheetId="4">[52]splatnosti!#REF!</definedName>
    <definedName name="zmaj17" localSheetId="14">[52]splatnosti!#REF!</definedName>
    <definedName name="zmaj17" localSheetId="5">[52]splatnosti!#REF!</definedName>
    <definedName name="zmaj17">[52]splatnosti!#REF!</definedName>
    <definedName name="zmaj18" localSheetId="4">[53]Ardal_splatnosti!#REF!</definedName>
    <definedName name="zmaj18" localSheetId="14">[53]Ardal_splatnosti!#REF!</definedName>
    <definedName name="zmaj18" localSheetId="5">[53]Ardal_splatnosti!#REF!</definedName>
    <definedName name="zmaj18">[53]Ardal_splatnosti!#REF!</definedName>
    <definedName name="zmaj19" localSheetId="4">[53]Ardal_splatnosti!#REF!</definedName>
    <definedName name="zmaj19" localSheetId="14">[53]Ardal_splatnosti!#REF!</definedName>
    <definedName name="zmaj19" localSheetId="5">[53]Ardal_splatnosti!#REF!</definedName>
    <definedName name="zmaj19">[53]Ardal_splatnosti!#REF!</definedName>
    <definedName name="zmaj20" localSheetId="4">[53]Ardal_splatnosti!#REF!</definedName>
    <definedName name="zmaj20" localSheetId="14">[53]Ardal_splatnosti!#REF!</definedName>
    <definedName name="zmaj20" localSheetId="5">[53]Ardal_splatnosti!#REF!</definedName>
    <definedName name="zmaj20">[53]Ardal_splatnosti!#REF!</definedName>
    <definedName name="zmaj21" localSheetId="4">[53]Ardal_splatnosti!#REF!</definedName>
    <definedName name="zmaj21" localSheetId="14">[53]Ardal_splatnosti!#REF!</definedName>
    <definedName name="zmaj21" localSheetId="5">[53]Ardal_splatnosti!#REF!</definedName>
    <definedName name="zmaj21">[53]Ardal_splatnosti!#REF!</definedName>
    <definedName name="zmar16" localSheetId="4">[52]splatnosti!#REF!</definedName>
    <definedName name="zmar16" localSheetId="14">[52]splatnosti!#REF!</definedName>
    <definedName name="zmar16" localSheetId="5">[52]splatnosti!#REF!</definedName>
    <definedName name="zmar16">[52]splatnosti!#REF!</definedName>
    <definedName name="zmar17" localSheetId="4">[52]splatnosti!#REF!</definedName>
    <definedName name="zmar17" localSheetId="14">[52]splatnosti!#REF!</definedName>
    <definedName name="zmar17" localSheetId="5">[52]splatnosti!#REF!</definedName>
    <definedName name="zmar17">[52]splatnosti!#REF!</definedName>
    <definedName name="zmar18" localSheetId="4">[53]Ardal_splatnosti!#REF!</definedName>
    <definedName name="zmar18" localSheetId="14">[53]Ardal_splatnosti!#REF!</definedName>
    <definedName name="zmar18" localSheetId="5">[53]Ardal_splatnosti!#REF!</definedName>
    <definedName name="zmar18">[53]Ardal_splatnosti!#REF!</definedName>
    <definedName name="zmar19" localSheetId="4">[53]Ardal_splatnosti!#REF!</definedName>
    <definedName name="zmar19" localSheetId="14">[53]Ardal_splatnosti!#REF!</definedName>
    <definedName name="zmar19" localSheetId="5">[53]Ardal_splatnosti!#REF!</definedName>
    <definedName name="zmar19">[53]Ardal_splatnosti!#REF!</definedName>
    <definedName name="zmar20" localSheetId="4">[53]Ardal_splatnosti!#REF!</definedName>
    <definedName name="zmar20" localSheetId="14">[53]Ardal_splatnosti!#REF!</definedName>
    <definedName name="zmar20" localSheetId="5">[53]Ardal_splatnosti!#REF!</definedName>
    <definedName name="zmar20">[53]Ardal_splatnosti!#REF!</definedName>
    <definedName name="zmar21" localSheetId="4">[53]Ardal_splatnosti!#REF!</definedName>
    <definedName name="zmar21" localSheetId="14">[53]Ardal_splatnosti!#REF!</definedName>
    <definedName name="zmar21" localSheetId="5">[53]Ardal_splatnosti!#REF!</definedName>
    <definedName name="zmar21">[53]Ardal_splatnosti!#REF!</definedName>
    <definedName name="znov16" localSheetId="4">[52]splatnosti!#REF!</definedName>
    <definedName name="znov16" localSheetId="14">[52]splatnosti!#REF!</definedName>
    <definedName name="znov16" localSheetId="5">[52]splatnosti!#REF!</definedName>
    <definedName name="znov16">[52]splatnosti!#REF!</definedName>
    <definedName name="znov17" localSheetId="4">[52]splatnosti!#REF!</definedName>
    <definedName name="znov17" localSheetId="14">[52]splatnosti!#REF!</definedName>
    <definedName name="znov17" localSheetId="5">[52]splatnosti!#REF!</definedName>
    <definedName name="znov17">[52]splatnosti!#REF!</definedName>
    <definedName name="znov18" localSheetId="4">[53]Ardal_splatnosti!#REF!</definedName>
    <definedName name="znov18" localSheetId="14">[53]Ardal_splatnosti!#REF!</definedName>
    <definedName name="znov18" localSheetId="5">[53]Ardal_splatnosti!#REF!</definedName>
    <definedName name="znov18">[53]Ardal_splatnosti!#REF!</definedName>
    <definedName name="znov19" localSheetId="4">[53]Ardal_splatnosti!#REF!</definedName>
    <definedName name="znov19" localSheetId="14">[53]Ardal_splatnosti!#REF!</definedName>
    <definedName name="znov19" localSheetId="5">[53]Ardal_splatnosti!#REF!</definedName>
    <definedName name="znov19">[53]Ardal_splatnosti!#REF!</definedName>
    <definedName name="znov20" localSheetId="4">[53]Ardal_splatnosti!#REF!</definedName>
    <definedName name="znov20" localSheetId="14">[53]Ardal_splatnosti!#REF!</definedName>
    <definedName name="znov20" localSheetId="5">[53]Ardal_splatnosti!#REF!</definedName>
    <definedName name="znov20">[53]Ardal_splatnosti!#REF!</definedName>
    <definedName name="znov21" localSheetId="4">[53]Ardal_splatnosti!#REF!</definedName>
    <definedName name="znov21" localSheetId="14">[53]Ardal_splatnosti!#REF!</definedName>
    <definedName name="znov21" localSheetId="5">[53]Ardal_splatnosti!#REF!</definedName>
    <definedName name="znov21">[53]Ardal_splatnosti!#REF!</definedName>
    <definedName name="zokt16" localSheetId="4">[52]splatnosti!#REF!</definedName>
    <definedName name="zokt16" localSheetId="14">[52]splatnosti!#REF!</definedName>
    <definedName name="zokt16" localSheetId="5">[52]splatnosti!#REF!</definedName>
    <definedName name="zokt16">[52]splatnosti!#REF!</definedName>
    <definedName name="zokt17" localSheetId="4">[52]splatnosti!#REF!</definedName>
    <definedName name="zokt17" localSheetId="14">[52]splatnosti!#REF!</definedName>
    <definedName name="zokt17" localSheetId="5">[52]splatnosti!#REF!</definedName>
    <definedName name="zokt17">[52]splatnosti!#REF!</definedName>
    <definedName name="zokt18" localSheetId="4">[53]Ardal_splatnosti!#REF!</definedName>
    <definedName name="zokt18" localSheetId="14">[53]Ardal_splatnosti!#REF!</definedName>
    <definedName name="zokt18" localSheetId="5">[53]Ardal_splatnosti!#REF!</definedName>
    <definedName name="zokt18">[53]Ardal_splatnosti!#REF!</definedName>
    <definedName name="zokt19" localSheetId="4">[53]Ardal_splatnosti!#REF!</definedName>
    <definedName name="zokt19" localSheetId="14">[53]Ardal_splatnosti!#REF!</definedName>
    <definedName name="zokt19" localSheetId="5">[53]Ardal_splatnosti!#REF!</definedName>
    <definedName name="zokt19">[53]Ardal_splatnosti!#REF!</definedName>
    <definedName name="zokt20" localSheetId="4">[53]Ardal_splatnosti!#REF!</definedName>
    <definedName name="zokt20" localSheetId="14">[53]Ardal_splatnosti!#REF!</definedName>
    <definedName name="zokt20" localSheetId="5">[53]Ardal_splatnosti!#REF!</definedName>
    <definedName name="zokt20">[53]Ardal_splatnosti!#REF!</definedName>
    <definedName name="zokt21" localSheetId="4">[53]Ardal_splatnosti!#REF!</definedName>
    <definedName name="zokt21" localSheetId="14">[53]Ardal_splatnosti!#REF!</definedName>
    <definedName name="zokt21" localSheetId="5">[53]Ardal_splatnosti!#REF!</definedName>
    <definedName name="zokt21">[53]Ardal_splatnosti!#REF!</definedName>
    <definedName name="ZPee_2" localSheetId="4">[26]Graf14_Graf15!#REF!</definedName>
    <definedName name="ZPee_2" localSheetId="14">[26]Graf14_Graf15!#REF!</definedName>
    <definedName name="ZPee_2" localSheetId="5">[26]Graf14_Graf15!#REF!</definedName>
    <definedName name="ZPee_2" localSheetId="10">[26]Graf14_Graf15!#REF!</definedName>
    <definedName name="ZPee_2">[26]Graf14_Graf15!#REF!</definedName>
    <definedName name="ZPer_2" localSheetId="4">[26]Graf14_Graf15!#REF!</definedName>
    <definedName name="ZPer_2" localSheetId="14">[26]Graf14_Graf15!#REF!</definedName>
    <definedName name="ZPer_2" localSheetId="5">[26]Graf14_Graf15!#REF!</definedName>
    <definedName name="ZPer_2" localSheetId="10">[26]Graf14_Graf15!#REF!</definedName>
    <definedName name="ZPer_2">[26]Graf14_Graf15!#REF!</definedName>
    <definedName name="zpiz">[38]ZPIZ!$A$1:$F$65536</definedName>
    <definedName name="zsep16" localSheetId="4">[52]splatnosti!#REF!</definedName>
    <definedName name="zsep16" localSheetId="14">[52]splatnosti!#REF!</definedName>
    <definedName name="zsep16" localSheetId="5">[52]splatnosti!#REF!</definedName>
    <definedName name="zsep16">[52]splatnosti!#REF!</definedName>
    <definedName name="zsep17" localSheetId="4">[52]splatnosti!#REF!</definedName>
    <definedName name="zsep17" localSheetId="14">[52]splatnosti!#REF!</definedName>
    <definedName name="zsep17" localSheetId="5">[52]splatnosti!#REF!</definedName>
    <definedName name="zsep17">[52]splatnosti!#REF!</definedName>
    <definedName name="zsep18" localSheetId="4">[53]Ardal_splatnosti!#REF!</definedName>
    <definedName name="zsep18" localSheetId="14">[53]Ardal_splatnosti!#REF!</definedName>
    <definedName name="zsep18" localSheetId="5">[53]Ardal_splatnosti!#REF!</definedName>
    <definedName name="zsep18">[53]Ardal_splatnosti!#REF!</definedName>
    <definedName name="zsep19" localSheetId="4">[53]Ardal_splatnosti!#REF!</definedName>
    <definedName name="zsep19" localSheetId="14">[53]Ardal_splatnosti!#REF!</definedName>
    <definedName name="zsep19" localSheetId="5">[53]Ardal_splatnosti!#REF!</definedName>
    <definedName name="zsep19">[53]Ardal_splatnosti!#REF!</definedName>
    <definedName name="zsep20" localSheetId="4">[53]Ardal_splatnosti!#REF!</definedName>
    <definedName name="zsep20" localSheetId="14">[53]Ardal_splatnosti!#REF!</definedName>
    <definedName name="zsep20" localSheetId="5">[53]Ardal_splatnosti!#REF!</definedName>
    <definedName name="zsep20">[53]Ardal_splatnosti!#REF!</definedName>
    <definedName name="zsep21" localSheetId="4">[53]Ardal_splatnosti!#REF!</definedName>
    <definedName name="zsep21" localSheetId="14">[53]Ardal_splatnosti!#REF!</definedName>
    <definedName name="zsep21" localSheetId="5">[53]Ardal_splatnosti!#REF!</definedName>
    <definedName name="zsep21">[53]Ardal_splatnosti!#REF!</definedName>
    <definedName name="zz" localSheetId="7" hidden="1">{"Tab1",#N/A,FALSE,"P";"Tab2",#N/A,FALSE,"P"}</definedName>
    <definedName name="zz" localSheetId="8" hidden="1">{"Tab1",#N/A,FALSE,"P";"Tab2",#N/A,FALSE,"P"}</definedName>
    <definedName name="zz" localSheetId="10" hidden="1">{"Tab1",#N/A,FALSE,"P";"Tab2",#N/A,FALSE,"P"}</definedName>
    <definedName name="zz" localSheetId="1" hidden="1">{"Tab1",#N/A,FALSE,"P";"Tab2",#N/A,FALSE,"P"}</definedName>
    <definedName name="zz" localSheetId="3" hidden="1">{"Tab1",#N/A,FALSE,"P";"Tab2",#N/A,FALSE,"P"}</definedName>
    <definedName name="zz" hidden="1">{"Tab1",#N/A,FALSE,"P";"Tab2",#N/A,FALSE,"P"}</definedName>
    <definedName name="zzzs">[38]ZZZS!$A$1:$E$65536</definedName>
  </definedNames>
  <calcPr calcId="162913"/>
</workbook>
</file>

<file path=xl/calcChain.xml><?xml version="1.0" encoding="utf-8"?>
<calcChain xmlns="http://schemas.openxmlformats.org/spreadsheetml/2006/main">
  <c r="D30" i="271" l="1"/>
  <c r="D11" i="271"/>
  <c r="D28" i="270"/>
  <c r="D10" i="270"/>
  <c r="E30" i="229" l="1"/>
  <c r="F30" i="229"/>
  <c r="G30" i="229"/>
  <c r="H30" i="229"/>
  <c r="D30" i="229"/>
  <c r="E32" i="203" l="1"/>
  <c r="F32" i="203"/>
  <c r="G32" i="203"/>
  <c r="H32" i="203"/>
  <c r="D32" i="203"/>
  <c r="E78" i="203"/>
  <c r="F78" i="203"/>
  <c r="G78" i="203"/>
  <c r="H78" i="203"/>
  <c r="D78" i="203"/>
  <c r="C24" i="282" l="1"/>
  <c r="D24" i="282"/>
  <c r="E24" i="282"/>
  <c r="F24" i="282"/>
  <c r="B24" i="282"/>
  <c r="S92" i="193" l="1"/>
  <c r="U92" i="193" l="1"/>
  <c r="U93" i="193" s="1"/>
  <c r="M5" i="123"/>
  <c r="L5" i="123"/>
  <c r="K5" i="123"/>
  <c r="M21" i="123"/>
  <c r="L21" i="123"/>
  <c r="K21" i="123"/>
  <c r="M20" i="123"/>
  <c r="L20" i="123"/>
  <c r="K20" i="123"/>
  <c r="M19" i="123"/>
  <c r="L19" i="123"/>
  <c r="K19" i="123"/>
  <c r="M18" i="123"/>
  <c r="M15" i="123" s="1"/>
  <c r="L18" i="123"/>
  <c r="K18" i="123"/>
  <c r="M17" i="123"/>
  <c r="L17" i="123"/>
  <c r="K17" i="123"/>
  <c r="M16" i="123"/>
  <c r="L16" i="123"/>
  <c r="L15" i="123" s="1"/>
  <c r="K16" i="123"/>
  <c r="K15" i="123" s="1"/>
  <c r="M14" i="123"/>
  <c r="L14" i="123"/>
  <c r="K14" i="123"/>
  <c r="M13" i="123"/>
  <c r="L13" i="123"/>
  <c r="K13" i="123"/>
  <c r="M12" i="123"/>
  <c r="L12" i="123"/>
  <c r="K12" i="123"/>
  <c r="M11" i="123"/>
  <c r="L11" i="123"/>
  <c r="K11" i="123"/>
  <c r="M10" i="123"/>
  <c r="L10" i="123"/>
  <c r="K10" i="123"/>
  <c r="M9" i="123"/>
  <c r="L9" i="123"/>
  <c r="K9" i="123"/>
  <c r="M8" i="123"/>
  <c r="L8" i="123"/>
  <c r="K8" i="123"/>
  <c r="M7" i="123"/>
  <c r="L7" i="123"/>
  <c r="K7" i="123"/>
  <c r="M6" i="123"/>
  <c r="L6" i="123"/>
  <c r="K6" i="123"/>
  <c r="Z8" i="262" l="1"/>
  <c r="W8" i="262"/>
  <c r="V8" i="262"/>
  <c r="Q8" i="262"/>
  <c r="N8" i="262"/>
  <c r="K8" i="262"/>
  <c r="J8" i="262"/>
  <c r="I8" i="262"/>
  <c r="F8" i="262"/>
  <c r="S8" i="262"/>
  <c r="R8" i="262"/>
  <c r="O8" i="262"/>
  <c r="G8" i="262"/>
  <c r="C8" i="262"/>
  <c r="D8" i="262"/>
  <c r="E8" i="262"/>
  <c r="H8" i="262"/>
  <c r="L8" i="262"/>
  <c r="M8" i="262"/>
  <c r="P8" i="262"/>
  <c r="T8" i="262"/>
  <c r="U8" i="262"/>
  <c r="X8" i="262"/>
  <c r="Y8" i="262"/>
  <c r="B8" i="262"/>
  <c r="M25" i="253" l="1"/>
  <c r="N25" i="253"/>
  <c r="O25" i="253"/>
  <c r="P25" i="253"/>
  <c r="Q25" i="253"/>
  <c r="R25" i="253"/>
  <c r="S25" i="253"/>
  <c r="T25" i="253"/>
  <c r="U25" i="253"/>
  <c r="V25" i="253"/>
  <c r="W25" i="253"/>
  <c r="X25" i="253"/>
  <c r="Y25" i="253"/>
  <c r="Z25" i="253"/>
  <c r="AA25" i="253"/>
  <c r="AB25" i="253"/>
  <c r="AC25" i="253"/>
  <c r="AD25" i="253"/>
  <c r="L25" i="253"/>
  <c r="T31" i="260" l="1"/>
  <c r="T32" i="260"/>
  <c r="D15" i="123" l="1"/>
  <c r="E15" i="123"/>
  <c r="F15" i="123"/>
  <c r="D50" i="196" l="1"/>
  <c r="E50" i="196"/>
  <c r="F50" i="196"/>
  <c r="G50" i="196"/>
  <c r="H50" i="196"/>
  <c r="I50" i="196"/>
  <c r="C50" i="196"/>
  <c r="D49" i="196"/>
  <c r="E49" i="196"/>
  <c r="F49" i="196"/>
  <c r="G49" i="196"/>
  <c r="H49" i="196"/>
  <c r="I49" i="196"/>
  <c r="C49" i="196"/>
  <c r="D48" i="196"/>
  <c r="E48" i="196"/>
  <c r="F48" i="196"/>
  <c r="G48" i="196"/>
  <c r="H48" i="196"/>
  <c r="I48" i="196"/>
  <c r="C48" i="196"/>
  <c r="D47" i="196"/>
  <c r="E47" i="196"/>
  <c r="F47" i="196"/>
  <c r="G47" i="196"/>
  <c r="H47" i="196"/>
  <c r="I47" i="196"/>
  <c r="C47" i="196"/>
  <c r="D46" i="196"/>
  <c r="E46" i="196"/>
  <c r="F46" i="196"/>
  <c r="G46" i="196"/>
  <c r="H46" i="196"/>
  <c r="I46" i="196"/>
  <c r="C46" i="196"/>
  <c r="D45" i="196"/>
  <c r="E45" i="196"/>
  <c r="F45" i="196"/>
  <c r="G45" i="196"/>
  <c r="H45" i="196"/>
  <c r="I45" i="196"/>
  <c r="C45" i="196"/>
  <c r="C34" i="196"/>
  <c r="D34" i="196"/>
  <c r="E34" i="196"/>
  <c r="F34" i="196"/>
  <c r="G34" i="196"/>
  <c r="H34" i="196"/>
  <c r="I34" i="196"/>
  <c r="C35" i="196"/>
  <c r="D35" i="196"/>
  <c r="E35" i="196"/>
  <c r="F35" i="196"/>
  <c r="G35" i="196"/>
  <c r="H35" i="196"/>
  <c r="I35" i="196"/>
  <c r="C36" i="196"/>
  <c r="D36" i="196"/>
  <c r="E36" i="196"/>
  <c r="F36" i="196"/>
  <c r="G36" i="196"/>
  <c r="H36" i="196"/>
  <c r="I36" i="196"/>
  <c r="C37" i="196"/>
  <c r="D37" i="196"/>
  <c r="E37" i="196"/>
  <c r="F37" i="196"/>
  <c r="G37" i="196"/>
  <c r="H37" i="196"/>
  <c r="I37" i="196"/>
  <c r="C38" i="196"/>
  <c r="D38" i="196"/>
  <c r="E38" i="196"/>
  <c r="F38" i="196"/>
  <c r="G38" i="196"/>
  <c r="H38" i="196"/>
  <c r="I38" i="196"/>
  <c r="C39" i="196"/>
  <c r="D39" i="196"/>
  <c r="E39" i="196"/>
  <c r="F39" i="196"/>
  <c r="G39" i="196"/>
  <c r="H39" i="196"/>
  <c r="I39" i="196"/>
  <c r="C40" i="196"/>
  <c r="D40" i="196"/>
  <c r="E40" i="196"/>
  <c r="F40" i="196"/>
  <c r="G40" i="196"/>
  <c r="H40" i="196"/>
  <c r="I40" i="196"/>
  <c r="C41" i="196"/>
  <c r="D41" i="196"/>
  <c r="E41" i="196"/>
  <c r="F41" i="196"/>
  <c r="G41" i="196"/>
  <c r="H41" i="196"/>
  <c r="I41" i="196"/>
  <c r="C42" i="196"/>
  <c r="D42" i="196"/>
  <c r="E42" i="196"/>
  <c r="F42" i="196"/>
  <c r="G42" i="196"/>
  <c r="H42" i="196"/>
  <c r="I42" i="196"/>
  <c r="C43" i="196"/>
  <c r="D43" i="196"/>
  <c r="E43" i="196"/>
  <c r="F43" i="196"/>
  <c r="G43" i="196"/>
  <c r="H43" i="196"/>
  <c r="I43" i="196"/>
  <c r="C44" i="196"/>
  <c r="D44" i="196"/>
  <c r="E44" i="196"/>
  <c r="F44" i="196"/>
  <c r="G44" i="196"/>
  <c r="H44" i="196"/>
  <c r="I44" i="196"/>
  <c r="D33" i="196"/>
  <c r="E33" i="196"/>
  <c r="F33" i="196"/>
  <c r="G33" i="196"/>
  <c r="H33" i="196"/>
  <c r="I33" i="196"/>
  <c r="C33" i="196"/>
  <c r="D31" i="196"/>
  <c r="E31" i="196"/>
  <c r="F31" i="196"/>
  <c r="G31" i="196"/>
  <c r="H31" i="196"/>
  <c r="I31" i="196"/>
  <c r="C31" i="196"/>
  <c r="G48" i="253" l="1"/>
  <c r="H48" i="253"/>
  <c r="G49" i="253"/>
  <c r="H49" i="253"/>
  <c r="G50" i="253"/>
  <c r="H50" i="253"/>
  <c r="G51" i="253"/>
  <c r="H51" i="253"/>
  <c r="G52" i="253"/>
  <c r="H52" i="253"/>
  <c r="G53" i="253"/>
  <c r="H53" i="253"/>
  <c r="G54" i="253"/>
  <c r="H54" i="253"/>
  <c r="C49" i="253" l="1"/>
  <c r="D49" i="253"/>
  <c r="E49" i="253"/>
  <c r="F49" i="253"/>
  <c r="C50" i="253"/>
  <c r="D50" i="253"/>
  <c r="E50" i="253"/>
  <c r="F50" i="253"/>
  <c r="C51" i="253"/>
  <c r="D51" i="253"/>
  <c r="E51" i="253"/>
  <c r="F51" i="253"/>
  <c r="C52" i="253"/>
  <c r="D52" i="253"/>
  <c r="E52" i="253"/>
  <c r="F52" i="253"/>
  <c r="C53" i="253"/>
  <c r="D53" i="253"/>
  <c r="E53" i="253"/>
  <c r="F53" i="253"/>
  <c r="C54" i="253"/>
  <c r="D54" i="253"/>
  <c r="E54" i="253"/>
  <c r="F54" i="253"/>
  <c r="B50" i="253"/>
  <c r="B51" i="253"/>
  <c r="B52" i="253"/>
  <c r="B53" i="253"/>
  <c r="B54" i="253"/>
  <c r="T92" i="193" l="1"/>
  <c r="T93" i="193" s="1"/>
  <c r="D13" i="262" l="1"/>
  <c r="E13" i="262" s="1"/>
  <c r="F13" i="262" s="1"/>
  <c r="G13" i="262" s="1"/>
  <c r="H13" i="262" s="1"/>
  <c r="I13" i="262" s="1"/>
  <c r="J13" i="262" s="1"/>
  <c r="K13" i="262" s="1"/>
  <c r="L13" i="262" s="1"/>
  <c r="M13" i="262" s="1"/>
  <c r="D12" i="262"/>
  <c r="E12" i="262" s="1"/>
  <c r="F12" i="262" s="1"/>
  <c r="G12" i="262" s="1"/>
  <c r="H12" i="262" s="1"/>
  <c r="I12" i="262" s="1"/>
  <c r="J12" i="262" s="1"/>
  <c r="K12" i="262" s="1"/>
  <c r="L12" i="262" s="1"/>
  <c r="M12" i="262" s="1"/>
  <c r="N32" i="260" l="1"/>
  <c r="O32" i="260" s="1"/>
  <c r="P32" i="260" s="1"/>
  <c r="Q32" i="260" s="1"/>
  <c r="R32" i="260" s="1"/>
  <c r="S32" i="260" s="1"/>
  <c r="L32" i="260"/>
  <c r="K32" i="260" s="1"/>
  <c r="J32" i="260" s="1"/>
  <c r="I32" i="260" s="1"/>
  <c r="H32" i="260" s="1"/>
  <c r="G32" i="260" s="1"/>
  <c r="F32" i="260" s="1"/>
  <c r="N31" i="260"/>
  <c r="O31" i="260" s="1"/>
  <c r="P31" i="260" s="1"/>
  <c r="Q31" i="260" s="1"/>
  <c r="R31" i="260" s="1"/>
  <c r="S31" i="260" s="1"/>
  <c r="L31" i="260"/>
  <c r="K31" i="260" s="1"/>
  <c r="J31" i="260" s="1"/>
  <c r="I31" i="260" s="1"/>
  <c r="H31" i="260" s="1"/>
  <c r="G31" i="260" s="1"/>
  <c r="F31" i="260" s="1"/>
  <c r="B49" i="253" l="1"/>
  <c r="F48" i="253"/>
  <c r="E48" i="253"/>
  <c r="D48" i="253"/>
  <c r="C48" i="253"/>
  <c r="B48" i="253"/>
  <c r="R92" i="193" l="1"/>
  <c r="R93" i="193" s="1"/>
  <c r="S93" i="193"/>
  <c r="J18" i="193" l="1"/>
  <c r="M92" i="193" l="1"/>
  <c r="J44" i="193" l="1"/>
  <c r="I44" i="193"/>
  <c r="J43" i="193"/>
  <c r="I43" i="193"/>
  <c r="J41" i="193"/>
  <c r="I41" i="193"/>
  <c r="J39" i="193"/>
  <c r="I39" i="193"/>
  <c r="J38" i="193"/>
  <c r="I38" i="193"/>
  <c r="J37" i="193"/>
  <c r="I37" i="193"/>
  <c r="J36" i="193"/>
  <c r="I36" i="193"/>
  <c r="J35" i="193"/>
  <c r="I35" i="193"/>
  <c r="J30" i="193"/>
  <c r="J29" i="193" s="1"/>
  <c r="I30" i="193"/>
  <c r="I29" i="193" s="1"/>
  <c r="J25" i="193"/>
  <c r="J24" i="193"/>
  <c r="J22" i="193"/>
  <c r="J20" i="193"/>
  <c r="J19" i="193"/>
  <c r="I18" i="193"/>
  <c r="J11" i="193"/>
  <c r="I11" i="193"/>
  <c r="J10" i="193"/>
  <c r="J9" i="193"/>
  <c r="J8" i="193" s="1"/>
  <c r="I9" i="193"/>
  <c r="J89" i="193"/>
  <c r="I89" i="193"/>
  <c r="H89" i="193"/>
  <c r="F89" i="193"/>
  <c r="C89" i="193"/>
  <c r="J88" i="193"/>
  <c r="I88" i="193"/>
  <c r="H88" i="193"/>
  <c r="E88" i="193"/>
  <c r="J87" i="193"/>
  <c r="I87" i="193"/>
  <c r="H87" i="193"/>
  <c r="G87" i="193"/>
  <c r="F87" i="193"/>
  <c r="E87" i="193"/>
  <c r="D87" i="193"/>
  <c r="D86" i="193" s="1"/>
  <c r="C87" i="193"/>
  <c r="C86" i="193" s="1"/>
  <c r="G86" i="193"/>
  <c r="J84" i="193"/>
  <c r="J82" i="193"/>
  <c r="I82" i="193"/>
  <c r="H82" i="193"/>
  <c r="G82" i="193"/>
  <c r="J81" i="193"/>
  <c r="I81" i="193"/>
  <c r="H81" i="193"/>
  <c r="G81" i="193"/>
  <c r="F81" i="193"/>
  <c r="E81" i="193"/>
  <c r="D81" i="193"/>
  <c r="C81" i="193"/>
  <c r="J77" i="193"/>
  <c r="H77" i="193"/>
  <c r="G77" i="193"/>
  <c r="F77" i="193"/>
  <c r="E77" i="193"/>
  <c r="D77" i="193"/>
  <c r="C77" i="193"/>
  <c r="J70" i="193"/>
  <c r="I70" i="193"/>
  <c r="H70" i="193"/>
  <c r="G70" i="193"/>
  <c r="F70" i="193"/>
  <c r="E70" i="193"/>
  <c r="D70" i="193"/>
  <c r="C70" i="193"/>
  <c r="J68" i="193"/>
  <c r="I68" i="193"/>
  <c r="H68" i="193"/>
  <c r="J67" i="193"/>
  <c r="I67" i="193"/>
  <c r="H67" i="193"/>
  <c r="J65" i="193"/>
  <c r="I65" i="193"/>
  <c r="H65" i="193"/>
  <c r="G65" i="193"/>
  <c r="F65" i="193"/>
  <c r="E65" i="193"/>
  <c r="D65" i="193"/>
  <c r="C65" i="193"/>
  <c r="J64" i="193"/>
  <c r="I64" i="193"/>
  <c r="H64" i="193"/>
  <c r="G64" i="193"/>
  <c r="F64" i="193"/>
  <c r="E64" i="193"/>
  <c r="D64" i="193"/>
  <c r="C64" i="193"/>
  <c r="I63" i="193"/>
  <c r="J62" i="193"/>
  <c r="I62" i="193"/>
  <c r="H62" i="193"/>
  <c r="G62" i="193"/>
  <c r="F62" i="193"/>
  <c r="E62" i="193"/>
  <c r="D62" i="193"/>
  <c r="C62" i="193"/>
  <c r="J61" i="193"/>
  <c r="I61" i="193"/>
  <c r="H61" i="193"/>
  <c r="G61" i="193"/>
  <c r="F61" i="193"/>
  <c r="E61" i="193"/>
  <c r="D61" i="193"/>
  <c r="C61" i="193"/>
  <c r="J59" i="193"/>
  <c r="I59" i="193"/>
  <c r="H59" i="193"/>
  <c r="G59" i="193"/>
  <c r="F59" i="193"/>
  <c r="E59" i="193"/>
  <c r="D59" i="193"/>
  <c r="C59" i="193"/>
  <c r="J58" i="193"/>
  <c r="I58" i="193"/>
  <c r="H58" i="193"/>
  <c r="G58" i="193"/>
  <c r="F58" i="193"/>
  <c r="E58" i="193"/>
  <c r="D58" i="193"/>
  <c r="C58" i="193"/>
  <c r="J57" i="193"/>
  <c r="I57" i="193"/>
  <c r="H57" i="193"/>
  <c r="G57" i="193"/>
  <c r="F57" i="193"/>
  <c r="E57" i="193"/>
  <c r="D57" i="193"/>
  <c r="C57" i="193"/>
  <c r="I56" i="193"/>
  <c r="H56" i="193"/>
  <c r="G56" i="193"/>
  <c r="F56" i="193"/>
  <c r="E56" i="193"/>
  <c r="D56" i="193"/>
  <c r="C56" i="193"/>
  <c r="J55" i="193"/>
  <c r="I55" i="193"/>
  <c r="H55" i="193"/>
  <c r="G55" i="193"/>
  <c r="F55" i="193"/>
  <c r="E55" i="193"/>
  <c r="D55" i="193"/>
  <c r="J54" i="193"/>
  <c r="I54" i="193"/>
  <c r="H54" i="193"/>
  <c r="G54" i="193"/>
  <c r="F54" i="193"/>
  <c r="E54" i="193"/>
  <c r="D54" i="193"/>
  <c r="C54" i="193"/>
  <c r="J53" i="193"/>
  <c r="I53" i="193"/>
  <c r="H53" i="193"/>
  <c r="G53" i="193"/>
  <c r="F53" i="193"/>
  <c r="E53" i="193"/>
  <c r="D53" i="193"/>
  <c r="C53" i="193"/>
  <c r="J51" i="193"/>
  <c r="I51" i="193"/>
  <c r="H51" i="193"/>
  <c r="G51" i="193"/>
  <c r="F51" i="193"/>
  <c r="E51" i="193"/>
  <c r="D51" i="193"/>
  <c r="C51" i="193"/>
  <c r="J49" i="193"/>
  <c r="J48" i="193"/>
  <c r="I48" i="193"/>
  <c r="H48" i="193"/>
  <c r="G48" i="193"/>
  <c r="F48" i="193"/>
  <c r="E48" i="193"/>
  <c r="D48" i="193"/>
  <c r="C48" i="193"/>
  <c r="H44" i="193"/>
  <c r="G44" i="193"/>
  <c r="F44" i="193"/>
  <c r="E44" i="193"/>
  <c r="D44" i="193"/>
  <c r="C44" i="193"/>
  <c r="H43" i="193"/>
  <c r="G43" i="193"/>
  <c r="F43" i="193"/>
  <c r="E43" i="193"/>
  <c r="D43" i="193"/>
  <c r="C43" i="193"/>
  <c r="H41" i="193"/>
  <c r="G41" i="193"/>
  <c r="F41" i="193"/>
  <c r="E41" i="193"/>
  <c r="D41" i="193"/>
  <c r="C41" i="193"/>
  <c r="H39" i="193"/>
  <c r="G39" i="193"/>
  <c r="F39" i="193"/>
  <c r="E39" i="193"/>
  <c r="D39" i="193"/>
  <c r="C39" i="193"/>
  <c r="H37" i="193"/>
  <c r="G37" i="193"/>
  <c r="F37" i="193"/>
  <c r="E37" i="193"/>
  <c r="D37" i="193"/>
  <c r="C37" i="193"/>
  <c r="H36" i="193"/>
  <c r="G36" i="193"/>
  <c r="F36" i="193"/>
  <c r="E36" i="193"/>
  <c r="D36" i="193"/>
  <c r="C36" i="193"/>
  <c r="H35" i="193"/>
  <c r="G35" i="193"/>
  <c r="F35" i="193"/>
  <c r="E35" i="193"/>
  <c r="D35" i="193"/>
  <c r="C35" i="193"/>
  <c r="H31" i="193"/>
  <c r="H30" i="193"/>
  <c r="G30" i="193"/>
  <c r="G29" i="193" s="1"/>
  <c r="G28" i="193" s="1"/>
  <c r="F30" i="193"/>
  <c r="F29" i="193" s="1"/>
  <c r="F28" i="193" s="1"/>
  <c r="E30" i="193"/>
  <c r="E29" i="193" s="1"/>
  <c r="E28" i="193" s="1"/>
  <c r="D30" i="193"/>
  <c r="D29" i="193" s="1"/>
  <c r="C30" i="193"/>
  <c r="C29" i="193" s="1"/>
  <c r="C20" i="193"/>
  <c r="H18" i="193"/>
  <c r="G18" i="193"/>
  <c r="F18" i="193"/>
  <c r="E18" i="193"/>
  <c r="D18" i="193"/>
  <c r="C18" i="193"/>
  <c r="H11" i="193"/>
  <c r="G11" i="193"/>
  <c r="F11" i="193"/>
  <c r="E11" i="193"/>
  <c r="D11" i="193"/>
  <c r="C11" i="193"/>
  <c r="H9" i="193"/>
  <c r="H8" i="193" s="1"/>
  <c r="G9" i="193"/>
  <c r="G8" i="193" s="1"/>
  <c r="F9" i="193"/>
  <c r="E9" i="193"/>
  <c r="D9" i="193"/>
  <c r="C9" i="193"/>
  <c r="E8" i="193" l="1"/>
  <c r="F8" i="193"/>
  <c r="H29" i="193"/>
  <c r="H28" i="193" s="1"/>
  <c r="C60" i="193"/>
  <c r="J34" i="193"/>
  <c r="J33" i="193" s="1"/>
  <c r="E86" i="193"/>
  <c r="E85" i="193" s="1"/>
  <c r="H52" i="193"/>
  <c r="H47" i="193" s="1"/>
  <c r="J52" i="193"/>
  <c r="J47" i="193" s="1"/>
  <c r="E60" i="193"/>
  <c r="I60" i="193"/>
  <c r="D52" i="193"/>
  <c r="D47" i="193" s="1"/>
  <c r="I86" i="193"/>
  <c r="I85" i="193" s="1"/>
  <c r="F52" i="193"/>
  <c r="F47" i="193" s="1"/>
  <c r="F86" i="193"/>
  <c r="F85" i="193" s="1"/>
  <c r="I8" i="193"/>
  <c r="I40" i="193"/>
  <c r="E52" i="193"/>
  <c r="E47" i="193" s="1"/>
  <c r="I52" i="193"/>
  <c r="I47" i="193" s="1"/>
  <c r="D60" i="193"/>
  <c r="H60" i="193"/>
  <c r="J86" i="193"/>
  <c r="J85" i="193" s="1"/>
  <c r="J40" i="193"/>
  <c r="I34" i="193"/>
  <c r="I33" i="193" s="1"/>
  <c r="C52" i="193"/>
  <c r="C47" i="193" s="1"/>
  <c r="G52" i="193"/>
  <c r="G47" i="193" s="1"/>
  <c r="F60" i="193"/>
  <c r="J60" i="193"/>
  <c r="G60" i="193"/>
  <c r="H86" i="193"/>
  <c r="H85" i="193" s="1"/>
  <c r="G85" i="193"/>
  <c r="C85" i="193"/>
  <c r="D85" i="193"/>
  <c r="K45" i="193" l="1"/>
  <c r="K46" i="193" s="1"/>
  <c r="J45" i="193"/>
  <c r="J46" i="193" s="1"/>
  <c r="N92" i="193" l="1"/>
  <c r="N93" i="193" l="1"/>
  <c r="Q92" i="193" l="1"/>
  <c r="Q93" i="193" s="1"/>
  <c r="H40" i="193" l="1"/>
  <c r="G40" i="193"/>
  <c r="F40" i="193"/>
  <c r="D40" i="193"/>
  <c r="C40" i="193"/>
  <c r="E40" i="193"/>
  <c r="H34" i="193"/>
  <c r="H33" i="193" s="1"/>
  <c r="G34" i="193"/>
  <c r="G33" i="193" s="1"/>
  <c r="F34" i="193"/>
  <c r="F33" i="193" s="1"/>
  <c r="E34" i="193"/>
  <c r="E33" i="193" s="1"/>
  <c r="D34" i="193"/>
  <c r="D33" i="193" s="1"/>
  <c r="C34" i="193"/>
  <c r="C33" i="193" s="1"/>
  <c r="D28" i="193"/>
  <c r="L6" i="193"/>
  <c r="D8" i="193"/>
  <c r="C8" i="193"/>
  <c r="C28" i="193"/>
  <c r="O92" i="193" l="1"/>
  <c r="O93" i="193" s="1"/>
  <c r="L7" i="193"/>
  <c r="L92" i="193"/>
  <c r="L93" i="193" s="1"/>
  <c r="E6" i="193"/>
  <c r="E7" i="193" s="1"/>
  <c r="K6" i="193"/>
  <c r="K7" i="193" s="1"/>
  <c r="D6" i="193"/>
  <c r="D7" i="193" s="1"/>
  <c r="C6" i="193"/>
  <c r="C7" i="193" s="1"/>
  <c r="F6" i="193"/>
  <c r="F7" i="193" s="1"/>
  <c r="J6" i="193"/>
  <c r="J7" i="193" s="1"/>
  <c r="G45" i="193"/>
  <c r="G46" i="193" s="1"/>
  <c r="E45" i="193"/>
  <c r="E46" i="193" s="1"/>
  <c r="H6" i="193"/>
  <c r="H7" i="193" s="1"/>
  <c r="I6" i="193"/>
  <c r="I7" i="193" s="1"/>
  <c r="H45" i="193"/>
  <c r="C45" i="193"/>
  <c r="C46" i="193" s="1"/>
  <c r="G6" i="193"/>
  <c r="G7" i="193" s="1"/>
  <c r="I45" i="193"/>
  <c r="I46" i="193" s="1"/>
  <c r="D45" i="193"/>
  <c r="F45" i="193"/>
  <c r="K92" i="193" l="1"/>
  <c r="K93" i="193" s="1"/>
  <c r="H92" i="193"/>
  <c r="H93" i="193" s="1"/>
  <c r="D92" i="193"/>
  <c r="D93" i="193" s="1"/>
  <c r="G92" i="193"/>
  <c r="G93" i="193" s="1"/>
  <c r="E92" i="193"/>
  <c r="E93" i="193" s="1"/>
  <c r="C92" i="193"/>
  <c r="C93" i="193" s="1"/>
  <c r="M93" i="193"/>
  <c r="I92" i="193"/>
  <c r="I93" i="193" s="1"/>
  <c r="H46" i="193"/>
  <c r="D46" i="193"/>
  <c r="J92" i="193"/>
  <c r="J93" i="193" s="1"/>
  <c r="F46" i="193"/>
  <c r="F92" i="193"/>
  <c r="F93" i="193" s="1"/>
  <c r="P92" i="193" l="1"/>
  <c r="P93" i="193" s="1"/>
</calcChain>
</file>

<file path=xl/sharedStrings.xml><?xml version="1.0" encoding="utf-8"?>
<sst xmlns="http://schemas.openxmlformats.org/spreadsheetml/2006/main" count="921" uniqueCount="655">
  <si>
    <t>Zdroj: MF SR</t>
  </si>
  <si>
    <t>v % HDP</t>
  </si>
  <si>
    <t>NPC</t>
  </si>
  <si>
    <t>A. Hrubý dlh verejnej správy (k 1.1.)</t>
  </si>
  <si>
    <t>B. Celková medziročná zmena hrubého dlhu VS</t>
  </si>
  <si>
    <t>z toho: NDS</t>
  </si>
  <si>
    <t>C. Hrubý dlh verejnej správy (k 31.12.)</t>
  </si>
  <si>
    <t>Celkové výdavky</t>
  </si>
  <si>
    <t>Príjmy spolu</t>
  </si>
  <si>
    <t>D.2</t>
  </si>
  <si>
    <t>Bežné dane z dôchodkov, majetku</t>
  </si>
  <si>
    <t>D.5</t>
  </si>
  <si>
    <t>Príspevky na sociálne zabezpečenie</t>
  </si>
  <si>
    <t>Výdavky spolu</t>
  </si>
  <si>
    <t>Kompenzácie zamestnancov</t>
  </si>
  <si>
    <t>Medzispotreba</t>
  </si>
  <si>
    <t>Subvencie</t>
  </si>
  <si>
    <t>Úrokové náklady</t>
  </si>
  <si>
    <t>Celkové sociálne transfery</t>
  </si>
  <si>
    <t>Kapitálové transfery</t>
  </si>
  <si>
    <t>ESA2010</t>
  </si>
  <si>
    <t>HDP</t>
  </si>
  <si>
    <t>z toho: Dopravné podniky obcí</t>
  </si>
  <si>
    <t xml:space="preserve"> - ostatné</t>
  </si>
  <si>
    <t>Príspevky k zmene hrubého dlhu verejnej správy:</t>
  </si>
  <si>
    <t>Primárne saldo</t>
  </si>
  <si>
    <t>Úroky</t>
  </si>
  <si>
    <t>Rast reálneho HDP</t>
  </si>
  <si>
    <t>Deflátor HDP</t>
  </si>
  <si>
    <t>Granty a transfery</t>
  </si>
  <si>
    <t>z toho: ŽSR + ŽSSK</t>
  </si>
  <si>
    <t>Spolu</t>
  </si>
  <si>
    <t xml:space="preserve"> - Mzdy a platy</t>
  </si>
  <si>
    <t xml:space="preserve"> - Sociálne príspevky zamestnávateľov</t>
  </si>
  <si>
    <t>Ostatné bežné transfery</t>
  </si>
  <si>
    <t>Dane</t>
  </si>
  <si>
    <t>Saldo VS (ESA 2010, v mil. eur)</t>
  </si>
  <si>
    <t>Zdroj ESA 2010</t>
  </si>
  <si>
    <t>Skutočnosť</t>
  </si>
  <si>
    <t xml:space="preserve">
Skutočnosť</t>
  </si>
  <si>
    <t>OS</t>
  </si>
  <si>
    <t>T0200</t>
  </si>
  <si>
    <t>Daňové príjmy</t>
  </si>
  <si>
    <t>suma</t>
  </si>
  <si>
    <t>suma (D2+D5+D91)</t>
  </si>
  <si>
    <t>Dane z produkcie a dovozu</t>
  </si>
  <si>
    <t>T0200 (D2)</t>
  </si>
  <si>
    <t xml:space="preserve"> - Daň z pridanej hodnoty (spolu so zdrojmi EÚ)</t>
  </si>
  <si>
    <t>T0900 (D211)</t>
  </si>
  <si>
    <t xml:space="preserve"> - Spotrebné dane</t>
  </si>
  <si>
    <t>T0900 (D2122C+D214A)</t>
  </si>
  <si>
    <t xml:space="preserve"> - Dane z majetku a iné</t>
  </si>
  <si>
    <t>T0200 (D5)</t>
  </si>
  <si>
    <t xml:space="preserve"> - Daň z príjmov fyzických osôb</t>
  </si>
  <si>
    <t>T0900 (D51A)</t>
  </si>
  <si>
    <t xml:space="preserve"> - zo závislej činnosti</t>
  </si>
  <si>
    <t>RK 111001</t>
  </si>
  <si>
    <t xml:space="preserve"> - z podnikania a inej samostatnej zár. činnosti</t>
  </si>
  <si>
    <t>RK111002</t>
  </si>
  <si>
    <t xml:space="preserve"> - Daň z príjmov právnických osôb</t>
  </si>
  <si>
    <t>T0900 (D51B)</t>
  </si>
  <si>
    <t xml:space="preserve"> - Daň z príjmov vyberaná zrážkou - rozp. klasif.</t>
  </si>
  <si>
    <t>T0900 (D51E)</t>
  </si>
  <si>
    <t>T0900 (D59A)</t>
  </si>
  <si>
    <t>Dane z kapitálu</t>
  </si>
  <si>
    <t>T0200 (D91)</t>
  </si>
  <si>
    <t>suma, T0200 (D61)</t>
  </si>
  <si>
    <t>Skutočné príspevky na sociálne zabezpečenie</t>
  </si>
  <si>
    <t>suma, T0900 (D611+D613)</t>
  </si>
  <si>
    <t xml:space="preserve"> - Príspevky zamestnávateľov</t>
  </si>
  <si>
    <t>T0900 (D6111+D6112 = D611)</t>
  </si>
  <si>
    <t>T0900 (D613CE)</t>
  </si>
  <si>
    <t>Imputované príspevky na sociálne zabezpečenie</t>
  </si>
  <si>
    <t>T0900 (D612)</t>
  </si>
  <si>
    <t>Nedaňové príjmy</t>
  </si>
  <si>
    <t>Tržby</t>
  </si>
  <si>
    <t xml:space="preserve"> - Trhová produkcia + Produkcia pre vlastné konečné použitie</t>
  </si>
  <si>
    <t>T0200 (P1M)</t>
  </si>
  <si>
    <t xml:space="preserve"> - Platby za ostatnú netrhovú produkciu</t>
  </si>
  <si>
    <t>T0200 (P131)</t>
  </si>
  <si>
    <t>Dôchodky z majetku, z ktorých</t>
  </si>
  <si>
    <t>T0200 (D4)</t>
  </si>
  <si>
    <t xml:space="preserve"> - Dividendy</t>
  </si>
  <si>
    <t>D.421 z dotazníka tab 10.1 riadok 49</t>
  </si>
  <si>
    <t xml:space="preserve"> - Úroky</t>
  </si>
  <si>
    <t>T0200 (D41)</t>
  </si>
  <si>
    <t>z toho: z EÚ</t>
  </si>
  <si>
    <t>RK 341 EU, ktoré ostávajú v schodku, FIN 1-12 za ŠR</t>
  </si>
  <si>
    <t>Ostatné subvencie ma produkciu</t>
  </si>
  <si>
    <t>T0200 (D39R)</t>
  </si>
  <si>
    <t>T0200 (D7)</t>
  </si>
  <si>
    <t>T0200 (D9-D91)</t>
  </si>
  <si>
    <t>Bežné výdavky</t>
  </si>
  <si>
    <t>T0200 (D1)</t>
  </si>
  <si>
    <t>od Antolíka ŠÚ SR (D11)</t>
  </si>
  <si>
    <t>od Antolíka ŠÚ SR (D12)</t>
  </si>
  <si>
    <t>T0200 (P2)</t>
  </si>
  <si>
    <t>suma (D29+D5)</t>
  </si>
  <si>
    <t>Iné dane z produkcie</t>
  </si>
  <si>
    <t>T0200 (D29)</t>
  </si>
  <si>
    <t>Bežné dane z majetku, atď.</t>
  </si>
  <si>
    <t>T0200 (D3P)</t>
  </si>
  <si>
    <t xml:space="preserve"> - Dotácie do poľnohospodárstva</t>
  </si>
  <si>
    <t>RK 644 COFOG 042 bez S3 EU OUT, zdroj ŠR a spolufinancovanie (len EU zdrojov)</t>
  </si>
  <si>
    <t xml:space="preserve"> - Dotácie do dopravy</t>
  </si>
  <si>
    <t>RK 644 z toho COFOG 045 bez S3 EU OUT</t>
  </si>
  <si>
    <t xml:space="preserve"> - železničná doprava</t>
  </si>
  <si>
    <t>RK 644 z toho COFOG 0453 bez S3 EU OUT</t>
  </si>
  <si>
    <t xml:space="preserve"> - cestná doprava</t>
  </si>
  <si>
    <t>RK 644 z toho COFOG 0451 bez S3 EU OUT</t>
  </si>
  <si>
    <t xml:space="preserve"> - Ostatné</t>
  </si>
  <si>
    <t>reziduál = Subsidies minus Agriultural Subsidies minus Transport Subsidies</t>
  </si>
  <si>
    <t>Dôchodky z majetku</t>
  </si>
  <si>
    <t>Ostatné dôchodky z majetku</t>
  </si>
  <si>
    <t>T0200 (D4N)</t>
  </si>
  <si>
    <t>T0200 (D6M)</t>
  </si>
  <si>
    <t xml:space="preserve"> - Sociálne dávky okrem naturálnych soc. transferov</t>
  </si>
  <si>
    <t>T0200 (D62)</t>
  </si>
  <si>
    <t xml:space="preserve"> - Aktívne opatrenia trhu práce</t>
  </si>
  <si>
    <t>RK 642032 zo ŠR, bez EU peňazí</t>
  </si>
  <si>
    <t xml:space="preserve"> - Nemocenské dávky</t>
  </si>
  <si>
    <t>RK 642015 z SP</t>
  </si>
  <si>
    <t xml:space="preserve"> - Dôchodkové dávky zo starobného a invalidného poistenia</t>
  </si>
  <si>
    <t>RK 642016+RK 642020 z SP + to isté z MRU</t>
  </si>
  <si>
    <t xml:space="preserve"> - Dávky v nezamestnanosti</t>
  </si>
  <si>
    <t>RK 642033 z SP</t>
  </si>
  <si>
    <t xml:space="preserve"> - Štátne sociálne dávky a podpora</t>
  </si>
  <si>
    <t>RK 642018 až RK 642027 + RK642037 až RK 642042 zo ŠR</t>
  </si>
  <si>
    <t xml:space="preserve"> - na prídavok na dieťa</t>
  </si>
  <si>
    <t>RK 642019 zo ŠR</t>
  </si>
  <si>
    <t xml:space="preserve"> - na príspevok pri narodení dieťaťa a prísp. rodičom</t>
  </si>
  <si>
    <t>RK 642022 zo ŠR</t>
  </si>
  <si>
    <t xml:space="preserve"> - na rodičovský príspevok</t>
  </si>
  <si>
    <t>RK 642041 zo ŠR</t>
  </si>
  <si>
    <t xml:space="preserve"> - na dávku v hmotnej núdzi a príspevky k dávke</t>
  </si>
  <si>
    <t>RK 642026 zo ŠR</t>
  </si>
  <si>
    <t xml:space="preserve"> - na peňažné príspevky na kompenzáciu</t>
  </si>
  <si>
    <t>RK 642027 zo ŠR</t>
  </si>
  <si>
    <t>RK 642018 až RK 642027 + RK642037 až RK 642042 zo ŠR minus (RK 642019+22+41+26+27)</t>
  </si>
  <si>
    <t xml:space="preserve"> - Platené poistné za skupiny osôb ustanovené zákonom</t>
  </si>
  <si>
    <t>RK 642031</t>
  </si>
  <si>
    <t xml:space="preserve"> - sociálne poistenie</t>
  </si>
  <si>
    <t>RK 642031 z kapitoly Ministerstva práce</t>
  </si>
  <si>
    <t xml:space="preserve"> - zdravotné poistenie</t>
  </si>
  <si>
    <t>RK 642031 z kapitoly Ministerstva zdravotníctva</t>
  </si>
  <si>
    <t xml:space="preserve"> - Naturálne sociálne transfery (zdravotnícke zariadenia)</t>
  </si>
  <si>
    <t>T0200 (D632)</t>
  </si>
  <si>
    <t>z toho: Odvody do rozpočtu EÚ</t>
  </si>
  <si>
    <t xml:space="preserve">RK 649005 </t>
  </si>
  <si>
    <t>z toho: 2% z daní na verejnoprospešný účel</t>
  </si>
  <si>
    <t>RK 111004+RK 112001</t>
  </si>
  <si>
    <t>Kapitálové výdavky</t>
  </si>
  <si>
    <t>Kapitálové investície</t>
  </si>
  <si>
    <t>suma, T0200(P5L)</t>
  </si>
  <si>
    <t xml:space="preserve"> - Tvorba hrubého fixného kapitálu</t>
  </si>
  <si>
    <t>T0200 (P51G)</t>
  </si>
  <si>
    <t xml:space="preserve"> - Zmena stavu zásob a nadobudnutie mínus úbytok cenností</t>
  </si>
  <si>
    <t>T0200 (P5M)</t>
  </si>
  <si>
    <t xml:space="preserve"> - Nadobudnutie mínus úbytok nefinančných neprodukovaných aktív</t>
  </si>
  <si>
    <t>T0200 (NP)</t>
  </si>
  <si>
    <t>T0200 (D9)</t>
  </si>
  <si>
    <t>Čisté pôžičky poskytnuté / prijaté</t>
  </si>
  <si>
    <t>- hotovostný deficit ŠR</t>
  </si>
  <si>
    <t>- prostriedky ŠP využité na financovanie hotovostného deficitu ŠR</t>
  </si>
  <si>
    <t>- zadlženie ostatných subjektov VS</t>
  </si>
  <si>
    <t>z toho: Samospráva (obce a VÚC)</t>
  </si>
  <si>
    <t>- emisný diskont</t>
  </si>
  <si>
    <t>- diskont pri splatnosti</t>
  </si>
  <si>
    <t xml:space="preserve">z toho:  príspevok zmeny prognózy nom. HDP </t>
  </si>
  <si>
    <t xml:space="preserve">             príspevok zmeny prognózy nom. dlhu</t>
  </si>
  <si>
    <t>Ostatné</t>
  </si>
  <si>
    <t>Popis</t>
  </si>
  <si>
    <t xml:space="preserve"> - zmena záruk SR v EFSF</t>
  </si>
  <si>
    <t>D.29A</t>
  </si>
  <si>
    <t>p.m. príspevok do ESM</t>
  </si>
  <si>
    <t>Zvýšenie spotrebnej dane z tabakových výrobkov</t>
  </si>
  <si>
    <t>Súbor opatrení vedúci k zvýšeniu efektívnosti výberu DPH</t>
  </si>
  <si>
    <t>Hrubý dlh VS</t>
  </si>
  <si>
    <t>Total</t>
  </si>
  <si>
    <t>Primary balance</t>
  </si>
  <si>
    <t>Real GDP growth</t>
  </si>
  <si>
    <t>Net debt</t>
  </si>
  <si>
    <t>Total revenue</t>
  </si>
  <si>
    <t>Intermediate consumption</t>
  </si>
  <si>
    <t>A. General government gross debt (as of 1 Jan)</t>
  </si>
  <si>
    <t>B. Total y/y change in the GG gross debt</t>
  </si>
  <si>
    <t>- Cash-based state budget deficit</t>
  </si>
  <si>
    <t>- State Treasury funds used for the financing of government operations</t>
  </si>
  <si>
    <t>- Slovakia's contributions to EFSF and ESM</t>
  </si>
  <si>
    <t>- Issue discount</t>
  </si>
  <si>
    <t>- Discount at maturity</t>
  </si>
  <si>
    <t>- Balance of loans to GG entities</t>
  </si>
  <si>
    <t>thereof: ŽSR + ŽSSK</t>
  </si>
  <si>
    <t>thereof: NDS</t>
  </si>
  <si>
    <t>thereof: Municipal public transportation companies</t>
  </si>
  <si>
    <t xml:space="preserve">thereof: Local government </t>
  </si>
  <si>
    <t>C. General government gross debt (as of 31 Dec)</t>
  </si>
  <si>
    <t>in % of GDP</t>
  </si>
  <si>
    <t>D. Change of general government gross debt against Stability Programme (p.p.)</t>
  </si>
  <si>
    <t>thereof: GDP forecast revision</t>
  </si>
  <si>
    <t>thereof: Debt forecast revision</t>
  </si>
  <si>
    <t>Zrušenie oslobodenia od DPH pri zásielkach do 22 eur z 3. krajín</t>
  </si>
  <si>
    <t>Daň z nehnuteľnosti a iné</t>
  </si>
  <si>
    <t>Osobitný odvod vybraných fin. inštitúcii</t>
  </si>
  <si>
    <t>EKRK 192</t>
  </si>
  <si>
    <t>Odvod z hazardných hier</t>
  </si>
  <si>
    <t>EKRK 292008 T0900 D.214F</t>
  </si>
  <si>
    <t>Daň z motorových vozidiel</t>
  </si>
  <si>
    <t>EKRK 134002 ŠR T9 D.29B</t>
  </si>
  <si>
    <t>Emisné kvóty - príjem z predaja</t>
  </si>
  <si>
    <t>EKRK 229006 NTL</t>
  </si>
  <si>
    <t>reziduál D.2</t>
  </si>
  <si>
    <t>Osobitný odvod z podnikania v regul. odvetiach</t>
  </si>
  <si>
    <t>EKRK 194</t>
  </si>
  <si>
    <t>reziduál D.5</t>
  </si>
  <si>
    <t xml:space="preserve"> - Príspevky od domácností</t>
  </si>
  <si>
    <t>Transfery NO, cirkvi, súkr. školám a pod.</t>
  </si>
  <si>
    <t>ŠR EKRK 642001+2+4+5+6+7+9+10, bez EÚ</t>
  </si>
  <si>
    <t>-</t>
  </si>
  <si>
    <t>Nešpecifikované opatrenia</t>
  </si>
  <si>
    <t>Source: MoF SR</t>
  </si>
  <si>
    <t>p.m. ESM contribution</t>
  </si>
  <si>
    <t>Materiál</t>
  </si>
  <si>
    <t>Document</t>
  </si>
  <si>
    <t>ESA2010 bilancia VS</t>
  </si>
  <si>
    <t>ESA2010 Table</t>
  </si>
  <si>
    <t xml:space="preserve">Spolu  </t>
  </si>
  <si>
    <t>2024 NRVS</t>
  </si>
  <si>
    <t>2024 N</t>
  </si>
  <si>
    <r>
      <t xml:space="preserve">Hrubý dlh verejnej správy </t>
    </r>
    <r>
      <rPr>
        <sz val="9"/>
        <color rgb="FF2C9ADC"/>
        <rFont val="Arial Narrow"/>
        <family val="2"/>
        <charset val="238"/>
      </rPr>
      <t>(% HDP, stav k 31.12.)</t>
    </r>
    <r>
      <rPr>
        <b/>
        <sz val="9"/>
        <color rgb="FF2C9ADC"/>
        <rFont val="Arial Narrow"/>
        <family val="2"/>
        <charset val="238"/>
      </rPr>
      <t> </t>
    </r>
  </si>
  <si>
    <t>Čistý dlh VS</t>
  </si>
  <si>
    <t>Sankčné pásma (hrubý dlh)</t>
  </si>
  <si>
    <t xml:space="preserve">Zdroj:MF SR       </t>
  </si>
  <si>
    <t>Dolné sankčné pásmo</t>
  </si>
  <si>
    <t>General government balance</t>
  </si>
  <si>
    <t>General government gross debt</t>
  </si>
  <si>
    <t xml:space="preserve">Source: MoF SR       </t>
  </si>
  <si>
    <t>Zmena sadzieb daní z nehnuteľností na úrovni VZN</t>
  </si>
  <si>
    <t>Change of VAT collection efficiency</t>
  </si>
  <si>
    <t>Measures related to tobacco products</t>
  </si>
  <si>
    <t>Deferred social insurance contributions payments</t>
  </si>
  <si>
    <t xml:space="preserve">Temporary exemption of respirators FFP2 and FFP3 from VAT </t>
  </si>
  <si>
    <t>Liquid financial assests</t>
  </si>
  <si>
    <t>Sanction bands (gross debt)</t>
  </si>
  <si>
    <t>Zmena hrubého dlhu VS</t>
  </si>
  <si>
    <t>Zmena hotovosti VS</t>
  </si>
  <si>
    <t>Zosúladenie deficitu a dlhu - bez hotovosti VS</t>
  </si>
  <si>
    <t>Y-o-y change of gross debt</t>
  </si>
  <si>
    <t>Interest</t>
  </si>
  <si>
    <t>Stock-flow adjustment (without GG cash and deposits)</t>
  </si>
  <si>
    <t>Change in cash and deposits of GG</t>
  </si>
  <si>
    <t>GDP deflator</t>
  </si>
  <si>
    <t>Hrubý dlh (% HDP)</t>
  </si>
  <si>
    <t>Čistý dlh (% HDP)</t>
  </si>
  <si>
    <t>Likvidné finančné aktíva (% HDP)</t>
  </si>
  <si>
    <t>Pásma aktuálnej dlhovej brzdy</t>
  </si>
  <si>
    <t>5. pásmo</t>
  </si>
  <si>
    <t>1. pásmo</t>
  </si>
  <si>
    <t>Gross debt (% of GDP)</t>
  </si>
  <si>
    <t>Net debt (% of GDP)</t>
  </si>
  <si>
    <t>Liquid financial assests (% of GDP)</t>
  </si>
  <si>
    <t>Sanction bands of current debt break rule</t>
  </si>
  <si>
    <t>OS – očakávaná skutočnosť ku koncu roka; N – návrh rozpočtu verejnej správy</t>
  </si>
  <si>
    <t>OS – expected values by the end of year; N – draf of general government budget</t>
  </si>
  <si>
    <t>2025 NRVS</t>
  </si>
  <si>
    <t>2021 S</t>
  </si>
  <si>
    <t>Osobitný odvod pre Vodohospodársku výstavbu (z nadmerného zisku)</t>
  </si>
  <si>
    <r>
      <t>Opatrenia v rámci daňovo-odvodových príjmov</t>
    </r>
    <r>
      <rPr>
        <b/>
        <sz val="9"/>
        <color rgb="FF2C9ADC"/>
        <rFont val="Arial Narrow"/>
        <family val="2"/>
        <charset val="238"/>
      </rPr>
      <t xml:space="preserve"> </t>
    </r>
  </si>
  <si>
    <t>2025 N</t>
  </si>
  <si>
    <t>D.6</t>
  </si>
  <si>
    <t>Cyklická zložka salda</t>
  </si>
  <si>
    <t>Dočasné vplyvy COVID</t>
  </si>
  <si>
    <t>Dočasné opatrenia na kompenzáciu cien energií</t>
  </si>
  <si>
    <t>Ostatné dočasné vplyvy</t>
  </si>
  <si>
    <t>Saldo bez dočasných efektov</t>
  </si>
  <si>
    <t>GRAF 1 – Saldo hospodárenia verejnej správy (% HDP)</t>
  </si>
  <si>
    <r>
      <t>Saldo hospodárenia verejnej správy</t>
    </r>
    <r>
      <rPr>
        <sz val="9"/>
        <color theme="4"/>
        <rFont val="Arial Narrow"/>
        <family val="2"/>
        <charset val="238"/>
      </rPr>
      <t xml:space="preserve"> (ESA2010, % HDP) </t>
    </r>
  </si>
  <si>
    <t>Balance adjusted for temporary effects</t>
  </si>
  <si>
    <t xml:space="preserve">Cyclical component </t>
  </si>
  <si>
    <t>Temporary impact of COVID</t>
  </si>
  <si>
    <t>Temporary measures related to energy prices</t>
  </si>
  <si>
    <t>Other temporary efects</t>
  </si>
  <si>
    <t>Výdavky na kompenzáciu rastu cien energií</t>
  </si>
  <si>
    <t>Daň z príjmov fyzických osôb</t>
  </si>
  <si>
    <t>Korporátna daň</t>
  </si>
  <si>
    <t>DPH</t>
  </si>
  <si>
    <t>Sociálne a zdravotné odvody</t>
  </si>
  <si>
    <t>PIT from dependent activity</t>
  </si>
  <si>
    <t>CIT</t>
  </si>
  <si>
    <t>VAT</t>
  </si>
  <si>
    <t>Social and health contributions</t>
  </si>
  <si>
    <t>Other taxes</t>
  </si>
  <si>
    <t>DPFO zč</t>
  </si>
  <si>
    <t>DPPO</t>
  </si>
  <si>
    <t>Sociálne odvody</t>
  </si>
  <si>
    <t>Zdravotné odvody</t>
  </si>
  <si>
    <t>Social contributions</t>
  </si>
  <si>
    <t>Health contributions</t>
  </si>
  <si>
    <t>Zdvojnásobenie daňového bonusu pre rodičov detí do 15 rokov</t>
  </si>
  <si>
    <t>Spomalenie rastu dôchodkového veku</t>
  </si>
  <si>
    <t>Zavedenie novej tehotenskej dávky a tehotenského štipendia</t>
  </si>
  <si>
    <t>Zavedenie podpory v čase skrátenej práce (trvalý kurzarbeit)</t>
  </si>
  <si>
    <t>Zvýšenie úhrad ZP za dlhodobú starostlivosť</t>
  </si>
  <si>
    <t>Výdavky spojené s vojnou na Ukrajine</t>
  </si>
  <si>
    <t>Zvýšenie prídavku na dieťa</t>
  </si>
  <si>
    <t>100 eur dodatočná dávka pre skupiny ľudí ohrozené vysokou infláciou</t>
  </si>
  <si>
    <t>100 eur jednorazové zvýšenie prídavku na dieťa (inflačná pomoc)</t>
  </si>
  <si>
    <t>Jednorazové vyplatenie "14. dôchodku"</t>
  </si>
  <si>
    <t>Doubling of tax credit for parents with children below 15 years of age</t>
  </si>
  <si>
    <t>Slowdown in growth of retirement age</t>
  </si>
  <si>
    <t>Early retirement for persons who raised children (born in 1957-1965)</t>
  </si>
  <si>
    <t>Introduction of a new pregnancy allowance and pregnancy scholarship</t>
  </si>
  <si>
    <t>COVID expenditure</t>
  </si>
  <si>
    <t>Introduction of permanent kurzarbeit scheme</t>
  </si>
  <si>
    <t>Establishment of SLOVAKIA TRAVEL agency</t>
  </si>
  <si>
    <t>Increased transfer from HIC to social service facilities</t>
  </si>
  <si>
    <t>Expenditure caused by the war in Ukraine</t>
  </si>
  <si>
    <t>Approved wage increase in the healthcare sector</t>
  </si>
  <si>
    <t>Increased child allowance</t>
  </si>
  <si>
    <t>100 EUR transfer to citizens in material need (one-time transfer)</t>
  </si>
  <si>
    <t>100 EUR transfer to families (one-time increase of child allowance)</t>
  </si>
  <si>
    <t>Amendments to the I. pillar (pensions)</t>
  </si>
  <si>
    <t>14th pension (one-time transfer)</t>
  </si>
  <si>
    <t>Dočasné príjmy z nariadenia EÚ ohľadom nadmerných ziskov</t>
  </si>
  <si>
    <t>Dočasný vplyv - cyklická zložka (2)</t>
  </si>
  <si>
    <t>Jednorazové a dočasné opatrenia (3)</t>
  </si>
  <si>
    <t>z toho: pandémia COVID- 19</t>
  </si>
  <si>
    <t>z toho: vojna na Ukrajine</t>
  </si>
  <si>
    <t>z toho: ostatné</t>
  </si>
  <si>
    <t>Saldo očistené o dočasné vplyvy (4=1-2-3)**</t>
  </si>
  <si>
    <t>Konsolidačné úsilie (medziročná zmena 4)</t>
  </si>
  <si>
    <t>Cyklical component (2)</t>
  </si>
  <si>
    <t>One-off and temporary measures (3)</t>
  </si>
  <si>
    <t>of which: the COVID-19 pandemic</t>
  </si>
  <si>
    <t>of which: the war in Ukraine</t>
  </si>
  <si>
    <t>of which: measures to compensate for energy growth***</t>
  </si>
  <si>
    <t>of which: others</t>
  </si>
  <si>
    <t>Balance adjusted for temporary effects (4=1-2-3)**</t>
  </si>
  <si>
    <t>Consolidation efforts (year-on-year change 4)</t>
  </si>
  <si>
    <t>** This is the balance adjusted for the cyclical component and one-off and temporary measures. It is not the same as the structural balance, since one-off and temporary measures also include measures that do not meet the principles of the SGP methodology for determining one-time impacts.</t>
  </si>
  <si>
    <t>*** After adjustment for sources of coverage (mainly from excess profit regulation).</t>
  </si>
  <si>
    <t>Temporary income from the EU regulation regarding excessive profits (solidarity contribution, price ceiling)</t>
  </si>
  <si>
    <t>Financovanie opatrení súvisiacich s pandémiou z EU zdrojov</t>
  </si>
  <si>
    <t>Výdavky vyvolané vojnou na Ukrajine</t>
  </si>
  <si>
    <t>Jednorazová podpora pre ľudí ohrozených infláciou</t>
  </si>
  <si>
    <t>Vyplatenie 14. dôchodkov</t>
  </si>
  <si>
    <t>COVID 19 opatrenie: Odklad soc. odvodov v roku 2020 a 2021</t>
  </si>
  <si>
    <t>COVID 19 opatrenie: Dočasné oslobodenie respirátorov FFP2 a FFP3 od DPH</t>
  </si>
  <si>
    <t>Zmeny v superodpočte</t>
  </si>
  <si>
    <t>Prvotná implementácia účtovného štandardu IFRS 17 na poisťovne</t>
  </si>
  <si>
    <t>Zavedenie sezónnej odvodovo-odpočítateľnej položky na sociálne odvody</t>
  </si>
  <si>
    <t>Initial implementation of the IFRS 17 accounting standard for insurance companies</t>
  </si>
  <si>
    <t>Introduction of a seasonal contribution-deductible item for social contributions</t>
  </si>
  <si>
    <t>Changes in superdeduction</t>
  </si>
  <si>
    <t>Financing measures related to the pandemic from EU sources</t>
  </si>
  <si>
    <t>Expenses caused by the war in Ukraine</t>
  </si>
  <si>
    <t>Payment of 14th pensions</t>
  </si>
  <si>
    <t>One-off support for people endangered by inflation</t>
  </si>
  <si>
    <t>Nominálne saldo</t>
  </si>
  <si>
    <t>Nominálny cieľ pri zostavovaní rozpočtu</t>
  </si>
  <si>
    <t>Nominal balance</t>
  </si>
  <si>
    <t>Nominal balance at budgeting</t>
  </si>
  <si>
    <t>Celkové príjmy</t>
  </si>
  <si>
    <t>Daňovo odvodové príjmy prognózované Výborom</t>
  </si>
  <si>
    <t>Mzdy a platy</t>
  </si>
  <si>
    <t>Sociálne transfery mimo zdravotníctva</t>
  </si>
  <si>
    <t>Výdavky na zdravotníctvo</t>
  </si>
  <si>
    <t>Kapitálové výdavky bez EU zdrojov</t>
  </si>
  <si>
    <t>Tax revenue forecasted by the Committee</t>
  </si>
  <si>
    <t>Total expenses</t>
  </si>
  <si>
    <t>Wages and salaries</t>
  </si>
  <si>
    <t>Interest expenses</t>
  </si>
  <si>
    <t>Social transfers outside the health sector</t>
  </si>
  <si>
    <t>Health expenditure</t>
  </si>
  <si>
    <t>Capital expenditure without EU resources</t>
  </si>
  <si>
    <t>Other current transfers</t>
  </si>
  <si>
    <t>Horné sankčné pásmo</t>
  </si>
  <si>
    <t>Likvidné finančné aktíva (LFA)</t>
  </si>
  <si>
    <t xml:space="preserve">Zdroj: MF SR       </t>
  </si>
  <si>
    <t>Liquid financial assets (LFA)</t>
  </si>
  <si>
    <t>Upper sanction band</t>
  </si>
  <si>
    <t>Lower sanction band</t>
  </si>
  <si>
    <t>D. Zmena hrubého dlhu oproti Programu stability (p.b.)</t>
  </si>
  <si>
    <t>General governance balance (ESA2010, % of GDP)</t>
  </si>
  <si>
    <t>FIGURE 1 - General governance balance (ESA2010, % of GDP)</t>
  </si>
  <si>
    <t>Poznámka: Pre roky 2018 až 2021 boli použité údaje, ktoré ŠU SR poslal do jesennej notifikácie 2022 Eurostatu. Položka Naturálne sociálne transfery (D632) na výdavkovej strane a položka Trhová produkcia (P1M) na príjmovej strane nie je konzistentná s údajmi pred rokom 2018. Je to spôsobené očistením dvojitého započítavania časti výdavkov na zdravotníctvo po roku 2017. Avšak staršie údaje sa budú revidovať až v rámci veľkej benchmarkovej revízie. Tá sa koná spravidla raz za 5 rokov.</t>
  </si>
  <si>
    <t>Zrušenie koncesionárskych poplatkov</t>
  </si>
  <si>
    <t>Zvýšenie spotrebnej dane z liehu</t>
  </si>
  <si>
    <t>Zníženie daňovo-odvodovej záťaže pri predaji virtuálnych mien, cenných papierov a podielových listov</t>
  </si>
  <si>
    <t>D.5/D.6</t>
  </si>
  <si>
    <t>Opatrenia v oblasti vzdelávania, vedy a výskumu</t>
  </si>
  <si>
    <t>Novela školského zákona</t>
  </si>
  <si>
    <t>Predlženie poberania rodičovského príspevku pre deti, ktoré neprijali do školky</t>
  </si>
  <si>
    <t>Vyššie financovanie vedy a výskumu</t>
  </si>
  <si>
    <t>Výkonnostné zmluvy pre vysoké školy</t>
  </si>
  <si>
    <t>Zmena valorizácie dôchodkov</t>
  </si>
  <si>
    <t>Zrušenie krátenia príspevku na opatrovanie poberateľom dôchodkov</t>
  </si>
  <si>
    <t>D.1/P.2/D.7p</t>
  </si>
  <si>
    <t>Ostatné opatrenia v sociálnej oblasti</t>
  </si>
  <si>
    <t>D.7p</t>
  </si>
  <si>
    <t>Zmena posudzovania invalidných dôchodkov</t>
  </si>
  <si>
    <t>Opätovné zavedenie obedov zadarmo</t>
  </si>
  <si>
    <t>Nominálne saldo / scenár bez reakcie vlády</t>
  </si>
  <si>
    <t>x</t>
  </si>
  <si>
    <t>GRAF 8 – Strednodobá prognóza hrubého a čistého dlhu verejnej správy (% HDP)</t>
  </si>
  <si>
    <t>Vývoj dlhu v základnom scenári v % HDP</t>
  </si>
  <si>
    <t>Debt evolution in baseline scenario in % of GDP</t>
  </si>
  <si>
    <t>Obsah – Návrh rozpočtového plánu SR na rok 2024</t>
  </si>
  <si>
    <t>GRAF 10 – Dlhodobá projekcia dlhu verejnej správy v scenári bez zmeny politík (% HDP)</t>
  </si>
  <si>
    <t>FIGURE 10 – Long-term projection of public debt in No-policy change scenario (% of GDP)</t>
  </si>
  <si>
    <t>2022 S</t>
  </si>
  <si>
    <t>2023 OS</t>
  </si>
  <si>
    <t>2026 NRVS</t>
  </si>
  <si>
    <t>Nominálne saldo / scenár bez reakcie vlády (1)</t>
  </si>
  <si>
    <t>-5,4*</t>
  </si>
  <si>
    <t>-2,0*</t>
  </si>
  <si>
    <t>z toho: opatrenia na kompenzáciu rastu cien energií***</t>
  </si>
  <si>
    <t>p.m. nominálne saldo – rozpočtový cieľ podľa dlhovej brzdy</t>
  </si>
  <si>
    <t>* Podľa údajov ŠU SR zaslaných do notifikácie Eurostatu 29.9.2023 v rámci 1. kola notifikácie, ktorá bude zverejnená v druhej polovici októbra. Údaje sa môžu meniť. Rovnaký prístup je zvolený pri prognóze hrubého dlhu.</t>
  </si>
  <si>
    <t>** Ide o saldo očistené o cyklickú zložku a jednorazové a dočasné opatrenia. Nie je totožné so štrukturálnym saldom vykazované Európskou komisiou, keďže v jednorazových a dočasných opatreniach sú zarátané aj opatrenia, ktoré nespĺňajú princípy metodiky SGP na určenie jednorazových vplyvov.</t>
  </si>
  <si>
    <t>*** Po očistení o zdroje krytia, najmä z regulácie nadziskov.</t>
  </si>
  <si>
    <t>Net lending/borrowing (Non policy change) - target (1)</t>
  </si>
  <si>
    <t>* According to the data of the ŠU SR sent to the Eurostat notification on 29.9.2023 as part of the 1st round of the notification, which will be published in the second half of October. Data may change. The same approach is chosen for the gross debt forecast.</t>
  </si>
  <si>
    <t>GRAF 4 – Vývoj nominálneho deficitu v % HDP</t>
  </si>
  <si>
    <t>FIGURE 4 – Development of the nominal deficit in % of GDP</t>
  </si>
  <si>
    <t xml:space="preserve">GRAF 5 – Medziročné rasty vybraných položiek v roku 2023 (%-ny rast, ESA2010) </t>
  </si>
  <si>
    <t>FIGURE 5 – Annual growth of selected items in 2023 (% growth, ESA2010)</t>
  </si>
  <si>
    <t>GRAF 6 – Príspevky daní k medziročnému rastu daňovo-odvod. príjmov (2022, ESA 2010, v p. b.)</t>
  </si>
  <si>
    <t>FIGURE 6 – Tax contributions to growth of tax revenue (2022, ESA 2010, in percentage points)</t>
  </si>
  <si>
    <t>GRAF 7 – Meziročná zmena jednotlivých daní (2023, ESA 2010, v mil. eur)</t>
  </si>
  <si>
    <t>FIGURE 7 – Change in taxes (2023, ESA 2010, in EUR millions)</t>
  </si>
  <si>
    <t>Opatrenie</t>
  </si>
  <si>
    <t>Measurement</t>
  </si>
  <si>
    <t xml:space="preserve">Zastropovanie cien elektriny a plynu pre neregulované podniky </t>
  </si>
  <si>
    <t xml:space="preserve">Zastropovanie cien elektriny a plynu pre regulované podniky </t>
  </si>
  <si>
    <t>Zastropovanie cien distribučných a systémových poplatkov elektriny pre podniky</t>
  </si>
  <si>
    <t>Zastropovanie cien tepla pre domácnosti</t>
  </si>
  <si>
    <t>Zastropovanie cien elektriny pre domácnosti (distribučné a systémové poplatky)</t>
  </si>
  <si>
    <t>Podpora vybraných zraniteľných odberateľov (plyn + elektrina)</t>
  </si>
  <si>
    <t>Zúčtovanie pomoci za 4. kvartál začiatkom budúceho roka</t>
  </si>
  <si>
    <t>Zvýšené výdavky štátneho rozpočtu na energie pre subjekty verejnej správy</t>
  </si>
  <si>
    <t>Preplatenie nákladov schém z nevyužitých EÚ fondov</t>
  </si>
  <si>
    <t>Cenové stropy pre výrobcov elektrickej energie</t>
  </si>
  <si>
    <t xml:space="preserve">Dočasné príjmy z osobitného odvodu pre Vodohospodársku výstavbu </t>
  </si>
  <si>
    <t>TABUĽKA 2 – Opatrenia prijaté vládou v boji s energetickou krízou s vplyvom na rozpočet (v mil. eur)</t>
  </si>
  <si>
    <t>Implementation of price ceilings on electricity and gas prices for unregulated businesses</t>
  </si>
  <si>
    <t>Implementation of price ceilings on electricity and gas prices for regulated businesses</t>
  </si>
  <si>
    <t>Implementation of price ceilings on distribution and system charges for electricity for businesses</t>
  </si>
  <si>
    <t>Zastropovanie cien plynu pre domácnosti</t>
  </si>
  <si>
    <t>Implementation of price ceilings on gas prices for households</t>
  </si>
  <si>
    <t>Implementation of price ceilings on heat prices for households</t>
  </si>
  <si>
    <t>Implementation of price ceilings on electricity prices for households (distribution and system fees)</t>
  </si>
  <si>
    <t>Support of selected vulnerable customers (gas + electricity)</t>
  </si>
  <si>
    <t>Settlement of aid for the 4th quarter at the beginning of next year</t>
  </si>
  <si>
    <t>Increased expenditures of the state budget on energy for public administration entities</t>
  </si>
  <si>
    <t>Reimbursement of scheme costs from unused EU funds</t>
  </si>
  <si>
    <t>Implementation of price ceilings for electricity producers</t>
  </si>
  <si>
    <t xml:space="preserve">Temporary income from a special levy for the state enterprise Water-management Construction </t>
  </si>
  <si>
    <t>p.m. nominal balance according to the debt break (constitutional Act on budget responsibility)</t>
  </si>
  <si>
    <t>GRAF 11 – Strednodobá prognóza hrubého a čistého dlhu v scenári rozpočtových cieľov (% HDP)</t>
  </si>
  <si>
    <t>GRAF 12 – Faktory pôsobiace na zmenu hrubého dlhu (p. b. kumulatívne)</t>
  </si>
  <si>
    <t>FIGURE 11 – Medium-term forecast of gross and net debt in the scenario of budgetary targets (% of GDP)</t>
  </si>
  <si>
    <t>GRAF 1 – Odporúčané ciele v porovnaní s cieľmi z Programu stability (% HDP)</t>
  </si>
  <si>
    <t xml:space="preserve">GRAF 2 – Potreba konkrétnych konsolidačných opatrení (kumulatívne v % HDP a mld. eur) </t>
  </si>
  <si>
    <t>FIGURE 1 – Juxtaposition of recommended targets with targets from the Stability Program (% of GDP)</t>
  </si>
  <si>
    <t>GRAF 3 – Možné opatrenia na ozdravenie verejných financií (v mil. eur</t>
  </si>
  <si>
    <t>FIGURE 3 – Potential measures for the recovery of public finances (in EUR millions)</t>
  </si>
  <si>
    <t>Zníženie daňového bonusu (100 eur do 15 rokov, 50 eur nad 15 rokov)</t>
  </si>
  <si>
    <t>Measures within the framework of tax and levy income</t>
  </si>
  <si>
    <t>Reduction of the tax burden on the sale of virtual currencies, securities and shares</t>
  </si>
  <si>
    <t>Increase in excise duty on alcohol</t>
  </si>
  <si>
    <t>Abolition of concessionaire fees</t>
  </si>
  <si>
    <t>Measures in the field of education, science and research</t>
  </si>
  <si>
    <t>Pozn.: * vrátane zdrojov subjektov mimo sektora verejnej správy. Plusové položky zvyšujú dlh verejnej správy k 31.12. príslušného roku, mínusové položky dlh znižujú.</t>
  </si>
  <si>
    <r>
      <rPr>
        <sz val="9"/>
        <color theme="0"/>
        <rFont val="Arial Narrow"/>
        <family val="2"/>
        <charset val="238"/>
      </rPr>
      <t>.</t>
    </r>
    <r>
      <rPr>
        <sz val="9"/>
        <color theme="1"/>
        <rFont val="Arial Narrow"/>
        <family val="2"/>
        <charset val="238"/>
      </rPr>
      <t>- other*</t>
    </r>
  </si>
  <si>
    <r>
      <rPr>
        <sz val="9"/>
        <color theme="0"/>
        <rFont val="Arial Narrow"/>
        <family val="2"/>
        <charset val="238"/>
      </rPr>
      <t>.</t>
    </r>
    <r>
      <rPr>
        <sz val="9"/>
        <color theme="1"/>
        <rFont val="Arial Narrow"/>
        <family val="2"/>
        <charset val="238"/>
      </rPr>
      <t>- ostatné*</t>
    </r>
  </si>
  <si>
    <t>Note: including sources from entities outside the public administration sector.Plus amounts increase the general government debt as at 31 December of the relevant year, minus amounts decrease the debt.</t>
  </si>
  <si>
    <t xml:space="preserve">Zdroj: MF SR a MH SR
</t>
  </si>
  <si>
    <t xml:space="preserve">Source: MoF SR and MoE SR
</t>
  </si>
  <si>
    <t>2026 N</t>
  </si>
  <si>
    <t>1 732</t>
  </si>
  <si>
    <t>-2 078</t>
  </si>
  <si>
    <t>Likvidné finančné aktíva</t>
  </si>
  <si>
    <t>Zosúladenie deficitu a dlhu (bez hotovosti VS)</t>
  </si>
  <si>
    <t>Zmena hrubého dlhu</t>
  </si>
  <si>
    <t>2024-2026</t>
  </si>
  <si>
    <t>FIGURE 12 – Decomposition of changes in gross debt (cumulative p.p.)</t>
  </si>
  <si>
    <t>TABUĽKA 4 – Hotovostné vplyvy na zmenu nominálneho hrubého dlhu verejnej správy (v mil. eur)</t>
  </si>
  <si>
    <t>TABLE 4 – Impact of cash changes on nominal gross public debt (mil. eur)</t>
  </si>
  <si>
    <t>Opatrenia vlády v boji s pandémiou COVID-19</t>
  </si>
  <si>
    <t>Príspevok z Európskeho mierového nástroja</t>
  </si>
  <si>
    <t>Dotácie pre sociálne služby</t>
  </si>
  <si>
    <t>Podpora energeticky náročných podnikov</t>
  </si>
  <si>
    <t>Podpora poľnohosp. prvovýroby a skladovania  produktov poľnohosp. prvovýroby</t>
  </si>
  <si>
    <t>Zastropovanie cien  plynu pre domácnosti</t>
  </si>
  <si>
    <t>Zúčtovanie pomoci za 4. kvartál 2023 začiatkom budúceho roka</t>
  </si>
  <si>
    <t>Zatiaľ nešpecifikované opatrenia spojené s energo pomocou</t>
  </si>
  <si>
    <t xml:space="preserve"> -</t>
  </si>
  <si>
    <t>Temporary income from the EU regulation regarding excessive profits</t>
  </si>
  <si>
    <t>Contribution from the European Peace Facility</t>
  </si>
  <si>
    <t>Government measures in the fight against the COVID-19 pandemic</t>
  </si>
  <si>
    <t>Subsidies for social services</t>
  </si>
  <si>
    <t>At the moment unspecified measures related to energy assistance</t>
  </si>
  <si>
    <t>Support of energy-intensive businesses</t>
  </si>
  <si>
    <t>Support of primary agricultural production and storage of products of primary agricultural production</t>
  </si>
  <si>
    <t>Postupný rast odvodu do II. piliera a jeho dočasné zmrazenie</t>
  </si>
  <si>
    <t>The gradual growth of the levy for II. pension pillar and its temporary freezing</t>
  </si>
  <si>
    <t>Reforma II. piliera (automatický vstup, sporenie aj počas dôchodku, zníženie poplatkov)</t>
  </si>
  <si>
    <t>Dočasné príjmy z cenových stropov pre výrobcov elektrickej energie</t>
  </si>
  <si>
    <t>Zrušenie koncesionárskych poplatkov RTVS</t>
  </si>
  <si>
    <t>Zníženie DPH na 10 % - gastro, športoviská, vleky a fitnes</t>
  </si>
  <si>
    <t>Zvýšenie sadzby SD z liehu o 30 %</t>
  </si>
  <si>
    <t>Zvýšenie odvodu z hazardných hier​</t>
  </si>
  <si>
    <t>Zvýšenie cien diaľničných známok</t>
  </si>
  <si>
    <t>Minimálne poistné zo zdravotných odvodov</t>
  </si>
  <si>
    <t>Zákaz skládkovania komunálneho odpadu bez pred-úpravy</t>
  </si>
  <si>
    <t>Zvýšenie poplatkov za komunálny odpad (VZN)</t>
  </si>
  <si>
    <t>Zmena v registračnom poplatku motorového vozidla</t>
  </si>
  <si>
    <t>Odpustenie sociálnych odvodov zamestnávateľa za zamestnancov v potravinárskom priemysle</t>
  </si>
  <si>
    <t>Zníženie daňovo-odvodovej záťaže v súvislosti s predajom virtuálnych mien, cenných papierov a podielových listov</t>
  </si>
  <si>
    <t>Reform of II. pension pillar (automatic entry, saving even during retirement, reduced fees)</t>
  </si>
  <si>
    <t>Cancellation of exemption from VAT for shipments up to 22 euros from 3rd countries</t>
  </si>
  <si>
    <t>Special levy for the state enterprise Water-management Construction  (from excess profit)</t>
  </si>
  <si>
    <t>Temporary income from price ceilings for electricity producers</t>
  </si>
  <si>
    <t>Abolition of concessionaire fees on Radio and Television of Slovakia</t>
  </si>
  <si>
    <t>VAT reduction to 10% - gastronomy, sports facilities, ski-lifts and fitness</t>
  </si>
  <si>
    <t>Increase in the rate of excise duty on alcohol by 30%</t>
  </si>
  <si>
    <t>Increase in the levy on gambling</t>
  </si>
  <si>
    <t>Increase in the prices of highway stamps</t>
  </si>
  <si>
    <t>Minimum insurance premium from health levies</t>
  </si>
  <si>
    <t>Prohibition of landfilling of municipal waste without pre-treatment</t>
  </si>
  <si>
    <t>Waiver of employer's social contributions for employees in the food industry</t>
  </si>
  <si>
    <t>Zmrazenie výšky minimálneho dôchodku v 2021 a jeho rozmrazenie v 2023</t>
  </si>
  <si>
    <t>Skorší odchod do dôchodku ženám, ktoré vychovali deti (ročníky 57 až 65)</t>
  </si>
  <si>
    <t>COVID pomoc spolu (iba výdavky)</t>
  </si>
  <si>
    <t>Zriadenie SLOVAKIA TRAVEL</t>
  </si>
  <si>
    <t>Navýšenie obranných výdavkov na 2 % od roku 2023</t>
  </si>
  <si>
    <t>Časový nesúlad dodávok (akrualizácia) vojenskej techniky</t>
  </si>
  <si>
    <t>Zmeny v I. pilieri dôchodkového systému (rodičovský bonus, odchod po 40. odpracovaných rokoch)</t>
  </si>
  <si>
    <t>Rodičovský bonus k výsluhovým dôchodkom</t>
  </si>
  <si>
    <t>Zvýšenie daňového bonusu na 100 eur a dočasne na 140 eur</t>
  </si>
  <si>
    <t>Jednorazové dotácie pre sociálne služby</t>
  </si>
  <si>
    <t>Kompenzácia rastúcich cien energií spolu</t>
  </si>
  <si>
    <t>Kolektívne vyjednávanie zdravotníckych pracovníkov</t>
  </si>
  <si>
    <t>Dofinancovanie ambulantného sektora</t>
  </si>
  <si>
    <t>Stabilizačný príspevok pre pracovníkov v sociálnych službách</t>
  </si>
  <si>
    <t>Súdna reforma a správne súdy</t>
  </si>
  <si>
    <t>Zákon o výstavbe, územnom plánovaní a zriadenie centrálneho stavebného úradu</t>
  </si>
  <si>
    <t>Náklady spojené s priemyselným parkom Valaliky</t>
  </si>
  <si>
    <t>Mimoriadna valorizácia dôchodkov od júla 2023</t>
  </si>
  <si>
    <t>Zrýchlená valorizácia rodičovského príspevku</t>
  </si>
  <si>
    <t>Rodičovský príspevok pre tých rodičov, ktorých deti neprijmú do škôlky</t>
  </si>
  <si>
    <t>Poskytovanie zdravotnej starostlivosti</t>
  </si>
  <si>
    <t xml:space="preserve">Motivácia zvýšenia zamestnanosti v policajnom zbore </t>
  </si>
  <si>
    <t>Novela školského zákona (právo na prijatie do škôlky a právo na špeciálne potreby)</t>
  </si>
  <si>
    <t>Výkonnostné zmluvy VVŠ</t>
  </si>
  <si>
    <t>Zvýšenie výdavkov na VaV</t>
  </si>
  <si>
    <t>Minimum pensions freeze (2021), unfreezing in 2023</t>
  </si>
  <si>
    <t>Increase in defence expenditure to 2% from 2023</t>
  </si>
  <si>
    <t>Time mismatch of deliveries (accrual) of military equipment</t>
  </si>
  <si>
    <t>Increase in reimbursement of long-term care by the Social Insurance Institution (ZP)</t>
  </si>
  <si>
    <t xml:space="preserve">Parental bonus to retired police officers and soldiers </t>
  </si>
  <si>
    <t>Increase of the tax bonus to €100 and temporarily to €140</t>
  </si>
  <si>
    <t>Total compensation for rising energy prices</t>
  </si>
  <si>
    <t>Additional financing of the  outpatient sector</t>
  </si>
  <si>
    <t>Stabilisation allowance for social services workers</t>
  </si>
  <si>
    <t>Judicial reform and administrative courts</t>
  </si>
  <si>
    <t xml:space="preserve"> Law on construction, spatial planning and the establishment of a central construction authority</t>
  </si>
  <si>
    <t>Measures to introduce free lunches</t>
  </si>
  <si>
    <t>Costs associated with the Valalika industrial park</t>
  </si>
  <si>
    <t>Change in assessment of disability pensions</t>
  </si>
  <si>
    <t>Extraordinary valorization of pensions from July 2023</t>
  </si>
  <si>
    <t>Abolition of the reduction of the pensioner's care allowance</t>
  </si>
  <si>
    <t>Accelerated valorization of the parental allowance</t>
  </si>
  <si>
    <t>Parental allowance for those parents whose children are not admitted to kindergarten</t>
  </si>
  <si>
    <t>Provision of health care</t>
  </si>
  <si>
    <t>Motivation to increase employment in the police force</t>
  </si>
  <si>
    <t>Amendment to the Education Act (right to admission to kindergarten and right to special support)</t>
  </si>
  <si>
    <t>Performance contracts for universities and colleges</t>
  </si>
  <si>
    <t>Increase in spending on R&amp;D</t>
  </si>
  <si>
    <t>Modification in motor vehicle registration fee</t>
  </si>
  <si>
    <t>Content of Draft Budgetary Plan of SR for 2024</t>
  </si>
  <si>
    <t>Zhrnutie</t>
  </si>
  <si>
    <t>Summary</t>
  </si>
  <si>
    <t>FIGURE 2 – Exigence for specific consolidation measures (cumulative in % of GDP and EUR billions)</t>
  </si>
  <si>
    <t>TABLE 3 – Quantification of income and expenditure measures (impact on the budget in ESA2010, in EUR millions)</t>
  </si>
  <si>
    <t>TABLE 2 – Measures taken by the government to combat the energy crisis with budget impact (in EUR millions)</t>
  </si>
  <si>
    <t xml:space="preserve">TABLE 1 – Consolidation effort (ESA 2010, % GDP) </t>
  </si>
  <si>
    <t>TABUĽKA 3  – Kvantifikácie príjmových a výdavkových opatrení (vplyv na rozpočet v ESA2010, mil. eur)</t>
  </si>
  <si>
    <t xml:space="preserve">TABUĽKA 1 – Konsolidačné úsilie (ESA 2010, % HDP) </t>
  </si>
  <si>
    <t xml:space="preserve">TABUĽKA 5 – Zoznam jednorazových a dočasných opatrení </t>
  </si>
  <si>
    <t>TABLE 5 – One-off and temporary measures</t>
  </si>
  <si>
    <t>TABUĽKA 6 – Príjmové diskrečné opatrenia – medziročné vplyvy opatrení (mil. eur, ESA2010) / TABLE 6 – Discretionary revenue measure - incremental impact (in EUR millions, ESA2010)</t>
  </si>
  <si>
    <t>TABUĽKA 7 – Výdavkové diskrečné opatrenia – medziročné vplyvy (mil. eur, ESA2010) / TABLE 7 – Discretionary expenditure measure - incremental impact (in EUR millions, ESA2010)</t>
  </si>
  <si>
    <t>TABUĽKA 6 – Príjmové diskrečné opatrenia – medziročné vplyvy opatrení (mil. eur, ESA2010)</t>
  </si>
  <si>
    <t>TABLE 6 – Discretionary revenue measure - incremental impact (in EUR millions, ESA2010)</t>
  </si>
  <si>
    <t>TABUĽKA 7 – Výdavkové diskrečné opatrenia – medziročné vplyvy (mil. eur, ESA2010)</t>
  </si>
  <si>
    <t>TABLE 7 – Discretionary expenditure measure - incremental impact (in EUR millions, ESA2010)</t>
  </si>
  <si>
    <t>TABUĽKA 3 – Kvantifikácie príjmových a výdavkových opatrení (vplyv na rozpočet v ESA2010, mil. eur)</t>
  </si>
  <si>
    <t xml:space="preserve">Solidárny príspevok </t>
  </si>
  <si>
    <t>Solidarity contribution</t>
  </si>
  <si>
    <t>GRAF 6 – Príspevky daní k medziročnému rastu daňovo-odvod. príjmov (2023, ESA 2010, v p. b.)</t>
  </si>
  <si>
    <t>FIGURE 6 – Tax contributions to growth of tax revenue (2023, ESA 2010, in percentage points)</t>
  </si>
  <si>
    <t>Spotrebné dane</t>
  </si>
  <si>
    <t>Excise duties</t>
  </si>
  <si>
    <t>Amendment to the Education Act</t>
  </si>
  <si>
    <t>Extension of receipt of parental allowance for children who have not been admitted to kindergarten</t>
  </si>
  <si>
    <t>Increase of funding for science and research</t>
  </si>
  <si>
    <t>Performance contracts for universities</t>
  </si>
  <si>
    <t>Pozn. 2: (+) zlepšuje bilanciu VS, (-) zhoršuje bilanciu VS</t>
  </si>
  <si>
    <t>Note 2: (+) improves the VS balance, (-) worsens the VS balance</t>
  </si>
  <si>
    <t xml:space="preserve">Poznámka: V prípade opatrení súvisiacich s pandémiou COVID-19 ide o doznievanie vplyvov opatrení prijatých na </t>
  </si>
  <si>
    <t>začiatku pandémie. Keďže išlo o jednorazové opatrenia, najskôr mali v inkrementálnom vyjadrení negatívny vplyv na príjmy v roku 2021 a čiastočne pozitívny v roku 2022.</t>
  </si>
  <si>
    <t xml:space="preserve">Note: In the case of measures related to the COVID-19 pandemic, the effects of measures taken at the beginning of the </t>
  </si>
  <si>
    <t>pandemic are fading. As these were one-off measures, they initially had a negative impact on revenues in incremental terms in 2021 and partially positive in 2022.</t>
  </si>
  <si>
    <t xml:space="preserve">Zdroj: MF SR
</t>
  </si>
  <si>
    <t xml:space="preserve">Source: MoF SR
</t>
  </si>
  <si>
    <t>Other measures in the social field</t>
  </si>
  <si>
    <t>Modification in the valuation of pensions</t>
  </si>
  <si>
    <t>Modification in assessment of disability pensions</t>
  </si>
  <si>
    <t>Reintroduction of free lunches</t>
  </si>
  <si>
    <t>Reduction of the tax bonus for a child (100 euros under 15 years, 50 euros over 15 years)</t>
  </si>
  <si>
    <t>Expenses on compensation for the rise in energy prices</t>
  </si>
  <si>
    <t>Increase in fees for municipal waste</t>
  </si>
  <si>
    <t>Change in properety tax rates at the municipal level</t>
  </si>
  <si>
    <t>Ciele z Programu stability</t>
  </si>
  <si>
    <t>Odporúčané ciele</t>
  </si>
  <si>
    <t>Recommended targets</t>
  </si>
  <si>
    <t>Targets from the Stability Program</t>
  </si>
  <si>
    <t>Potreba opatrení</t>
  </si>
  <si>
    <t>Necessary measures</t>
  </si>
  <si>
    <t>Vyššie zdanenie negatívnych externalít</t>
  </si>
  <si>
    <t>Zvýšenie príjmov menej škodlivých pre ekonomiku</t>
  </si>
  <si>
    <t>Efektívnejší, spravodlivejší a jednoduchší daňovo-odvodový systém</t>
  </si>
  <si>
    <t>Zoštíhlenie zamestnanosti vo verejnej správe</t>
  </si>
  <si>
    <t>Zefektívnenie prevádzky</t>
  </si>
  <si>
    <t>Zacielenie sociálnych výdavkov</t>
  </si>
  <si>
    <t>Zníženie neefektívnych dotácii</t>
  </si>
  <si>
    <t>Kategória</t>
  </si>
  <si>
    <t>Higher taxation of negative externalities</t>
  </si>
  <si>
    <t>An increase in income less harmful to the economy</t>
  </si>
  <si>
    <t>A more efficient, fairer and simpler tax and levy system</t>
  </si>
  <si>
    <t>Downsizing of employment in public administration</t>
  </si>
  <si>
    <t>Targeting social spending</t>
  </si>
  <si>
    <t>Reduction of inefficient subsidies</t>
  </si>
  <si>
    <t>GRAF 9 – Príspevky k zmene hrubého dlhu (% HDP)</t>
  </si>
  <si>
    <t xml:space="preserve">FIGURE 8 – Medium-term projection of gross and net public debt (% of GDP) </t>
  </si>
  <si>
    <t>FIGURE 9 – Decomposition of gross debt of GG (% of GDP)</t>
  </si>
  <si>
    <t>Streamlining operatins</t>
  </si>
  <si>
    <t>Category</t>
  </si>
  <si>
    <t>Saldo</t>
  </si>
  <si>
    <t>Balance</t>
  </si>
  <si>
    <t>Položka</t>
  </si>
  <si>
    <t>Item</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</si>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</sst>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409]mmm\-yy;@"/>
    <numFmt numFmtId="166" formatCode="0.0"/>
    <numFmt numFmtId="167" formatCode="#,##0.0"/>
    <numFmt numFmtId="168" formatCode="0.0%"/>
    <numFmt numFmtId="169" formatCode="_-[$€-2]* #,##0.00_-;\-[$€-2]* #,##0.00_-;_-[$€-2]* &quot;-&quot;??_-"/>
    <numFmt numFmtId="170" formatCode="_-* #,##0.00\ _S_k_-;\-* #,##0.00\ _S_k_-;_-* &quot;-&quot;??\ _S_k_-;_-@_-"/>
    <numFmt numFmtId="171" formatCode="#,##0.000"/>
    <numFmt numFmtId="172" formatCode="&quot; &quot;#,##0.00&quot; &quot;;&quot;-&quot;#,##0.00&quot; &quot;;&quot; -&quot;00&quot; &quot;;&quot; &quot;@&quot; &quot;"/>
    <numFmt numFmtId="173" formatCode="0.000"/>
    <numFmt numFmtId="174" formatCode="_-* #,##0\ _€_-;\-* #,##0\ _€_-;_-* &quot;-&quot;??\ _€_-;_-@_-"/>
    <numFmt numFmtId="175" formatCode="_-* #,##0.00\ _S_k_-;\-* #,##0.00\ _S_k_-;_-* \-??\ _S_k_-;_-@_-"/>
  </numFmts>
  <fonts count="1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Narrow"/>
      <family val="2"/>
      <charset val="238"/>
    </font>
    <font>
      <sz val="10"/>
      <color theme="1"/>
      <name val="Arial Narrow"/>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Narrow"/>
      <family val="2"/>
      <charset val="238"/>
    </font>
    <font>
      <sz val="11"/>
      <color theme="1"/>
      <name val="Calibri"/>
      <family val="2"/>
      <charset val="238"/>
      <scheme val="minor"/>
    </font>
    <font>
      <sz val="11"/>
      <color theme="1"/>
      <name val="Calibri"/>
      <family val="2"/>
      <scheme val="minor"/>
    </font>
    <font>
      <sz val="10"/>
      <name val="Arial"/>
      <family val="2"/>
    </font>
    <font>
      <sz val="11"/>
      <color theme="1"/>
      <name val="Arial Narrow"/>
      <family val="2"/>
      <charset val="238"/>
    </font>
    <font>
      <u/>
      <sz val="11"/>
      <color theme="10"/>
      <name val="Calibri"/>
      <family val="2"/>
      <scheme val="minor"/>
    </font>
    <font>
      <sz val="10"/>
      <name val="Arial"/>
      <family val="2"/>
      <charset val="238"/>
    </font>
    <font>
      <sz val="10"/>
      <color theme="1"/>
      <name val="Arial Narrow"/>
      <family val="2"/>
    </font>
    <font>
      <sz val="11"/>
      <name val="Arial"/>
      <family val="2"/>
      <charset val="238"/>
    </font>
    <font>
      <sz val="11"/>
      <color indexed="8"/>
      <name val="Arial Narrow"/>
      <family val="2"/>
      <charset val="238"/>
    </font>
    <font>
      <sz val="10"/>
      <name val="Garamond"/>
      <family val="1"/>
      <charset val="238"/>
    </font>
    <font>
      <sz val="11"/>
      <color theme="1"/>
      <name val="Garamond"/>
      <family val="2"/>
      <charset val="238"/>
    </font>
    <font>
      <sz val="11"/>
      <color indexed="8"/>
      <name val="Calibri"/>
      <family val="2"/>
      <charset val="238"/>
    </font>
    <font>
      <sz val="10"/>
      <color rgb="FF000000"/>
      <name val="Arial"/>
      <family val="2"/>
      <charset val="238"/>
    </font>
    <font>
      <sz val="11"/>
      <color rgb="FFFFFFFF"/>
      <name val="Calibri"/>
      <family val="2"/>
      <charset val="238"/>
    </font>
    <font>
      <u/>
      <sz val="10"/>
      <color rgb="FF0000FF"/>
      <name val="Arial"/>
      <family val="2"/>
      <charset val="238"/>
    </font>
    <font>
      <b/>
      <sz val="10"/>
      <color rgb="FFFFFFFF"/>
      <name val="Arial"/>
      <family val="2"/>
      <charset val="238"/>
    </font>
    <font>
      <b/>
      <sz val="15"/>
      <color rgb="FF1F497D"/>
      <name val="Arial"/>
      <family val="2"/>
      <charset val="238"/>
    </font>
    <font>
      <u/>
      <sz val="10"/>
      <color rgb="FF800080"/>
      <name val="Arial"/>
      <family val="2"/>
      <charset val="238"/>
    </font>
    <font>
      <sz val="10"/>
      <color rgb="FF9C0006"/>
      <name val="Arial"/>
      <family val="2"/>
      <charset val="238"/>
    </font>
    <font>
      <u/>
      <sz val="11"/>
      <color theme="10"/>
      <name val="Calibri"/>
      <family val="2"/>
      <charset val="238"/>
      <scheme val="minor"/>
    </font>
    <font>
      <sz val="10"/>
      <name val="MS Sans Serif"/>
      <family val="2"/>
    </font>
    <font>
      <sz val="11"/>
      <color theme="1"/>
      <name val="Arial"/>
      <family val="2"/>
      <charset val="238"/>
    </font>
    <font>
      <sz val="10"/>
      <name val="Arial CE"/>
      <charset val="238"/>
    </font>
    <font>
      <sz val="9"/>
      <color rgb="FF000000"/>
      <name val="Arial Narrow"/>
      <family val="2"/>
      <charset val="238"/>
    </font>
    <font>
      <b/>
      <sz val="9"/>
      <color rgb="FF000000"/>
      <name val="Arial Narrow"/>
      <family val="2"/>
      <charset val="238"/>
    </font>
    <font>
      <sz val="9"/>
      <name val="Arial Narrow"/>
      <family val="2"/>
      <charset val="238"/>
    </font>
    <font>
      <sz val="9"/>
      <color theme="1"/>
      <name val="Arial Narrow"/>
      <family val="2"/>
      <charset val="238"/>
    </font>
    <font>
      <b/>
      <sz val="9"/>
      <color theme="1"/>
      <name val="Arial Narrow"/>
      <family val="2"/>
      <charset val="238"/>
    </font>
    <font>
      <b/>
      <sz val="9"/>
      <name val="Arial Narrow"/>
      <family val="2"/>
      <charset val="238"/>
    </font>
    <font>
      <sz val="8"/>
      <color rgb="FF000000"/>
      <name val="Arial Narrow"/>
      <family val="2"/>
      <charset val="238"/>
    </font>
    <font>
      <i/>
      <sz val="9"/>
      <color rgb="FF000000"/>
      <name val="Arial Narrow"/>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indexed="8"/>
      <name val="Arial Narrow"/>
      <family val="2"/>
      <charset val="238"/>
    </font>
    <font>
      <b/>
      <sz val="9"/>
      <color theme="4"/>
      <name val="Arial Narrow"/>
      <family val="2"/>
      <charset val="238"/>
    </font>
    <font>
      <sz val="9"/>
      <color rgb="FFFF0000"/>
      <name val="Arial Narrow"/>
      <family val="2"/>
      <charset val="238"/>
    </font>
    <font>
      <i/>
      <sz val="9"/>
      <color theme="1"/>
      <name val="Arial Narrow"/>
      <family val="2"/>
      <charset val="238"/>
    </font>
    <font>
      <b/>
      <sz val="9"/>
      <color rgb="FF2C9ADC"/>
      <name val="Arial Narrow"/>
      <family val="2"/>
      <charset val="238"/>
    </font>
    <font>
      <sz val="9"/>
      <color theme="0"/>
      <name val="Arial Narrow"/>
      <family val="2"/>
      <charset val="238"/>
    </font>
    <font>
      <sz val="9"/>
      <color theme="1"/>
      <name val="Calibri"/>
      <family val="2"/>
      <scheme val="minor"/>
    </font>
    <font>
      <b/>
      <sz val="9"/>
      <color indexed="9"/>
      <name val="Arial Narrow"/>
      <family val="2"/>
      <charset val="238"/>
    </font>
    <font>
      <b/>
      <sz val="9"/>
      <color indexed="8"/>
      <name val="Arial Narrow"/>
      <family val="2"/>
      <charset val="238"/>
    </font>
    <font>
      <i/>
      <sz val="9"/>
      <color indexed="8"/>
      <name val="Arial Narrow"/>
      <family val="2"/>
      <charset val="238"/>
    </font>
    <font>
      <i/>
      <sz val="9"/>
      <color rgb="FFFF0000"/>
      <name val="Arial Narrow"/>
      <family val="2"/>
      <charset val="238"/>
    </font>
    <font>
      <b/>
      <sz val="9"/>
      <color rgb="FFFF0000"/>
      <name val="Arial Narrow"/>
      <family val="2"/>
      <charset val="238"/>
    </font>
    <font>
      <sz val="9"/>
      <color theme="4"/>
      <name val="Arial Narrow"/>
      <family val="2"/>
      <charset val="238"/>
    </font>
    <font>
      <b/>
      <sz val="9"/>
      <color rgb="FF00B0F0"/>
      <name val="Arial Narrow"/>
      <family val="2"/>
      <charset val="238"/>
    </font>
    <font>
      <sz val="9"/>
      <color rgb="FF2C9ADC"/>
      <name val="Arial Narrow"/>
      <family val="2"/>
      <charset val="238"/>
    </font>
    <font>
      <b/>
      <i/>
      <sz val="9"/>
      <color theme="1"/>
      <name val="Arial Narrow"/>
      <family val="2"/>
      <charset val="238"/>
    </font>
    <font>
      <b/>
      <sz val="16"/>
      <color theme="1"/>
      <name val="Arial Narrow"/>
      <family val="2"/>
      <charset val="238"/>
    </font>
    <font>
      <sz val="18"/>
      <color theme="1"/>
      <name val="Arial Narrow"/>
      <family val="2"/>
      <charset val="238"/>
    </font>
    <font>
      <b/>
      <sz val="18"/>
      <color theme="1"/>
      <name val="Arial Narrow"/>
      <family val="2"/>
      <charset val="238"/>
    </font>
    <font>
      <sz val="12"/>
      <color theme="1"/>
      <name val="Arial Narrow"/>
      <family val="2"/>
      <charset val="238"/>
    </font>
    <font>
      <sz val="11"/>
      <color theme="1"/>
      <name val="Arial Narrow"/>
      <family val="2"/>
    </font>
    <font>
      <sz val="10"/>
      <name val="Courier"/>
      <family val="1"/>
      <charset val="238"/>
    </font>
    <font>
      <b/>
      <sz val="10"/>
      <color indexed="8"/>
      <name val="Arial"/>
      <family val="2"/>
    </font>
    <font>
      <u/>
      <sz val="10"/>
      <color theme="10"/>
      <name val="Arial Narrow"/>
      <family val="2"/>
    </font>
    <font>
      <sz val="11"/>
      <name val="Times New Roman"/>
      <family val="1"/>
      <charset val="238"/>
    </font>
    <font>
      <sz val="10"/>
      <color indexed="8"/>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color theme="1"/>
      <name val="Arial Narrow"/>
      <family val="2"/>
      <charset val="238"/>
    </font>
    <font>
      <b/>
      <sz val="8"/>
      <color rgb="FF000000"/>
      <name val="Arial Narrow"/>
      <family val="2"/>
      <charset val="238"/>
    </font>
    <font>
      <sz val="8"/>
      <color theme="1"/>
      <name val="Arial Narrow"/>
      <family val="2"/>
      <charset val="238"/>
    </font>
    <font>
      <i/>
      <sz val="8"/>
      <color rgb="FF000000"/>
      <name val="Arial Narrow"/>
      <family val="2"/>
      <charset val="238"/>
    </font>
    <font>
      <sz val="10"/>
      <color rgb="FF000000"/>
      <name val="Arial Narrow"/>
      <family val="2"/>
      <charset val="238"/>
    </font>
    <font>
      <b/>
      <sz val="10"/>
      <color rgb="FF000000"/>
      <name val="Arial Narrow"/>
      <family val="2"/>
      <charset val="238"/>
    </font>
    <font>
      <sz val="10"/>
      <name val="Arial Narrow"/>
      <family val="2"/>
      <charset val="238"/>
    </font>
    <font>
      <i/>
      <sz val="9"/>
      <name val="Arial Narrow"/>
      <family val="2"/>
      <charset val="238"/>
    </font>
    <font>
      <b/>
      <sz val="10"/>
      <color rgb="FF2C9ADC"/>
      <name val="Arial Narrow"/>
      <family val="2"/>
      <charset val="238"/>
    </font>
    <font>
      <i/>
      <sz val="8"/>
      <color theme="1"/>
      <name val="Arial Narrow"/>
      <family val="2"/>
      <charset val="238"/>
    </font>
    <font>
      <b/>
      <sz val="9"/>
      <color rgb="FFA6A6A6"/>
      <name val="Arial Narrow"/>
      <family val="2"/>
      <charset val="238"/>
    </font>
    <font>
      <b/>
      <sz val="10"/>
      <color rgb="FFA6A6A6"/>
      <name val="Arial Narrow"/>
      <family val="2"/>
      <charset val="238"/>
    </font>
    <font>
      <b/>
      <sz val="10"/>
      <color theme="1"/>
      <name val="Arial Narrow"/>
      <family val="2"/>
      <charset val="238"/>
    </font>
    <font>
      <sz val="10"/>
      <color rgb="FFA6A6A6"/>
      <name val="Arial Narrow"/>
      <family val="2"/>
      <charset val="238"/>
    </font>
    <font>
      <sz val="8"/>
      <color rgb="FF595959"/>
      <name val="Arial Narrow"/>
      <family val="2"/>
      <charset val="238"/>
    </font>
    <font>
      <sz val="8"/>
      <color rgb="FFA6A6A6"/>
      <name val="Arial Narrow"/>
      <family val="2"/>
      <charset val="238"/>
    </font>
    <font>
      <sz val="9"/>
      <name val="Garamond"/>
      <family val="1"/>
      <charset val="238"/>
    </font>
    <font>
      <b/>
      <sz val="11"/>
      <color indexed="8"/>
      <name val="Arial Narrow"/>
      <family val="2"/>
      <charset val="238"/>
    </font>
    <font>
      <b/>
      <sz val="10"/>
      <color indexed="8"/>
      <name val="Arial Narrow"/>
      <family val="2"/>
      <charset val="238"/>
    </font>
    <font>
      <sz val="10"/>
      <color indexed="8"/>
      <name val="Arial Narrow"/>
      <family val="2"/>
      <charset val="238"/>
    </font>
    <font>
      <b/>
      <sz val="10"/>
      <name val="Arial Narrow"/>
      <family val="2"/>
      <charset val="238"/>
    </font>
    <font>
      <sz val="11"/>
      <name val="Calibri"/>
      <family val="2"/>
      <scheme val="minor"/>
    </font>
    <font>
      <b/>
      <sz val="11"/>
      <color theme="1"/>
      <name val="Arial Narrow"/>
      <family val="2"/>
      <charset val="238"/>
    </font>
  </fonts>
  <fills count="67">
    <fill>
      <patternFill patternType="none"/>
    </fill>
    <fill>
      <patternFill patternType="gray125"/>
    </fill>
    <fill>
      <patternFill patternType="solid">
        <fgColor rgb="FFFFFFFF"/>
        <bgColor indexed="64"/>
      </patternFill>
    </fill>
    <fill>
      <patternFill patternType="solid">
        <fgColor rgb="FF33CCCC"/>
        <bgColor rgb="FF33CCCC"/>
      </patternFill>
    </fill>
    <fill>
      <patternFill patternType="solid">
        <fgColor rgb="FFFF6600"/>
        <bgColor rgb="FFFF6600"/>
      </patternFill>
    </fill>
    <fill>
      <patternFill patternType="solid">
        <fgColor rgb="FFA5A5A5"/>
        <bgColor rgb="FFA5A5A5"/>
      </patternFill>
    </fill>
    <fill>
      <patternFill patternType="solid">
        <fgColor rgb="FFFFC7CE"/>
        <bgColor rgb="FFFFC7CE"/>
      </patternFill>
    </fill>
    <fill>
      <patternFill patternType="solid">
        <fgColor theme="5"/>
        <bgColor indexed="64"/>
      </patternFill>
    </fill>
    <fill>
      <patternFill patternType="solid">
        <fgColor theme="0" tint="-0.14999847407452621"/>
        <bgColor indexed="64"/>
      </patternFill>
    </fill>
    <fill>
      <patternFill patternType="solid">
        <fgColor rgb="FFBFBFBF"/>
        <bgColor indexed="64"/>
      </patternFill>
    </fill>
    <fill>
      <patternFill patternType="solid">
        <fgColor rgb="FF000000"/>
        <bgColor indexed="64"/>
      </patternFill>
    </fill>
    <fill>
      <patternFill patternType="solid">
        <fgColor indexed="2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45">
    <border>
      <left/>
      <right/>
      <top/>
      <bottom/>
      <diagonal/>
    </border>
    <border>
      <left/>
      <right/>
      <top/>
      <bottom style="thin">
        <color auto="1"/>
      </bottom>
      <diagonal/>
    </border>
    <border>
      <left/>
      <right/>
      <top/>
      <bottom style="medium">
        <color auto="1"/>
      </bottom>
      <diagonal/>
    </border>
    <border>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right style="medium">
        <color auto="1"/>
      </right>
      <top/>
      <bottom/>
      <diagonal/>
    </border>
    <border>
      <left/>
      <right style="medium">
        <color auto="1"/>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top/>
      <bottom style="medium">
        <color rgb="FF000000"/>
      </bottom>
      <diagonal/>
    </border>
    <border>
      <left/>
      <right/>
      <top style="medium">
        <color rgb="FF000000"/>
      </top>
      <bottom/>
      <diagonal/>
    </border>
    <border>
      <left style="double">
        <color rgb="FF3F3F3F"/>
      </left>
      <right style="double">
        <color rgb="FF3F3F3F"/>
      </right>
      <top style="double">
        <color rgb="FF3F3F3F"/>
      </top>
      <bottom style="double">
        <color rgb="FF3F3F3F"/>
      </bottom>
      <diagonal/>
    </border>
    <border>
      <left/>
      <right/>
      <top/>
      <bottom style="thick">
        <color rgb="FF4F81BD"/>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rgb="FF000000"/>
      </bottom>
      <diagonal/>
    </border>
    <border>
      <left/>
      <right/>
      <top style="thin">
        <color indexed="64"/>
      </top>
      <bottom/>
      <diagonal/>
    </border>
  </borders>
  <cellStyleXfs count="1496">
    <xf numFmtId="0" fontId="0" fillId="0" borderId="0"/>
    <xf numFmtId="0" fontId="27" fillId="0" borderId="0"/>
    <xf numFmtId="0" fontId="28" fillId="0" borderId="0"/>
    <xf numFmtId="0" fontId="27" fillId="0" borderId="0"/>
    <xf numFmtId="0" fontId="29" fillId="0" borderId="0" applyNumberFormat="0" applyFill="0" applyBorder="0" applyAlignment="0" applyProtection="0"/>
    <xf numFmtId="0" fontId="30" fillId="0" borderId="0"/>
    <xf numFmtId="165" fontId="31" fillId="0" borderId="0"/>
    <xf numFmtId="9" fontId="30" fillId="0" borderId="0" applyFont="0" applyFill="0" applyBorder="0" applyAlignment="0" applyProtection="0"/>
    <xf numFmtId="164" fontId="26" fillId="0" borderId="0" applyFont="0" applyFill="0" applyBorder="0" applyAlignment="0" applyProtection="0"/>
    <xf numFmtId="0" fontId="25" fillId="0" borderId="0"/>
    <xf numFmtId="0" fontId="33" fillId="0" borderId="0"/>
    <xf numFmtId="0" fontId="23" fillId="0" borderId="0"/>
    <xf numFmtId="9" fontId="26"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164" fontId="30" fillId="0" borderId="0" applyFont="0" applyFill="0" applyBorder="0" applyAlignment="0" applyProtection="0"/>
    <xf numFmtId="169" fontId="30" fillId="0" borderId="0"/>
    <xf numFmtId="0" fontId="26" fillId="0" borderId="0"/>
    <xf numFmtId="0" fontId="22" fillId="0" borderId="0"/>
    <xf numFmtId="0" fontId="34" fillId="0" borderId="0"/>
    <xf numFmtId="9" fontId="34" fillId="0" borderId="0" applyFont="0" applyFill="0" applyBorder="0" applyAlignment="0" applyProtection="0"/>
    <xf numFmtId="0" fontId="32"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35" fillId="0" borderId="0"/>
    <xf numFmtId="9" fontId="35" fillId="0" borderId="0" applyFont="0" applyFill="0" applyBorder="0" applyAlignment="0" applyProtection="0"/>
    <xf numFmtId="164" fontId="28" fillId="0" borderId="0" applyFont="0" applyFill="0" applyBorder="0" applyAlignment="0" applyProtection="0"/>
    <xf numFmtId="170" fontId="36" fillId="0" borderId="0" applyFont="0" applyFill="0" applyBorder="0" applyAlignment="0" applyProtection="0"/>
    <xf numFmtId="0" fontId="28" fillId="0" borderId="0"/>
    <xf numFmtId="0" fontId="21" fillId="0" borderId="0"/>
    <xf numFmtId="0" fontId="20" fillId="0" borderId="0"/>
    <xf numFmtId="164" fontId="20" fillId="0" borderId="0" applyFont="0" applyFill="0" applyBorder="0" applyAlignment="0" applyProtection="0"/>
    <xf numFmtId="0" fontId="30" fillId="0" borderId="0"/>
    <xf numFmtId="0" fontId="37" fillId="0" borderId="0"/>
    <xf numFmtId="172" fontId="37" fillId="0" borderId="0" applyFont="0" applyFill="0" applyBorder="0" applyAlignment="0" applyProtection="0"/>
    <xf numFmtId="9" fontId="37" fillId="0" borderId="0" applyFont="0" applyFill="0" applyBorder="0" applyAlignment="0" applyProtection="0"/>
    <xf numFmtId="0" fontId="41" fillId="0" borderId="15" applyNumberFormat="0" applyFill="0" applyAlignment="0" applyProtection="0"/>
    <xf numFmtId="0" fontId="43" fillId="6" borderId="0" applyNumberFormat="0" applyBorder="0" applyAlignment="0" applyProtection="0"/>
    <xf numFmtId="0" fontId="40" fillId="5" borderId="14" applyNumberFormat="0" applyAlignment="0" applyProtection="0"/>
    <xf numFmtId="0" fontId="38" fillId="3" borderId="0" applyNumberFormat="0" applyBorder="0" applyAlignment="0" applyProtection="0"/>
    <xf numFmtId="0" fontId="38" fillId="4" borderId="0" applyNumberFormat="0" applyBorder="0" applyAlignment="0" applyProtection="0"/>
    <xf numFmtId="0" fontId="39" fillId="0" borderId="0" applyNumberFormat="0" applyFill="0" applyBorder="0" applyAlignment="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42" fillId="0" borderId="0" applyNumberFormat="0" applyFill="0" applyBorder="0" applyAlignment="0" applyProtection="0"/>
    <xf numFmtId="0" fontId="44" fillId="0" borderId="0" applyNumberForma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26" fillId="0" borderId="0"/>
    <xf numFmtId="0" fontId="19" fillId="0" borderId="0"/>
    <xf numFmtId="0" fontId="28" fillId="0" borderId="0"/>
    <xf numFmtId="0" fontId="18" fillId="0" borderId="0"/>
    <xf numFmtId="0" fontId="36" fillId="0" borderId="0"/>
    <xf numFmtId="0" fontId="17" fillId="0" borderId="0"/>
    <xf numFmtId="0" fontId="45" fillId="0" borderId="0"/>
    <xf numFmtId="9" fontId="36" fillId="0" borderId="0" applyFont="0" applyFill="0" applyBorder="0" applyAlignment="0" applyProtection="0"/>
    <xf numFmtId="0" fontId="32" fillId="0" borderId="0"/>
    <xf numFmtId="0" fontId="36" fillId="0" borderId="0"/>
    <xf numFmtId="170" fontId="36" fillId="0" borderId="0" applyFont="0" applyFill="0" applyBorder="0" applyAlignment="0" applyProtection="0"/>
    <xf numFmtId="0" fontId="46" fillId="0" borderId="0"/>
    <xf numFmtId="164" fontId="46" fillId="0" borderId="0" applyFont="0" applyFill="0" applyBorder="0" applyAlignment="0" applyProtection="0"/>
    <xf numFmtId="0" fontId="34" fillId="0" borderId="0"/>
    <xf numFmtId="0" fontId="34" fillId="0" borderId="0"/>
    <xf numFmtId="0" fontId="24" fillId="0" borderId="0"/>
    <xf numFmtId="9" fontId="24" fillId="0" borderId="0" applyFont="0" applyFill="0" applyBorder="0" applyAlignment="0" applyProtection="0"/>
    <xf numFmtId="0" fontId="16" fillId="0" borderId="0"/>
    <xf numFmtId="0" fontId="33" fillId="0" borderId="0"/>
    <xf numFmtId="0" fontId="36" fillId="0" borderId="0"/>
    <xf numFmtId="0" fontId="15" fillId="0" borderId="0"/>
    <xf numFmtId="0" fontId="33" fillId="0" borderId="0"/>
    <xf numFmtId="0" fontId="14" fillId="0" borderId="0"/>
    <xf numFmtId="164" fontId="14" fillId="0" borderId="0" applyFont="0" applyFill="0" applyBorder="0" applyAlignment="0" applyProtection="0"/>
    <xf numFmtId="0" fontId="56" fillId="0" borderId="0" applyNumberForma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13" borderId="0" applyNumberFormat="0" applyBorder="0" applyAlignment="0" applyProtection="0"/>
    <xf numFmtId="0" fontId="61" fillId="14" borderId="0" applyNumberFormat="0" applyBorder="0" applyAlignment="0" applyProtection="0"/>
    <xf numFmtId="0" fontId="62" fillId="15" borderId="0" applyNumberFormat="0" applyBorder="0" applyAlignment="0" applyProtection="0"/>
    <xf numFmtId="0" fontId="63" fillId="16" borderId="25" applyNumberFormat="0" applyAlignment="0" applyProtection="0"/>
    <xf numFmtId="0" fontId="64" fillId="17" borderId="26" applyNumberFormat="0" applyAlignment="0" applyProtection="0"/>
    <xf numFmtId="0" fontId="65" fillId="17" borderId="25" applyNumberFormat="0" applyAlignment="0" applyProtection="0"/>
    <xf numFmtId="0" fontId="66" fillId="0" borderId="27" applyNumberFormat="0" applyFill="0" applyAlignment="0" applyProtection="0"/>
    <xf numFmtId="0" fontId="67" fillId="18" borderId="14"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29" applyNumberFormat="0" applyFill="0" applyAlignment="0" applyProtection="0"/>
    <xf numFmtId="0" fontId="7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71" fillId="43" borderId="0" applyNumberFormat="0" applyBorder="0" applyAlignment="0" applyProtection="0"/>
    <xf numFmtId="0" fontId="11" fillId="0" borderId="0"/>
    <xf numFmtId="0" fontId="11" fillId="19" borderId="28" applyNumberFormat="0" applyFont="0" applyAlignment="0" applyProtection="0"/>
    <xf numFmtId="0" fontId="10" fillId="0" borderId="0"/>
    <xf numFmtId="0" fontId="13" fillId="0" borderId="0"/>
    <xf numFmtId="0" fontId="9" fillId="0" borderId="0"/>
    <xf numFmtId="9" fontId="9" fillId="0" borderId="0" applyFont="0" applyFill="0" applyBorder="0" applyAlignment="0" applyProtection="0"/>
    <xf numFmtId="0" fontId="9" fillId="0" borderId="0"/>
    <xf numFmtId="0" fontId="8" fillId="0" borderId="0"/>
    <xf numFmtId="0" fontId="8" fillId="0" borderId="0"/>
    <xf numFmtId="0" fontId="7" fillId="0" borderId="0"/>
    <xf numFmtId="9" fontId="7" fillId="0" borderId="0" applyFont="0" applyFill="0" applyBorder="0" applyAlignment="0" applyProtection="0"/>
    <xf numFmtId="0" fontId="12" fillId="0" borderId="0"/>
    <xf numFmtId="0" fontId="30" fillId="0" borderId="0">
      <alignment vertical="center"/>
    </xf>
    <xf numFmtId="170" fontId="30" fillId="0" borderId="0" applyFont="0" applyFill="0" applyBorder="0" applyAlignment="0" applyProtection="0"/>
    <xf numFmtId="0" fontId="93" fillId="0" borderId="0"/>
    <xf numFmtId="9" fontId="30" fillId="0" borderId="0" applyFont="0" applyFill="0" applyBorder="0" applyAlignment="0" applyProtection="0"/>
    <xf numFmtId="0" fontId="30" fillId="0" borderId="0">
      <alignment vertical="center"/>
    </xf>
    <xf numFmtId="0" fontId="30" fillId="0" borderId="0">
      <alignment vertical="center"/>
    </xf>
    <xf numFmtId="0" fontId="31" fillId="0" borderId="0"/>
    <xf numFmtId="0" fontId="26" fillId="0" borderId="0"/>
    <xf numFmtId="4" fontId="94" fillId="45" borderId="30" applyNumberFormat="0" applyProtection="0">
      <alignment vertical="center"/>
    </xf>
    <xf numFmtId="0" fontId="31" fillId="0" borderId="0"/>
    <xf numFmtId="0" fontId="95" fillId="0" borderId="0" applyNumberFormat="0" applyFill="0" applyBorder="0" applyAlignment="0" applyProtection="0">
      <alignment vertical="top"/>
      <protection locked="0"/>
    </xf>
    <xf numFmtId="0" fontId="30" fillId="0" borderId="0">
      <alignment vertical="center"/>
    </xf>
    <xf numFmtId="0" fontId="30" fillId="0" borderId="0">
      <alignment vertical="center"/>
    </xf>
    <xf numFmtId="0" fontId="30" fillId="0" borderId="0">
      <alignment vertical="center"/>
    </xf>
    <xf numFmtId="0" fontId="31" fillId="0" borderId="0"/>
    <xf numFmtId="0" fontId="31" fillId="0" borderId="0"/>
    <xf numFmtId="0" fontId="31" fillId="0" borderId="0"/>
    <xf numFmtId="0" fontId="47" fillId="0" borderId="0"/>
    <xf numFmtId="0" fontId="30" fillId="0" borderId="0">
      <alignment vertical="center"/>
    </xf>
    <xf numFmtId="0" fontId="31" fillId="0" borderId="0"/>
    <xf numFmtId="0" fontId="26" fillId="0" borderId="0"/>
    <xf numFmtId="9" fontId="26" fillId="0" borderId="0" applyFont="0" applyFill="0" applyBorder="0" applyAlignment="0" applyProtection="0"/>
    <xf numFmtId="0" fontId="30" fillId="0" borderId="0">
      <alignment vertical="center"/>
    </xf>
    <xf numFmtId="170" fontId="30" fillId="0" borderId="0" applyFont="0" applyFill="0" applyBorder="0" applyAlignment="0" applyProtection="0"/>
    <xf numFmtId="9" fontId="30" fillId="0" borderId="0" applyFont="0" applyFill="0" applyBorder="0" applyAlignment="0" applyProtection="0"/>
    <xf numFmtId="0" fontId="31" fillId="0" borderId="0"/>
    <xf numFmtId="0" fontId="31" fillId="0" borderId="0"/>
    <xf numFmtId="9" fontId="30" fillId="0" borderId="0" applyFont="0" applyFill="0" applyBorder="0" applyAlignment="0" applyProtection="0"/>
    <xf numFmtId="0" fontId="31" fillId="0" borderId="0"/>
    <xf numFmtId="0" fontId="31" fillId="0" borderId="0"/>
    <xf numFmtId="0" fontId="31" fillId="0" borderId="0"/>
    <xf numFmtId="0" fontId="6" fillId="0" borderId="0"/>
    <xf numFmtId="9" fontId="6"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170" fontId="30" fillId="0" borderId="0" applyFont="0" applyFill="0" applyBorder="0" applyAlignment="0" applyProtection="0"/>
    <xf numFmtId="9" fontId="30" fillId="0" borderId="0" applyFont="0" applyFill="0" applyBorder="0" applyAlignment="0" applyProtection="0"/>
    <xf numFmtId="0" fontId="30" fillId="0" borderId="0">
      <alignment vertical="center"/>
    </xf>
    <xf numFmtId="0" fontId="30" fillId="0" borderId="0">
      <alignment vertical="center"/>
    </xf>
    <xf numFmtId="0" fontId="31" fillId="0" borderId="0"/>
    <xf numFmtId="0" fontId="31" fillId="0" borderId="0"/>
    <xf numFmtId="0" fontId="30" fillId="0" borderId="0">
      <alignment vertical="center"/>
    </xf>
    <xf numFmtId="9" fontId="30" fillId="0" borderId="0" applyFont="0" applyFill="0" applyBorder="0" applyAlignment="0" applyProtection="0"/>
    <xf numFmtId="0" fontId="30" fillId="0" borderId="0">
      <alignment vertical="center"/>
    </xf>
    <xf numFmtId="0" fontId="30" fillId="0" borderId="0">
      <alignment vertical="center"/>
    </xf>
    <xf numFmtId="0" fontId="31" fillId="0" borderId="0"/>
    <xf numFmtId="0" fontId="31" fillId="0" borderId="0"/>
    <xf numFmtId="0" fontId="31" fillId="0" borderId="0"/>
    <xf numFmtId="0" fontId="30" fillId="0" borderId="0">
      <alignment vertical="center"/>
    </xf>
    <xf numFmtId="0" fontId="31" fillId="0" borderId="0"/>
    <xf numFmtId="0" fontId="30" fillId="0" borderId="0">
      <alignment vertical="center"/>
    </xf>
    <xf numFmtId="170" fontId="30" fillId="0" borderId="0" applyFont="0" applyFill="0" applyBorder="0" applyAlignment="0" applyProtection="0"/>
    <xf numFmtId="9" fontId="30" fillId="0" borderId="0" applyFont="0" applyFill="0" applyBorder="0" applyAlignment="0" applyProtection="0"/>
    <xf numFmtId="0" fontId="31" fillId="0" borderId="0"/>
    <xf numFmtId="0" fontId="31" fillId="0" borderId="0"/>
    <xf numFmtId="9" fontId="30"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170" fontId="30" fillId="0" borderId="0" applyFont="0" applyFill="0" applyBorder="0" applyAlignment="0" applyProtection="0"/>
    <xf numFmtId="9" fontId="30"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170" fontId="30" fillId="0" borderId="0" applyFont="0" applyFill="0" applyBorder="0" applyAlignment="0" applyProtection="0"/>
    <xf numFmtId="9" fontId="30"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9" fontId="31"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0" fontId="96" fillId="0" borderId="0"/>
    <xf numFmtId="0" fontId="31" fillId="0" borderId="0"/>
    <xf numFmtId="0" fontId="30" fillId="0" borderId="0">
      <alignment vertical="center"/>
    </xf>
    <xf numFmtId="0" fontId="30" fillId="0" borderId="0">
      <alignment vertical="center"/>
    </xf>
    <xf numFmtId="0" fontId="30" fillId="0" borderId="0">
      <alignment vertical="center"/>
    </xf>
    <xf numFmtId="0" fontId="31" fillId="0" borderId="0"/>
    <xf numFmtId="0" fontId="26" fillId="0" borderId="0"/>
    <xf numFmtId="0" fontId="9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0" fontId="31" fillId="0" borderId="0"/>
    <xf numFmtId="0" fontId="31" fillId="0" borderId="0"/>
    <xf numFmtId="0" fontId="26" fillId="0" borderId="0"/>
    <xf numFmtId="9" fontId="26" fillId="0" borderId="0" applyFont="0" applyFill="0" applyBorder="0" applyAlignment="0" applyProtection="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6" fillId="0" borderId="0"/>
    <xf numFmtId="0" fontId="31" fillId="0" borderId="0"/>
    <xf numFmtId="0" fontId="30"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26"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92" fillId="0" borderId="0"/>
    <xf numFmtId="9" fontId="9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9" fontId="26"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92" fillId="0" borderId="0"/>
    <xf numFmtId="9" fontId="9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92" fillId="0" borderId="0"/>
    <xf numFmtId="9" fontId="92" fillId="0" borderId="0" applyFont="0" applyFill="0" applyBorder="0" applyAlignment="0" applyProtection="0"/>
    <xf numFmtId="0" fontId="31" fillId="0" borderId="0"/>
    <xf numFmtId="0" fontId="30" fillId="0" borderId="0" applyFont="0" applyFill="0" applyBorder="0" applyAlignment="0" applyProtection="0"/>
    <xf numFmtId="0" fontId="6" fillId="0" borderId="0"/>
    <xf numFmtId="0" fontId="6" fillId="0" borderId="0"/>
    <xf numFmtId="0" fontId="6" fillId="0" borderId="0"/>
    <xf numFmtId="0" fontId="30" fillId="0" borderId="0" applyNumberFormat="0" applyFont="0" applyFill="0" applyBorder="0" applyAlignment="0" applyProtection="0"/>
    <xf numFmtId="9" fontId="97" fillId="0" borderId="0" applyFont="0" applyFill="0" applyBorder="0" applyAlignment="0" applyProtection="0"/>
    <xf numFmtId="0" fontId="26"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1" fillId="0" borderId="0"/>
    <xf numFmtId="0" fontId="26" fillId="0" borderId="0"/>
    <xf numFmtId="0" fontId="31" fillId="0" borderId="0"/>
    <xf numFmtId="0" fontId="31" fillId="0" borderId="0"/>
    <xf numFmtId="0" fontId="30" fillId="0" borderId="0">
      <alignment vertical="center"/>
    </xf>
    <xf numFmtId="0" fontId="31" fillId="0" borderId="0"/>
    <xf numFmtId="0" fontId="31" fillId="0" borderId="0"/>
    <xf numFmtId="0" fontId="31" fillId="0" borderId="0"/>
    <xf numFmtId="0" fontId="31" fillId="0" borderId="0"/>
    <xf numFmtId="0" fontId="31" fillId="0" borderId="0"/>
    <xf numFmtId="0" fontId="26" fillId="0" borderId="0"/>
    <xf numFmtId="9" fontId="26" fillId="0" borderId="0" applyFont="0" applyFill="0" applyBorder="0" applyAlignment="0" applyProtection="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97"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6" fillId="0" borderId="0"/>
    <xf numFmtId="0" fontId="92" fillId="0" borderId="0"/>
    <xf numFmtId="9" fontId="92" fillId="0" borderId="0" applyFont="0" applyFill="0" applyBorder="0" applyAlignment="0" applyProtection="0"/>
    <xf numFmtId="0" fontId="26" fillId="0" borderId="0"/>
    <xf numFmtId="0" fontId="31" fillId="0" borderId="0"/>
    <xf numFmtId="0" fontId="31" fillId="0" borderId="0"/>
    <xf numFmtId="0" fontId="31" fillId="0" borderId="0"/>
    <xf numFmtId="0" fontId="31" fillId="0" borderId="0"/>
    <xf numFmtId="0" fontId="26" fillId="0" borderId="0"/>
    <xf numFmtId="9" fontId="26" fillId="0" borderId="0" applyFont="0" applyFill="0" applyBorder="0" applyAlignment="0" applyProtection="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9" fontId="26" fillId="0" borderId="0" applyFont="0" applyFill="0" applyBorder="0" applyAlignment="0" applyProtection="0"/>
    <xf numFmtId="0" fontId="31" fillId="0" borderId="0"/>
    <xf numFmtId="0" fontId="31" fillId="0" borderId="0"/>
    <xf numFmtId="0" fontId="31" fillId="0" borderId="0"/>
    <xf numFmtId="0" fontId="26" fillId="0" borderId="0"/>
    <xf numFmtId="0" fontId="26" fillId="0" borderId="0"/>
    <xf numFmtId="0" fontId="26" fillId="0" borderId="0"/>
    <xf numFmtId="0" fontId="31" fillId="0" borderId="0"/>
    <xf numFmtId="0" fontId="31" fillId="0" borderId="0"/>
    <xf numFmtId="9" fontId="26"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9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31" fillId="0" borderId="0"/>
    <xf numFmtId="0" fontId="31" fillId="0" borderId="0"/>
    <xf numFmtId="0" fontId="26" fillId="0" borderId="0"/>
    <xf numFmtId="0" fontId="31" fillId="0" borderId="0"/>
    <xf numFmtId="0" fontId="26" fillId="0" borderId="0"/>
    <xf numFmtId="0" fontId="26" fillId="0" borderId="0"/>
    <xf numFmtId="9" fontId="26"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26"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9" fontId="26"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26" fillId="0" borderId="0"/>
    <xf numFmtId="0" fontId="31" fillId="0" borderId="0"/>
    <xf numFmtId="9" fontId="26" fillId="0" borderId="0" applyFont="0" applyFill="0" applyBorder="0" applyAlignment="0" applyProtection="0"/>
    <xf numFmtId="0" fontId="31" fillId="0" borderId="0"/>
    <xf numFmtId="0" fontId="31" fillId="0" borderId="0"/>
    <xf numFmtId="9" fontId="30" fillId="0" borderId="0" applyFont="0" applyFill="0" applyBorder="0" applyAlignment="0" applyProtection="0"/>
    <xf numFmtId="0" fontId="30" fillId="0" borderId="0">
      <alignment vertical="center"/>
    </xf>
    <xf numFmtId="0" fontId="31" fillId="0" borderId="0"/>
    <xf numFmtId="0" fontId="31" fillId="0" borderId="0"/>
    <xf numFmtId="0" fontId="30" fillId="0" borderId="0">
      <alignment vertical="center"/>
    </xf>
    <xf numFmtId="0" fontId="30" fillId="0" borderId="0">
      <alignment vertical="center"/>
    </xf>
    <xf numFmtId="9" fontId="30" fillId="0" borderId="0" applyFont="0" applyFill="0" applyBorder="0" applyAlignment="0" applyProtection="0"/>
    <xf numFmtId="0" fontId="31" fillId="0" borderId="0"/>
    <xf numFmtId="0" fontId="31" fillId="0" borderId="0"/>
    <xf numFmtId="0" fontId="31" fillId="0" borderId="0"/>
    <xf numFmtId="0" fontId="31" fillId="0" borderId="0"/>
    <xf numFmtId="0" fontId="30" fillId="0" borderId="0">
      <alignment vertical="center"/>
    </xf>
    <xf numFmtId="0" fontId="31" fillId="0" borderId="0"/>
    <xf numFmtId="170" fontId="30" fillId="0" borderId="0" applyFont="0" applyFill="0" applyBorder="0" applyAlignment="0" applyProtection="0"/>
    <xf numFmtId="9" fontId="30" fillId="0" borderId="0" applyFont="0" applyFill="0" applyBorder="0" applyAlignment="0" applyProtection="0"/>
    <xf numFmtId="0" fontId="30" fillId="0" borderId="0">
      <alignment vertical="center"/>
    </xf>
    <xf numFmtId="0" fontId="31" fillId="0" borderId="0"/>
    <xf numFmtId="0" fontId="31" fillId="0" borderId="0"/>
    <xf numFmtId="0" fontId="30" fillId="0" borderId="0">
      <alignment vertical="center"/>
    </xf>
    <xf numFmtId="0" fontId="30" fillId="0" borderId="0">
      <alignment vertical="center"/>
    </xf>
    <xf numFmtId="0" fontId="31" fillId="0" borderId="0"/>
    <xf numFmtId="9" fontId="30" fillId="0" borderId="0" applyFont="0" applyFill="0" applyBorder="0" applyAlignment="0" applyProtection="0"/>
    <xf numFmtId="0" fontId="31" fillId="0" borderId="0"/>
    <xf numFmtId="0" fontId="31" fillId="0" borderId="0"/>
    <xf numFmtId="0" fontId="30" fillId="0" borderId="0">
      <alignment vertical="center"/>
    </xf>
    <xf numFmtId="170" fontId="30" fillId="0" borderId="0" applyFont="0" applyFill="0" applyBorder="0" applyAlignment="0" applyProtection="0"/>
    <xf numFmtId="0" fontId="30" fillId="0" borderId="0">
      <alignment vertical="center"/>
    </xf>
    <xf numFmtId="0" fontId="31" fillId="0" borderId="0"/>
    <xf numFmtId="0" fontId="31" fillId="0" borderId="0"/>
    <xf numFmtId="0" fontId="31" fillId="0" borderId="0"/>
    <xf numFmtId="0" fontId="30" fillId="0" borderId="0">
      <alignment vertical="center"/>
    </xf>
    <xf numFmtId="9" fontId="30" fillId="0" borderId="0" applyFont="0" applyFill="0" applyBorder="0" applyAlignment="0" applyProtection="0"/>
    <xf numFmtId="0" fontId="30" fillId="0" borderId="0">
      <alignment vertical="center"/>
    </xf>
    <xf numFmtId="9" fontId="30" fillId="0" borderId="0" applyFont="0" applyFill="0" applyBorder="0" applyAlignment="0" applyProtection="0"/>
    <xf numFmtId="0" fontId="31" fillId="0" borderId="0"/>
    <xf numFmtId="170" fontId="30" fillId="0" borderId="0" applyFont="0" applyFill="0" applyBorder="0" applyAlignment="0" applyProtection="0"/>
    <xf numFmtId="0" fontId="30" fillId="0" borderId="0">
      <alignment vertical="center"/>
    </xf>
    <xf numFmtId="0" fontId="31" fillId="0" borderId="0"/>
    <xf numFmtId="9" fontId="30" fillId="0" borderId="0" applyFont="0" applyFill="0" applyBorder="0" applyAlignment="0" applyProtection="0"/>
    <xf numFmtId="0" fontId="30" fillId="0" borderId="0">
      <alignment vertical="center"/>
    </xf>
    <xf numFmtId="0" fontId="31" fillId="0" borderId="0"/>
    <xf numFmtId="0" fontId="30" fillId="0" borderId="0">
      <alignment vertical="center"/>
    </xf>
    <xf numFmtId="0" fontId="31" fillId="0" borderId="0"/>
    <xf numFmtId="170"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1" fillId="0" borderId="0"/>
    <xf numFmtId="9" fontId="30" fillId="0" borderId="0" applyFont="0" applyFill="0" applyBorder="0" applyAlignment="0" applyProtection="0"/>
    <xf numFmtId="9" fontId="30" fillId="0" borderId="0" applyFont="0" applyFill="0" applyBorder="0" applyAlignment="0" applyProtection="0"/>
    <xf numFmtId="0" fontId="30" fillId="0" borderId="0">
      <alignment vertical="center"/>
    </xf>
    <xf numFmtId="0" fontId="31" fillId="0" borderId="0"/>
    <xf numFmtId="0" fontId="31" fillId="0" borderId="0"/>
    <xf numFmtId="0" fontId="31" fillId="0" borderId="0"/>
    <xf numFmtId="0" fontId="30" fillId="0" borderId="0">
      <alignment vertical="center"/>
    </xf>
    <xf numFmtId="0" fontId="30" fillId="0" borderId="0">
      <alignment vertical="center"/>
    </xf>
    <xf numFmtId="170" fontId="30" fillId="0" borderId="0" applyFont="0" applyFill="0" applyBorder="0" applyAlignment="0" applyProtection="0"/>
    <xf numFmtId="9" fontId="30" fillId="0" borderId="0" applyFont="0" applyFill="0" applyBorder="0" applyAlignment="0" applyProtection="0"/>
    <xf numFmtId="0" fontId="31" fillId="0" borderId="0"/>
    <xf numFmtId="0" fontId="31" fillId="0" borderId="0"/>
    <xf numFmtId="170" fontId="30" fillId="0" borderId="0" applyFont="0" applyFill="0" applyBorder="0" applyAlignment="0" applyProtection="0"/>
    <xf numFmtId="9" fontId="30" fillId="0" borderId="0" applyFont="0" applyFill="0" applyBorder="0" applyAlignment="0" applyProtection="0"/>
    <xf numFmtId="0" fontId="30" fillId="0" borderId="0">
      <alignment vertical="center"/>
    </xf>
    <xf numFmtId="0" fontId="31" fillId="0" borderId="0"/>
    <xf numFmtId="0" fontId="31" fillId="0" borderId="0"/>
    <xf numFmtId="0" fontId="30" fillId="0" borderId="0">
      <alignment vertical="center"/>
    </xf>
    <xf numFmtId="9" fontId="30" fillId="0" borderId="0" applyFont="0" applyFill="0" applyBorder="0" applyAlignment="0" applyProtection="0"/>
    <xf numFmtId="0" fontId="31" fillId="0" borderId="0"/>
    <xf numFmtId="0" fontId="31" fillId="0" borderId="0"/>
    <xf numFmtId="0" fontId="30" fillId="0" borderId="0">
      <alignment vertical="center"/>
    </xf>
    <xf numFmtId="170" fontId="30" fillId="0" borderId="0" applyFont="0" applyFill="0" applyBorder="0" applyAlignment="0" applyProtection="0"/>
    <xf numFmtId="0" fontId="30" fillId="0" borderId="0">
      <alignment vertical="center"/>
    </xf>
    <xf numFmtId="0" fontId="31" fillId="0" borderId="0"/>
    <xf numFmtId="0" fontId="31" fillId="0" borderId="0"/>
    <xf numFmtId="0" fontId="30" fillId="0" borderId="0">
      <alignment vertical="center"/>
    </xf>
    <xf numFmtId="0" fontId="30" fillId="0" borderId="0">
      <alignment vertical="center"/>
    </xf>
    <xf numFmtId="0" fontId="30" fillId="0" borderId="0">
      <alignment vertical="center"/>
    </xf>
    <xf numFmtId="0" fontId="31" fillId="0" borderId="0"/>
    <xf numFmtId="0" fontId="31" fillId="0" borderId="0"/>
    <xf numFmtId="9"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1" fillId="0" borderId="0"/>
    <xf numFmtId="0" fontId="31" fillId="0" borderId="0"/>
    <xf numFmtId="0" fontId="31" fillId="0" borderId="0"/>
    <xf numFmtId="0" fontId="31" fillId="0" borderId="0"/>
    <xf numFmtId="9" fontId="30" fillId="0" borderId="0" applyFont="0" applyFill="0" applyBorder="0" applyAlignment="0" applyProtection="0"/>
    <xf numFmtId="0" fontId="31" fillId="0" borderId="0"/>
    <xf numFmtId="0" fontId="31" fillId="0" borderId="0"/>
    <xf numFmtId="0" fontId="30" fillId="0" borderId="0">
      <alignment vertical="center"/>
    </xf>
    <xf numFmtId="0" fontId="31" fillId="0" borderId="0"/>
    <xf numFmtId="9" fontId="30"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0" fontId="30" fillId="0" borderId="0">
      <alignment vertical="center"/>
    </xf>
    <xf numFmtId="9" fontId="30" fillId="0" borderId="0" applyFont="0" applyFill="0" applyBorder="0" applyAlignment="0" applyProtection="0"/>
    <xf numFmtId="0" fontId="31" fillId="0" borderId="0"/>
    <xf numFmtId="0" fontId="31" fillId="0" borderId="0"/>
    <xf numFmtId="0" fontId="31" fillId="0" borderId="0"/>
    <xf numFmtId="0" fontId="31" fillId="0" borderId="0"/>
    <xf numFmtId="0" fontId="30" fillId="0" borderId="0">
      <alignment vertical="center"/>
    </xf>
    <xf numFmtId="0" fontId="26" fillId="0" borderId="0"/>
    <xf numFmtId="0" fontId="30" fillId="0" borderId="0">
      <alignment vertical="center"/>
    </xf>
    <xf numFmtId="0" fontId="30" fillId="0" borderId="0">
      <alignment vertical="center"/>
    </xf>
    <xf numFmtId="0" fontId="30" fillId="0" borderId="0">
      <alignment vertical="center"/>
    </xf>
    <xf numFmtId="0" fontId="6" fillId="0" borderId="0"/>
    <xf numFmtId="0" fontId="30" fillId="0" borderId="0"/>
    <xf numFmtId="0" fontId="30" fillId="0" borderId="0">
      <alignment vertical="center"/>
    </xf>
    <xf numFmtId="0" fontId="30" fillId="0" borderId="0" applyNumberFormat="0" applyFont="0" applyFill="0" applyBorder="0" applyAlignment="0" applyProtection="0"/>
    <xf numFmtId="0" fontId="6" fillId="0" borderId="0"/>
    <xf numFmtId="0" fontId="30" fillId="0" borderId="0">
      <alignment vertical="center"/>
    </xf>
    <xf numFmtId="9" fontId="97" fillId="0" borderId="0" applyFont="0" applyFill="0" applyBorder="0" applyAlignment="0" applyProtection="0"/>
    <xf numFmtId="0" fontId="31" fillId="0" borderId="0"/>
    <xf numFmtId="0" fontId="31" fillId="0" borderId="0"/>
    <xf numFmtId="0" fontId="6" fillId="0" borderId="0"/>
    <xf numFmtId="0" fontId="6" fillId="0" borderId="0"/>
    <xf numFmtId="0" fontId="30" fillId="0" borderId="0" applyNumberFormat="0" applyFont="0" applyFill="0" applyBorder="0" applyAlignment="0" applyProtection="0"/>
    <xf numFmtId="9" fontId="97" fillId="0" borderId="0" applyFont="0" applyFill="0" applyBorder="0" applyAlignment="0" applyProtection="0"/>
    <xf numFmtId="0" fontId="26" fillId="0" borderId="0"/>
    <xf numFmtId="0" fontId="30" fillId="0" borderId="0"/>
    <xf numFmtId="0" fontId="31" fillId="0" borderId="0"/>
    <xf numFmtId="0" fontId="6" fillId="0" borderId="0"/>
    <xf numFmtId="0" fontId="6" fillId="0" borderId="0"/>
    <xf numFmtId="0" fontId="30" fillId="0" borderId="0" applyNumberFormat="0" applyFont="0" applyFill="0" applyBorder="0" applyAlignment="0" applyProtection="0"/>
    <xf numFmtId="9" fontId="97" fillId="0" borderId="0" applyFont="0" applyFill="0" applyBorder="0" applyAlignment="0" applyProtection="0"/>
    <xf numFmtId="0" fontId="26" fillId="0" borderId="0"/>
    <xf numFmtId="0" fontId="30" fillId="0" borderId="0"/>
    <xf numFmtId="0" fontId="31" fillId="0" borderId="0"/>
    <xf numFmtId="0" fontId="6" fillId="0" borderId="0"/>
    <xf numFmtId="0" fontId="6" fillId="0" borderId="0"/>
    <xf numFmtId="0" fontId="30" fillId="0" borderId="0" applyNumberFormat="0" applyFont="0" applyFill="0" applyBorder="0" applyAlignment="0" applyProtection="0"/>
    <xf numFmtId="9" fontId="97" fillId="0" borderId="0" applyFont="0" applyFill="0" applyBorder="0" applyAlignment="0" applyProtection="0"/>
    <xf numFmtId="0" fontId="26" fillId="0" borderId="0"/>
    <xf numFmtId="0" fontId="30" fillId="0" borderId="0"/>
    <xf numFmtId="0" fontId="31" fillId="0" borderId="0"/>
    <xf numFmtId="0" fontId="6" fillId="0" borderId="0"/>
    <xf numFmtId="0" fontId="6" fillId="0" borderId="0"/>
    <xf numFmtId="0" fontId="30" fillId="0" borderId="0" applyNumberFormat="0" applyFont="0" applyFill="0" applyBorder="0" applyAlignment="0" applyProtection="0"/>
    <xf numFmtId="9" fontId="97" fillId="0" borderId="0" applyFont="0" applyFill="0" applyBorder="0" applyAlignment="0" applyProtection="0"/>
    <xf numFmtId="0" fontId="26" fillId="0" borderId="0"/>
    <xf numFmtId="0" fontId="30" fillId="0" borderId="0"/>
    <xf numFmtId="0" fontId="31" fillId="0" borderId="0"/>
    <xf numFmtId="0" fontId="6" fillId="0" borderId="0"/>
    <xf numFmtId="0" fontId="6" fillId="0" borderId="0"/>
    <xf numFmtId="0" fontId="30" fillId="0" borderId="0" applyNumberFormat="0" applyFont="0" applyFill="0" applyBorder="0" applyAlignment="0" applyProtection="0"/>
    <xf numFmtId="9" fontId="97" fillId="0" borderId="0" applyFont="0" applyFill="0" applyBorder="0" applyAlignment="0" applyProtection="0"/>
    <xf numFmtId="0" fontId="26" fillId="0" borderId="0"/>
    <xf numFmtId="0" fontId="30" fillId="0" borderId="0"/>
    <xf numFmtId="0" fontId="6" fillId="0" borderId="0"/>
    <xf numFmtId="0" fontId="6" fillId="0" borderId="0"/>
    <xf numFmtId="0" fontId="30" fillId="0" borderId="0" applyNumberFormat="0" applyFont="0" applyFill="0" applyBorder="0" applyAlignment="0" applyProtection="0"/>
    <xf numFmtId="9" fontId="97" fillId="0" borderId="0" applyFont="0" applyFill="0" applyBorder="0" applyAlignment="0" applyProtection="0"/>
    <xf numFmtId="0" fontId="26" fillId="0" borderId="0"/>
    <xf numFmtId="0" fontId="30" fillId="0" borderId="0"/>
    <xf numFmtId="0" fontId="6" fillId="0" borderId="0"/>
    <xf numFmtId="0" fontId="6" fillId="0" borderId="0"/>
    <xf numFmtId="0" fontId="30" fillId="0" borderId="0" applyNumberFormat="0" applyFont="0" applyFill="0" applyBorder="0" applyAlignment="0" applyProtection="0"/>
    <xf numFmtId="9" fontId="97" fillId="0" borderId="0" applyFont="0" applyFill="0" applyBorder="0" applyAlignment="0" applyProtection="0"/>
    <xf numFmtId="0" fontId="26" fillId="0" borderId="0"/>
    <xf numFmtId="0" fontId="30" fillId="0" borderId="0"/>
    <xf numFmtId="0" fontId="6" fillId="0" borderId="0"/>
    <xf numFmtId="0" fontId="6" fillId="0" borderId="0"/>
    <xf numFmtId="0" fontId="30" fillId="0" borderId="0" applyNumberFormat="0" applyFont="0" applyFill="0" applyBorder="0" applyAlignment="0" applyProtection="0"/>
    <xf numFmtId="9" fontId="97" fillId="0" borderId="0" applyFont="0" applyFill="0" applyBorder="0" applyAlignment="0" applyProtection="0"/>
    <xf numFmtId="0" fontId="26" fillId="0" borderId="0"/>
    <xf numFmtId="0" fontId="30" fillId="0" borderId="0"/>
    <xf numFmtId="0" fontId="6" fillId="0" borderId="0"/>
    <xf numFmtId="0" fontId="6" fillId="0" borderId="0"/>
    <xf numFmtId="0" fontId="30" fillId="0" borderId="0" applyNumberFormat="0" applyFont="0" applyFill="0" applyBorder="0" applyAlignment="0" applyProtection="0"/>
    <xf numFmtId="9" fontId="97" fillId="0" borderId="0" applyFont="0" applyFill="0" applyBorder="0" applyAlignment="0" applyProtection="0"/>
    <xf numFmtId="0" fontId="26" fillId="0" borderId="0"/>
    <xf numFmtId="0" fontId="30" fillId="0" borderId="0"/>
    <xf numFmtId="0" fontId="98" fillId="0" borderId="0" applyNumberFormat="0" applyFill="0" applyBorder="0" applyAlignment="0" applyProtection="0"/>
    <xf numFmtId="0" fontId="99" fillId="0" borderId="22"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0" applyNumberFormat="0" applyFill="0" applyBorder="0" applyAlignment="0" applyProtection="0"/>
    <xf numFmtId="0" fontId="102" fillId="13" borderId="0" applyNumberFormat="0" applyBorder="0" applyAlignment="0" applyProtection="0"/>
    <xf numFmtId="0" fontId="103" fillId="14" borderId="0" applyNumberFormat="0" applyBorder="0" applyAlignment="0" applyProtection="0"/>
    <xf numFmtId="0" fontId="104" fillId="15" borderId="0" applyNumberFormat="0" applyBorder="0" applyAlignment="0" applyProtection="0"/>
    <xf numFmtId="0" fontId="105" fillId="16" borderId="25" applyNumberFormat="0" applyAlignment="0" applyProtection="0"/>
    <xf numFmtId="0" fontId="106" fillId="17" borderId="26" applyNumberFormat="0" applyAlignment="0" applyProtection="0"/>
    <xf numFmtId="0" fontId="107" fillId="17" borderId="25" applyNumberFormat="0" applyAlignment="0" applyProtection="0"/>
    <xf numFmtId="0" fontId="108" fillId="0" borderId="27" applyNumberFormat="0" applyFill="0" applyAlignment="0" applyProtection="0"/>
    <xf numFmtId="0" fontId="109" fillId="18" borderId="14" applyNumberFormat="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29" applyNumberFormat="0" applyFill="0" applyAlignment="0" applyProtection="0"/>
    <xf numFmtId="0" fontId="113"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13" fillId="23" borderId="0" applyNumberFormat="0" applyBorder="0" applyAlignment="0" applyProtection="0"/>
    <xf numFmtId="0" fontId="113"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13" fillId="27" borderId="0" applyNumberFormat="0" applyBorder="0" applyAlignment="0" applyProtection="0"/>
    <xf numFmtId="0" fontId="113"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13" fillId="31" borderId="0" applyNumberFormat="0" applyBorder="0" applyAlignment="0" applyProtection="0"/>
    <xf numFmtId="0" fontId="113"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113" fillId="35" borderId="0" applyNumberFormat="0" applyBorder="0" applyAlignment="0" applyProtection="0"/>
    <xf numFmtId="0" fontId="113"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113" fillId="39" borderId="0" applyNumberFormat="0" applyBorder="0" applyAlignment="0" applyProtection="0"/>
    <xf numFmtId="0" fontId="113"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113" fillId="43" borderId="0" applyNumberFormat="0" applyBorder="0" applyAlignment="0" applyProtection="0"/>
    <xf numFmtId="0" fontId="26" fillId="19" borderId="28" applyNumberFormat="0" applyFont="0" applyAlignment="0" applyProtection="0"/>
    <xf numFmtId="0" fontId="26" fillId="19" borderId="28" applyNumberFormat="0" applyFont="0" applyAlignment="0" applyProtection="0"/>
    <xf numFmtId="0" fontId="26" fillId="19" borderId="28" applyNumberFormat="0" applyFont="0" applyAlignment="0" applyProtection="0"/>
    <xf numFmtId="0" fontId="26" fillId="19" borderId="28" applyNumberFormat="0" applyFont="0" applyAlignment="0" applyProtection="0"/>
    <xf numFmtId="0" fontId="26" fillId="19" borderId="28" applyNumberFormat="0" applyFont="0" applyAlignment="0" applyProtection="0"/>
    <xf numFmtId="0" fontId="26" fillId="19" borderId="28" applyNumberFormat="0" applyFont="0" applyAlignment="0" applyProtection="0"/>
    <xf numFmtId="0" fontId="26" fillId="0" borderId="0"/>
    <xf numFmtId="0" fontId="2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2" fillId="0" borderId="0"/>
    <xf numFmtId="0" fontId="32" fillId="0" borderId="0"/>
    <xf numFmtId="0" fontId="92" fillId="0" borderId="0"/>
    <xf numFmtId="9" fontId="92" fillId="0" borderId="0" applyFont="0" applyFill="0" applyBorder="0" applyAlignment="0" applyProtection="0"/>
    <xf numFmtId="0" fontId="30" fillId="0" borderId="0">
      <alignment vertical="center"/>
    </xf>
    <xf numFmtId="9" fontId="30" fillId="0" borderId="0" applyFont="0" applyFill="0" applyBorder="0" applyAlignment="0" applyProtection="0"/>
    <xf numFmtId="9" fontId="30" fillId="0" borderId="0" applyFont="0" applyFill="0" applyBorder="0" applyAlignment="0" applyProtection="0"/>
    <xf numFmtId="0" fontId="30" fillId="0" borderId="0">
      <alignment vertical="center"/>
    </xf>
    <xf numFmtId="9" fontId="30" fillId="0" borderId="0" applyFont="0" applyFill="0" applyBorder="0" applyAlignment="0" applyProtection="0"/>
    <xf numFmtId="0" fontId="115" fillId="58" borderId="0" applyNumberFormat="0" applyBorder="0" applyAlignment="0" applyProtection="0"/>
    <xf numFmtId="0" fontId="114" fillId="52" borderId="0" applyNumberFormat="0" applyBorder="0" applyAlignment="0" applyProtection="0"/>
    <xf numFmtId="0" fontId="115" fillId="54" borderId="0" applyNumberFormat="0" applyBorder="0" applyAlignment="0" applyProtection="0"/>
    <xf numFmtId="0" fontId="30" fillId="0" borderId="0"/>
    <xf numFmtId="0" fontId="120" fillId="48" borderId="0" applyNumberFormat="0" applyBorder="0" applyAlignment="0" applyProtection="0"/>
    <xf numFmtId="0" fontId="30" fillId="0" borderId="0"/>
    <xf numFmtId="0" fontId="114" fillId="66" borderId="37" applyNumberFormat="0" applyFont="0" applyAlignment="0" applyProtection="0"/>
    <xf numFmtId="0" fontId="30" fillId="0" borderId="0"/>
    <xf numFmtId="0" fontId="129" fillId="0" borderId="39" applyNumberFormat="0" applyFill="0" applyAlignment="0" applyProtection="0"/>
    <xf numFmtId="0" fontId="30" fillId="0" borderId="0"/>
    <xf numFmtId="0" fontId="30" fillId="0" borderId="0"/>
    <xf numFmtId="0" fontId="30" fillId="0" borderId="0"/>
    <xf numFmtId="0" fontId="118" fillId="65" borderId="32" applyNumberFormat="0" applyAlignment="0" applyProtection="0"/>
    <xf numFmtId="0" fontId="32" fillId="0" borderId="0"/>
    <xf numFmtId="0" fontId="30" fillId="0" borderId="0"/>
    <xf numFmtId="9" fontId="30" fillId="0" borderId="0" applyFont="0" applyFill="0" applyBorder="0" applyAlignment="0" applyProtection="0"/>
    <xf numFmtId="0" fontId="115" fillId="57" borderId="0" applyNumberFormat="0" applyBorder="0" applyAlignment="0" applyProtection="0"/>
    <xf numFmtId="0" fontId="114" fillId="48" borderId="0" applyNumberFormat="0" applyBorder="0" applyAlignment="0" applyProtection="0"/>
    <xf numFmtId="0" fontId="115" fillId="62" borderId="0" applyNumberFormat="0" applyBorder="0" applyAlignment="0" applyProtection="0"/>
    <xf numFmtId="0" fontId="30" fillId="0" borderId="0"/>
    <xf numFmtId="0" fontId="30" fillId="0" borderId="0"/>
    <xf numFmtId="0" fontId="114" fillId="52" borderId="0" applyNumberFormat="0" applyBorder="0" applyAlignment="0" applyProtection="0"/>
    <xf numFmtId="0" fontId="30" fillId="0" borderId="0"/>
    <xf numFmtId="0" fontId="124" fillId="51" borderId="31" applyNumberFormat="0" applyAlignment="0" applyProtection="0"/>
    <xf numFmtId="0" fontId="30" fillId="0" borderId="0"/>
    <xf numFmtId="0" fontId="114" fillId="54" borderId="0" applyNumberFormat="0" applyBorder="0" applyAlignment="0" applyProtection="0"/>
    <xf numFmtId="0" fontId="30" fillId="0" borderId="0"/>
    <xf numFmtId="0" fontId="125" fillId="0" borderId="36" applyNumberFormat="0" applyFill="0" applyAlignment="0" applyProtection="0"/>
    <xf numFmtId="0" fontId="30" fillId="0" borderId="0"/>
    <xf numFmtId="0" fontId="30" fillId="0" borderId="0"/>
    <xf numFmtId="0" fontId="30" fillId="0" borderId="0"/>
    <xf numFmtId="0" fontId="114" fillId="49" borderId="0" applyNumberFormat="0" applyBorder="0" applyAlignment="0" applyProtection="0"/>
    <xf numFmtId="0" fontId="114" fillId="47" borderId="0" applyNumberFormat="0" applyBorder="0" applyAlignment="0" applyProtection="0"/>
    <xf numFmtId="0" fontId="127" fillId="64" borderId="38" applyNumberFormat="0" applyAlignment="0" applyProtection="0"/>
    <xf numFmtId="0" fontId="123" fillId="0" borderId="35" applyNumberFormat="0" applyFill="0" applyAlignment="0" applyProtection="0"/>
    <xf numFmtId="0" fontId="114" fillId="55" borderId="0" applyNumberFormat="0" applyBorder="0" applyAlignment="0" applyProtection="0"/>
    <xf numFmtId="0" fontId="121" fillId="0" borderId="33" applyNumberFormat="0" applyFill="0" applyAlignment="0" applyProtection="0"/>
    <xf numFmtId="0" fontId="114" fillId="53" borderId="0" applyNumberFormat="0" applyBorder="0" applyAlignment="0" applyProtection="0"/>
    <xf numFmtId="0" fontId="30" fillId="0" borderId="0"/>
    <xf numFmtId="0" fontId="115" fillId="60" borderId="0" applyNumberFormat="0" applyBorder="0" applyAlignment="0" applyProtection="0"/>
    <xf numFmtId="0" fontId="117" fillId="64" borderId="31" applyNumberFormat="0" applyAlignment="0" applyProtection="0"/>
    <xf numFmtId="0" fontId="114" fillId="50" borderId="0" applyNumberFormat="0" applyBorder="0" applyAlignment="0" applyProtection="0"/>
    <xf numFmtId="0" fontId="122" fillId="0" borderId="34" applyNumberFormat="0" applyFill="0" applyAlignment="0" applyProtection="0"/>
    <xf numFmtId="0" fontId="123" fillId="0" borderId="0" applyNumberFormat="0" applyFill="0" applyBorder="0" applyAlignment="0" applyProtection="0"/>
    <xf numFmtId="0" fontId="115" fillId="58" borderId="0" applyNumberFormat="0" applyBorder="0" applyAlignment="0" applyProtection="0"/>
    <xf numFmtId="0" fontId="115" fillId="53" borderId="0" applyNumberFormat="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0" fontId="30" fillId="0" borderId="0"/>
    <xf numFmtId="0" fontId="128" fillId="0" borderId="0" applyNumberFormat="0" applyFill="0" applyBorder="0" applyAlignment="0" applyProtection="0"/>
    <xf numFmtId="0" fontId="115" fillId="63" borderId="0" applyNumberFormat="0" applyBorder="0" applyAlignment="0" applyProtection="0"/>
    <xf numFmtId="0" fontId="30" fillId="0" borderId="0"/>
    <xf numFmtId="0" fontId="114" fillId="49" borderId="0" applyNumberFormat="0" applyBorder="0" applyAlignment="0" applyProtection="0"/>
    <xf numFmtId="0" fontId="30" fillId="0" borderId="0"/>
    <xf numFmtId="9" fontId="30" fillId="0" borderId="0" applyFont="0" applyFill="0" applyBorder="0" applyAlignment="0" applyProtection="0"/>
    <xf numFmtId="0" fontId="115" fillId="61" borderId="0" applyNumberFormat="0" applyBorder="0" applyAlignment="0" applyProtection="0"/>
    <xf numFmtId="0" fontId="119" fillId="0" borderId="0" applyNumberForma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16" fillId="47" borderId="0" applyNumberFormat="0" applyBorder="0" applyAlignment="0" applyProtection="0"/>
    <xf numFmtId="0" fontId="115" fillId="59" borderId="0" applyNumberFormat="0" applyBorder="0" applyAlignment="0" applyProtection="0"/>
    <xf numFmtId="0" fontId="115" fillId="56" borderId="0" applyNumberFormat="0" applyBorder="0" applyAlignment="0" applyProtection="0"/>
    <xf numFmtId="9" fontId="30" fillId="0" borderId="0" applyFont="0" applyFill="0" applyBorder="0" applyAlignment="0" applyProtection="0"/>
    <xf numFmtId="0" fontId="126" fillId="45" borderId="0" applyNumberFormat="0" applyBorder="0" applyAlignment="0" applyProtection="0"/>
    <xf numFmtId="0" fontId="114" fillId="46" borderId="0" applyNumberFormat="0" applyBorder="0" applyAlignment="0" applyProtection="0"/>
    <xf numFmtId="0" fontId="30" fillId="0" borderId="0"/>
    <xf numFmtId="0" fontId="12" fillId="0" borderId="0"/>
    <xf numFmtId="175" fontId="30" fillId="0" borderId="0" applyFill="0" applyBorder="0" applyAlignment="0" applyProtection="0"/>
    <xf numFmtId="0" fontId="92" fillId="0" borderId="0"/>
    <xf numFmtId="0" fontId="30" fillId="0" borderId="0">
      <alignment vertical="center"/>
    </xf>
    <xf numFmtId="170" fontId="30"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92" fillId="0" borderId="0"/>
    <xf numFmtId="9" fontId="92"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92" fillId="0" borderId="0"/>
    <xf numFmtId="9" fontId="92" fillId="0" borderId="0" applyFont="0" applyFill="0" applyBorder="0" applyAlignment="0" applyProtection="0"/>
    <xf numFmtId="0" fontId="92" fillId="0" borderId="0"/>
    <xf numFmtId="9" fontId="92"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92" fillId="0" borderId="0"/>
    <xf numFmtId="9" fontId="92"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92"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92"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30" fillId="0" borderId="0" applyFont="0" applyFill="0" applyBorder="0" applyAlignment="0" applyProtection="0"/>
    <xf numFmtId="0" fontId="92" fillId="0" borderId="0"/>
    <xf numFmtId="9" fontId="92" fillId="0" borderId="0" applyFont="0" applyFill="0" applyBorder="0" applyAlignment="0" applyProtection="0"/>
    <xf numFmtId="0" fontId="130" fillId="0" borderId="0" applyNumberFormat="0" applyFill="0" applyBorder="0" applyAlignment="0" applyProtection="0"/>
    <xf numFmtId="0" fontId="30" fillId="0" borderId="0"/>
    <xf numFmtId="0" fontId="115" fillId="57" borderId="0" applyNumberFormat="0" applyBorder="0" applyAlignment="0" applyProtection="0"/>
    <xf numFmtId="0" fontId="114" fillId="51" borderId="0" applyNumberFormat="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lignment vertical="center"/>
    </xf>
    <xf numFmtId="9" fontId="30" fillId="0" borderId="0" applyFont="0" applyFill="0" applyBorder="0" applyAlignment="0" applyProtection="0"/>
    <xf numFmtId="0" fontId="92" fillId="0" borderId="0"/>
    <xf numFmtId="9" fontId="12" fillId="0" borderId="0" applyFont="0" applyFill="0" applyBorder="0" applyAlignment="0" applyProtection="0"/>
    <xf numFmtId="0" fontId="32" fillId="0" borderId="0"/>
    <xf numFmtId="0" fontId="5" fillId="0" borderId="0"/>
    <xf numFmtId="0" fontId="5" fillId="0" borderId="0"/>
    <xf numFmtId="165" fontId="30" fillId="0" borderId="0">
      <alignment vertical="center"/>
    </xf>
    <xf numFmtId="0" fontId="26" fillId="0" borderId="0"/>
    <xf numFmtId="0" fontId="30" fillId="0" borderId="0">
      <alignment vertical="center"/>
    </xf>
    <xf numFmtId="0" fontId="5" fillId="0" borderId="0"/>
    <xf numFmtId="0" fontId="4" fillId="0" borderId="0"/>
    <xf numFmtId="0" fontId="2" fillId="0" borderId="0"/>
  </cellStyleXfs>
  <cellXfs count="481">
    <xf numFmtId="0" fontId="0" fillId="0" borderId="0" xfId="0"/>
    <xf numFmtId="0" fontId="29" fillId="0" borderId="0" xfId="4"/>
    <xf numFmtId="0" fontId="48" fillId="0" borderId="0" xfId="0" applyFont="1" applyAlignment="1">
      <alignment horizontal="center" vertical="center" wrapText="1"/>
    </xf>
    <xf numFmtId="0" fontId="48" fillId="0" borderId="0" xfId="0" applyFont="1" applyAlignment="1">
      <alignment vertical="center" wrapText="1"/>
    </xf>
    <xf numFmtId="0" fontId="48" fillId="0" borderId="0" xfId="0" applyFont="1" applyAlignment="1">
      <alignment vertical="center"/>
    </xf>
    <xf numFmtId="0" fontId="12" fillId="0" borderId="0" xfId="0" applyFont="1"/>
    <xf numFmtId="0" fontId="72" fillId="0" borderId="0" xfId="0" applyFont="1" applyFill="1" applyBorder="1" applyAlignment="1">
      <alignment horizontal="left" indent="3"/>
    </xf>
    <xf numFmtId="0" fontId="72" fillId="0" borderId="0" xfId="0" applyFont="1" applyFill="1" applyBorder="1" applyAlignment="1">
      <alignment horizontal="center"/>
    </xf>
    <xf numFmtId="0" fontId="72" fillId="0" borderId="0" xfId="0" applyFont="1" applyBorder="1" applyAlignment="1">
      <alignment horizontal="center"/>
    </xf>
    <xf numFmtId="0" fontId="72" fillId="0" borderId="0" xfId="0" applyFont="1" applyFill="1" applyBorder="1" applyAlignment="1">
      <alignment horizontal="left" indent="4"/>
    </xf>
    <xf numFmtId="0" fontId="72" fillId="0" borderId="0" xfId="0" applyFont="1" applyFill="1" applyBorder="1" applyAlignment="1">
      <alignment horizontal="left"/>
    </xf>
    <xf numFmtId="0" fontId="51" fillId="0" borderId="0" xfId="51" applyFont="1"/>
    <xf numFmtId="0" fontId="73" fillId="0" borderId="0" xfId="51" applyFont="1" applyBorder="1" applyAlignment="1">
      <alignment horizontal="left"/>
    </xf>
    <xf numFmtId="0" fontId="51" fillId="0" borderId="0" xfId="51" applyFont="1" applyFill="1" applyBorder="1"/>
    <xf numFmtId="3" fontId="52" fillId="0" borderId="0" xfId="119" applyNumberFormat="1" applyFont="1" applyFill="1" applyBorder="1"/>
    <xf numFmtId="3" fontId="51" fillId="0" borderId="0" xfId="119" applyNumberFormat="1" applyFont="1" applyFill="1" applyBorder="1" applyProtection="1">
      <protection locked="0"/>
    </xf>
    <xf numFmtId="0" fontId="51" fillId="0" borderId="0" xfId="51" applyFont="1" applyFill="1"/>
    <xf numFmtId="0" fontId="50" fillId="0" borderId="0" xfId="119" applyFont="1" applyFill="1" applyBorder="1"/>
    <xf numFmtId="3" fontId="51" fillId="0" borderId="0" xfId="119" applyNumberFormat="1" applyFont="1" applyFill="1" applyBorder="1"/>
    <xf numFmtId="3" fontId="74" fillId="0" borderId="0" xfId="119" applyNumberFormat="1" applyFont="1" applyFill="1" applyBorder="1" applyProtection="1">
      <protection locked="0"/>
    </xf>
    <xf numFmtId="10" fontId="51" fillId="0" borderId="0" xfId="120" applyNumberFormat="1" applyFont="1" applyFill="1" applyBorder="1" applyProtection="1">
      <protection locked="0"/>
    </xf>
    <xf numFmtId="166" fontId="55" fillId="0" borderId="0" xfId="51" applyNumberFormat="1" applyFont="1" applyBorder="1" applyAlignment="1">
      <alignment horizontal="right" vertical="center"/>
    </xf>
    <xf numFmtId="0" fontId="52" fillId="0" borderId="0" xfId="51" applyFont="1" applyFill="1" applyBorder="1"/>
    <xf numFmtId="3" fontId="51" fillId="0" borderId="0" xfId="51" applyNumberFormat="1" applyFont="1" applyFill="1" applyBorder="1"/>
    <xf numFmtId="4" fontId="51" fillId="0" borderId="0" xfId="51" applyNumberFormat="1" applyFont="1" applyFill="1" applyBorder="1"/>
    <xf numFmtId="1" fontId="51" fillId="0" borderId="0" xfId="51" applyNumberFormat="1" applyFont="1" applyFill="1" applyBorder="1"/>
    <xf numFmtId="0" fontId="74" fillId="0" borderId="0" xfId="51" applyFont="1" applyFill="1" applyBorder="1"/>
    <xf numFmtId="0" fontId="50" fillId="0" borderId="0" xfId="51" applyFont="1" applyFill="1" applyBorder="1"/>
    <xf numFmtId="0" fontId="51" fillId="0" borderId="0" xfId="51" applyFont="1" applyFill="1" applyBorder="1" applyAlignment="1">
      <alignment horizontal="center"/>
    </xf>
    <xf numFmtId="1" fontId="51" fillId="0" borderId="0" xfId="51" applyNumberFormat="1" applyFont="1" applyFill="1" applyBorder="1" applyAlignment="1">
      <alignment horizontal="center"/>
    </xf>
    <xf numFmtId="0" fontId="51" fillId="0" borderId="0" xfId="0" applyFont="1" applyAlignment="1">
      <alignment vertical="center" wrapText="1"/>
    </xf>
    <xf numFmtId="0" fontId="51" fillId="0" borderId="0" xfId="0" applyFont="1" applyAlignment="1">
      <alignment vertical="center"/>
    </xf>
    <xf numFmtId="0" fontId="51" fillId="0" borderId="0" xfId="0" applyFont="1"/>
    <xf numFmtId="0" fontId="51" fillId="0" borderId="0" xfId="0" applyFont="1" applyFill="1" applyBorder="1" applyAlignment="1">
      <alignment wrapText="1"/>
    </xf>
    <xf numFmtId="0" fontId="51" fillId="0" borderId="1" xfId="0" applyFont="1" applyBorder="1"/>
    <xf numFmtId="0" fontId="51" fillId="0" borderId="0" xfId="0" applyFont="1" applyBorder="1"/>
    <xf numFmtId="0" fontId="48" fillId="0" borderId="3" xfId="0" applyFont="1" applyBorder="1" applyAlignment="1">
      <alignment horizontal="center" vertical="center" wrapText="1"/>
    </xf>
    <xf numFmtId="0" fontId="48" fillId="0" borderId="0" xfId="0" applyFont="1" applyBorder="1" applyAlignment="1">
      <alignment vertical="center"/>
    </xf>
    <xf numFmtId="0" fontId="48" fillId="0" borderId="0" xfId="0" applyFont="1" applyBorder="1" applyAlignment="1">
      <alignment horizontal="center" vertical="center" wrapText="1"/>
    </xf>
    <xf numFmtId="0" fontId="51" fillId="0" borderId="2" xfId="0" applyFont="1" applyBorder="1" applyAlignment="1">
      <alignment vertical="center" wrapText="1"/>
    </xf>
    <xf numFmtId="0" fontId="73" fillId="0" borderId="0" xfId="0" applyFont="1"/>
    <xf numFmtId="0" fontId="78" fillId="0" borderId="0" xfId="0" applyFont="1"/>
    <xf numFmtId="166" fontId="51" fillId="0" borderId="0" xfId="0" applyNumberFormat="1" applyFont="1"/>
    <xf numFmtId="0" fontId="72" fillId="0" borderId="0" xfId="69" applyNumberFormat="1" applyFont="1" applyFill="1" applyBorder="1" applyAlignment="1" applyProtection="1">
      <alignment horizontal="center"/>
    </xf>
    <xf numFmtId="0" fontId="72" fillId="0" borderId="0" xfId="69" applyNumberFormat="1" applyFont="1" applyFill="1" applyBorder="1" applyAlignment="1" applyProtection="1"/>
    <xf numFmtId="168" fontId="72" fillId="0" borderId="0" xfId="12" applyNumberFormat="1" applyFont="1" applyFill="1" applyBorder="1" applyAlignment="1" applyProtection="1"/>
    <xf numFmtId="0" fontId="74" fillId="0" borderId="0" xfId="69" applyNumberFormat="1" applyFont="1" applyFill="1" applyBorder="1" applyAlignment="1" applyProtection="1"/>
    <xf numFmtId="0" fontId="79" fillId="10" borderId="9" xfId="69" applyFont="1" applyFill="1" applyBorder="1" applyAlignment="1">
      <alignment vertical="center"/>
    </xf>
    <xf numFmtId="0" fontId="79" fillId="10" borderId="9" xfId="69" applyFont="1" applyFill="1" applyBorder="1" applyAlignment="1">
      <alignment horizontal="center"/>
    </xf>
    <xf numFmtId="0" fontId="79" fillId="10" borderId="18" xfId="69" applyFont="1" applyFill="1" applyBorder="1" applyAlignment="1">
      <alignment vertical="center"/>
    </xf>
    <xf numFmtId="0" fontId="79" fillId="10" borderId="0" xfId="69" applyFont="1" applyFill="1" applyBorder="1" applyAlignment="1">
      <alignment vertical="center"/>
    </xf>
    <xf numFmtId="0" fontId="72" fillId="9" borderId="9" xfId="69" applyFont="1" applyFill="1" applyBorder="1" applyAlignment="1">
      <alignment vertical="center"/>
    </xf>
    <xf numFmtId="0" fontId="80" fillId="9" borderId="18" xfId="69" applyFont="1" applyFill="1" applyBorder="1" applyAlignment="1">
      <alignment horizontal="center" vertical="center"/>
    </xf>
    <xf numFmtId="0" fontId="80" fillId="9" borderId="18" xfId="70" applyFont="1" applyFill="1" applyBorder="1" applyAlignment="1">
      <alignment horizontal="center" vertical="center"/>
    </xf>
    <xf numFmtId="0" fontId="53" fillId="9" borderId="18" xfId="70" applyFont="1" applyFill="1" applyBorder="1" applyAlignment="1">
      <alignment horizontal="center" vertical="center"/>
    </xf>
    <xf numFmtId="0" fontId="72" fillId="9" borderId="10" xfId="69" applyFont="1" applyFill="1" applyBorder="1" applyAlignment="1">
      <alignment vertical="center"/>
    </xf>
    <xf numFmtId="0" fontId="80" fillId="9" borderId="19" xfId="69" applyFont="1" applyFill="1" applyBorder="1" applyAlignment="1">
      <alignment horizontal="center" vertical="center"/>
    </xf>
    <xf numFmtId="0" fontId="80" fillId="9" borderId="19" xfId="70" applyFont="1" applyFill="1" applyBorder="1" applyAlignment="1">
      <alignment horizontal="center" vertical="center"/>
    </xf>
    <xf numFmtId="0" fontId="53" fillId="9" borderId="11" xfId="5" applyFont="1" applyFill="1" applyBorder="1" applyAlignment="1" applyProtection="1">
      <alignment horizontal="left" vertical="center"/>
      <protection locked="0"/>
    </xf>
    <xf numFmtId="0" fontId="53" fillId="9" borderId="11" xfId="5" applyFont="1" applyFill="1" applyBorder="1" applyAlignment="1" applyProtection="1">
      <alignment horizontal="center" vertical="center"/>
      <protection locked="0"/>
    </xf>
    <xf numFmtId="4" fontId="53" fillId="9" borderId="20" xfId="5" applyNumberFormat="1" applyFont="1" applyFill="1" applyBorder="1" applyAlignment="1" applyProtection="1">
      <alignment horizontal="right" vertical="center"/>
      <protection locked="0"/>
    </xf>
    <xf numFmtId="0" fontId="53" fillId="9" borderId="10" xfId="5" applyFont="1" applyFill="1" applyBorder="1" applyAlignment="1" applyProtection="1">
      <alignment horizontal="left" vertical="center"/>
      <protection locked="0"/>
    </xf>
    <xf numFmtId="0" fontId="53" fillId="9" borderId="10" xfId="5" applyFont="1" applyFill="1" applyBorder="1" applyAlignment="1" applyProtection="1">
      <alignment horizontal="center"/>
      <protection locked="0"/>
    </xf>
    <xf numFmtId="168" fontId="53" fillId="9" borderId="19" xfId="25" applyNumberFormat="1" applyFont="1" applyFill="1" applyBorder="1" applyAlignment="1" applyProtection="1">
      <alignment horizontal="right" vertical="center"/>
      <protection locked="0"/>
    </xf>
    <xf numFmtId="0" fontId="80" fillId="8" borderId="9" xfId="69" applyFont="1" applyFill="1" applyBorder="1" applyAlignment="1">
      <alignment vertical="center"/>
    </xf>
    <xf numFmtId="0" fontId="53" fillId="8" borderId="9" xfId="5" applyFont="1" applyFill="1" applyBorder="1" applyAlignment="1" applyProtection="1">
      <alignment horizontal="center"/>
      <protection locked="0"/>
    </xf>
    <xf numFmtId="4" fontId="80" fillId="8" borderId="18" xfId="69" applyNumberFormat="1" applyFont="1" applyFill="1" applyBorder="1" applyAlignment="1" applyProtection="1"/>
    <xf numFmtId="0" fontId="80" fillId="0" borderId="0" xfId="69" applyNumberFormat="1" applyFont="1" applyFill="1" applyBorder="1" applyAlignment="1" applyProtection="1"/>
    <xf numFmtId="0" fontId="72" fillId="0" borderId="18" xfId="2" applyFont="1" applyFill="1" applyBorder="1" applyAlignment="1">
      <alignment horizontal="left" indent="2"/>
    </xf>
    <xf numFmtId="0" fontId="72" fillId="0" borderId="18" xfId="71" applyFont="1" applyFill="1" applyBorder="1" applyAlignment="1">
      <alignment horizontal="center"/>
    </xf>
    <xf numFmtId="4" fontId="50" fillId="0" borderId="18" xfId="69" applyNumberFormat="1" applyFont="1" applyFill="1" applyBorder="1" applyAlignment="1" applyProtection="1"/>
    <xf numFmtId="4" fontId="72" fillId="0" borderId="18" xfId="69" applyNumberFormat="1" applyFont="1" applyFill="1" applyBorder="1" applyAlignment="1" applyProtection="1"/>
    <xf numFmtId="0" fontId="72" fillId="0" borderId="0" xfId="69" applyFont="1" applyFill="1"/>
    <xf numFmtId="0" fontId="72" fillId="0" borderId="18" xfId="2" applyFont="1" applyFill="1" applyBorder="1" applyAlignment="1">
      <alignment horizontal="left" wrapText="1" indent="3"/>
    </xf>
    <xf numFmtId="0" fontId="72" fillId="0" borderId="18" xfId="71" applyFont="1" applyFill="1" applyBorder="1" applyAlignment="1">
      <alignment horizontal="center" wrapText="1"/>
    </xf>
    <xf numFmtId="0" fontId="72" fillId="0" borderId="18" xfId="2" applyFont="1" applyBorder="1" applyAlignment="1">
      <alignment horizontal="left" wrapText="1" indent="3"/>
    </xf>
    <xf numFmtId="4" fontId="72" fillId="0" borderId="0" xfId="69" applyNumberFormat="1" applyFont="1" applyFill="1" applyBorder="1" applyAlignment="1" applyProtection="1"/>
    <xf numFmtId="1" fontId="81" fillId="0" borderId="0" xfId="69" applyNumberFormat="1" applyFont="1" applyFill="1"/>
    <xf numFmtId="1" fontId="82" fillId="0" borderId="0" xfId="69" applyNumberFormat="1" applyFont="1" applyFill="1"/>
    <xf numFmtId="0" fontId="72" fillId="0" borderId="18" xfId="2" applyFont="1" applyBorder="1" applyAlignment="1">
      <alignment horizontal="left" wrapText="1" indent="2"/>
    </xf>
    <xf numFmtId="4" fontId="50" fillId="0" borderId="18" xfId="69" applyNumberFormat="1" applyFont="1" applyFill="1" applyBorder="1"/>
    <xf numFmtId="0" fontId="72" fillId="0" borderId="18" xfId="2" applyFont="1" applyFill="1" applyBorder="1" applyAlignment="1">
      <alignment horizontal="left" indent="7"/>
    </xf>
    <xf numFmtId="0" fontId="72" fillId="0" borderId="18" xfId="71" applyFont="1" applyBorder="1" applyAlignment="1">
      <alignment horizontal="center" wrapText="1"/>
    </xf>
    <xf numFmtId="4" fontId="72" fillId="0" borderId="18" xfId="69" applyNumberFormat="1" applyFont="1" applyFill="1" applyBorder="1"/>
    <xf numFmtId="0" fontId="50" fillId="0" borderId="18" xfId="71" applyFont="1" applyFill="1" applyBorder="1" applyAlignment="1">
      <alignment horizontal="center" wrapText="1"/>
    </xf>
    <xf numFmtId="0" fontId="72" fillId="0" borderId="18" xfId="2" applyFont="1" applyBorder="1" applyAlignment="1">
      <alignment horizontal="left" indent="3"/>
    </xf>
    <xf numFmtId="0" fontId="72" fillId="0" borderId="18" xfId="2" applyFont="1" applyFill="1" applyBorder="1" applyAlignment="1">
      <alignment horizontal="left" indent="3"/>
    </xf>
    <xf numFmtId="0" fontId="72" fillId="0" borderId="18" xfId="2" applyFont="1" applyBorder="1" applyAlignment="1">
      <alignment horizontal="left" indent="2"/>
    </xf>
    <xf numFmtId="0" fontId="80" fillId="8" borderId="18" xfId="2" applyFont="1" applyFill="1" applyBorder="1" applyAlignment="1">
      <alignment horizontal="left"/>
    </xf>
    <xf numFmtId="0" fontId="72" fillId="8" borderId="18" xfId="71" applyFont="1" applyFill="1" applyBorder="1" applyAlignment="1">
      <alignment horizontal="center"/>
    </xf>
    <xf numFmtId="0" fontId="80" fillId="8" borderId="9" xfId="69" applyFont="1" applyFill="1" applyBorder="1" applyAlignment="1">
      <alignment horizontal="left" vertical="center"/>
    </xf>
    <xf numFmtId="0" fontId="80" fillId="8" borderId="18" xfId="71" applyFont="1" applyFill="1" applyBorder="1" applyAlignment="1">
      <alignment horizontal="center"/>
    </xf>
    <xf numFmtId="0" fontId="80" fillId="0" borderId="0" xfId="69" applyFont="1" applyFill="1"/>
    <xf numFmtId="0" fontId="83" fillId="0" borderId="0" xfId="69" applyFont="1" applyFill="1"/>
    <xf numFmtId="0" fontId="72" fillId="0" borderId="18" xfId="71" applyFont="1" applyBorder="1" applyAlignment="1">
      <alignment horizontal="center"/>
    </xf>
    <xf numFmtId="0" fontId="80" fillId="0" borderId="18" xfId="2" applyFont="1" applyBorder="1" applyAlignment="1">
      <alignment horizontal="left" indent="2"/>
    </xf>
    <xf numFmtId="0" fontId="53" fillId="0" borderId="18" xfId="71" applyFont="1" applyFill="1" applyBorder="1" applyAlignment="1">
      <alignment horizontal="center"/>
    </xf>
    <xf numFmtId="0" fontId="72" fillId="0" borderId="19" xfId="2" applyFont="1" applyFill="1" applyBorder="1" applyAlignment="1">
      <alignment horizontal="left" indent="2"/>
    </xf>
    <xf numFmtId="0" fontId="80" fillId="0" borderId="18" xfId="2" applyFont="1" applyFill="1" applyBorder="1" applyAlignment="1">
      <alignment horizontal="left"/>
    </xf>
    <xf numFmtId="4" fontId="53" fillId="9" borderId="11" xfId="5" applyNumberFormat="1" applyFont="1" applyFill="1" applyBorder="1" applyAlignment="1" applyProtection="1">
      <alignment horizontal="right" vertical="center"/>
      <protection locked="0"/>
    </xf>
    <xf numFmtId="0" fontId="80" fillId="11" borderId="10" xfId="71" applyFont="1" applyFill="1" applyBorder="1" applyAlignment="1">
      <alignment horizontal="center"/>
    </xf>
    <xf numFmtId="10" fontId="53" fillId="9" borderId="10" xfId="25" applyNumberFormat="1" applyFont="1" applyFill="1" applyBorder="1" applyAlignment="1" applyProtection="1">
      <alignment horizontal="center" vertical="center"/>
      <protection locked="0"/>
    </xf>
    <xf numFmtId="0" fontId="80" fillId="8" borderId="18" xfId="2" applyFont="1" applyFill="1" applyBorder="1" applyAlignment="1">
      <alignment horizontal="left" indent="1"/>
    </xf>
    <xf numFmtId="0" fontId="80" fillId="0" borderId="18" xfId="2" applyFont="1" applyFill="1" applyBorder="1" applyAlignment="1">
      <alignment horizontal="left" indent="2"/>
    </xf>
    <xf numFmtId="0" fontId="72" fillId="0" borderId="9" xfId="72" applyFont="1" applyFill="1" applyBorder="1" applyAlignment="1">
      <alignment horizontal="left" vertical="center" indent="3"/>
    </xf>
    <xf numFmtId="0" fontId="72" fillId="0" borderId="18" xfId="2" applyFont="1" applyBorder="1" applyAlignment="1">
      <alignment horizontal="left" indent="5"/>
    </xf>
    <xf numFmtId="0" fontId="72" fillId="0" borderId="18" xfId="2" applyFont="1" applyBorder="1" applyAlignment="1">
      <alignment horizontal="left" indent="7"/>
    </xf>
    <xf numFmtId="0" fontId="80" fillId="0" borderId="18" xfId="71" applyFont="1" applyFill="1" applyBorder="1" applyAlignment="1">
      <alignment horizontal="center"/>
    </xf>
    <xf numFmtId="4" fontId="53" fillId="8" borderId="18" xfId="69" applyNumberFormat="1" applyFont="1" applyFill="1" applyBorder="1" applyAlignment="1" applyProtection="1"/>
    <xf numFmtId="0" fontId="53" fillId="9" borderId="20" xfId="5" applyFont="1" applyFill="1" applyBorder="1" applyAlignment="1" applyProtection="1">
      <alignment horizontal="center"/>
      <protection locked="0"/>
    </xf>
    <xf numFmtId="4" fontId="53" fillId="9" borderId="20" xfId="5" applyNumberFormat="1" applyFont="1" applyFill="1" applyBorder="1" applyAlignment="1" applyProtection="1">
      <protection locked="0"/>
    </xf>
    <xf numFmtId="4" fontId="53" fillId="12" borderId="20" xfId="5" applyNumberFormat="1" applyFont="1" applyFill="1" applyBorder="1" applyAlignment="1" applyProtection="1">
      <protection locked="0"/>
    </xf>
    <xf numFmtId="167" fontId="53" fillId="12" borderId="20" xfId="5" applyNumberFormat="1" applyFont="1" applyFill="1" applyBorder="1" applyAlignment="1" applyProtection="1">
      <protection locked="0"/>
    </xf>
    <xf numFmtId="0" fontId="53" fillId="9" borderId="9" xfId="5" applyFont="1" applyFill="1" applyBorder="1" applyAlignment="1" applyProtection="1">
      <alignment horizontal="left" vertical="center"/>
      <protection locked="0"/>
    </xf>
    <xf numFmtId="0" fontId="53" fillId="9" borderId="18" xfId="5" applyFont="1" applyFill="1" applyBorder="1" applyAlignment="1" applyProtection="1">
      <alignment horizontal="center"/>
      <protection locked="0"/>
    </xf>
    <xf numFmtId="10" fontId="53" fillId="9" borderId="18" xfId="25" applyNumberFormat="1" applyFont="1" applyFill="1" applyBorder="1" applyAlignment="1" applyProtection="1">
      <protection locked="0"/>
    </xf>
    <xf numFmtId="0" fontId="72" fillId="0" borderId="17" xfId="70" applyFont="1" applyFill="1" applyBorder="1"/>
    <xf numFmtId="0" fontId="72" fillId="0" borderId="17" xfId="69" applyNumberFormat="1" applyFont="1" applyFill="1" applyBorder="1" applyAlignment="1" applyProtection="1">
      <alignment horizontal="center"/>
    </xf>
    <xf numFmtId="1" fontId="72" fillId="0" borderId="17" xfId="69" applyNumberFormat="1" applyFont="1" applyFill="1" applyBorder="1" applyAlignment="1" applyProtection="1">
      <alignment horizontal="center"/>
    </xf>
    <xf numFmtId="4" fontId="51" fillId="0" borderId="0" xfId="0" applyNumberFormat="1" applyFont="1"/>
    <xf numFmtId="173" fontId="72" fillId="0" borderId="0" xfId="69" applyNumberFormat="1" applyFont="1" applyFill="1" applyBorder="1" applyAlignment="1" applyProtection="1"/>
    <xf numFmtId="171" fontId="72" fillId="0" borderId="0" xfId="69" applyNumberFormat="1" applyFont="1" applyFill="1" applyBorder="1" applyAlignment="1" applyProtection="1"/>
    <xf numFmtId="174" fontId="72" fillId="0" borderId="0" xfId="8" applyNumberFormat="1" applyFont="1" applyFill="1" applyBorder="1" applyAlignment="1" applyProtection="1"/>
    <xf numFmtId="166" fontId="72" fillId="0" borderId="0" xfId="69" applyNumberFormat="1" applyFont="1" applyFill="1" applyBorder="1" applyAlignment="1" applyProtection="1"/>
    <xf numFmtId="0" fontId="52" fillId="0" borderId="0" xfId="0" applyFont="1"/>
    <xf numFmtId="1" fontId="51" fillId="0" borderId="0" xfId="0" applyNumberFormat="1" applyFont="1"/>
    <xf numFmtId="166" fontId="48" fillId="0" borderId="0" xfId="0" applyNumberFormat="1" applyFont="1" applyBorder="1" applyAlignment="1">
      <alignment horizontal="center" vertical="center"/>
    </xf>
    <xf numFmtId="0" fontId="51" fillId="0" borderId="0" xfId="18" applyFont="1"/>
    <xf numFmtId="0" fontId="55" fillId="0" borderId="0" xfId="0" applyFont="1" applyBorder="1" applyAlignment="1">
      <alignment vertical="center" wrapText="1"/>
    </xf>
    <xf numFmtId="0" fontId="51" fillId="0" borderId="0" xfId="51" applyFont="1" applyFill="1" applyBorder="1" applyAlignment="1">
      <alignment wrapText="1"/>
    </xf>
    <xf numFmtId="0" fontId="51" fillId="0" borderId="0" xfId="121" applyFont="1" applyFill="1" applyBorder="1"/>
    <xf numFmtId="3" fontId="51" fillId="0" borderId="0" xfId="121" applyNumberFormat="1" applyFont="1" applyFill="1" applyBorder="1"/>
    <xf numFmtId="0" fontId="51" fillId="0" borderId="0" xfId="0" applyFont="1" applyFill="1"/>
    <xf numFmtId="0" fontId="51" fillId="0" borderId="0" xfId="0" applyFont="1" applyFill="1" applyBorder="1"/>
    <xf numFmtId="0" fontId="52" fillId="0" borderId="0" xfId="0" applyFont="1" applyFill="1" applyBorder="1" applyAlignment="1">
      <alignment horizontal="center" vertical="center" wrapText="1"/>
    </xf>
    <xf numFmtId="0" fontId="52" fillId="0" borderId="0" xfId="0" applyFont="1" applyFill="1" applyBorder="1" applyAlignment="1">
      <alignment vertical="center" wrapText="1"/>
    </xf>
    <xf numFmtId="0" fontId="48" fillId="0" borderId="0" xfId="0" applyFont="1" applyBorder="1" applyAlignment="1">
      <alignment horizontal="left" vertical="center" wrapText="1" indent="2"/>
    </xf>
    <xf numFmtId="0" fontId="48" fillId="0" borderId="0" xfId="0" applyFont="1" applyFill="1" applyAlignment="1">
      <alignment vertical="center"/>
    </xf>
    <xf numFmtId="166" fontId="48" fillId="0" borderId="0" xfId="0" applyNumberFormat="1" applyFont="1" applyFill="1" applyAlignment="1">
      <alignment horizontal="center" vertical="center"/>
    </xf>
    <xf numFmtId="0" fontId="48" fillId="0" borderId="3" xfId="0" applyFont="1" applyBorder="1" applyAlignment="1">
      <alignment vertical="center"/>
    </xf>
    <xf numFmtId="0" fontId="76" fillId="0" borderId="0" xfId="0" applyFont="1" applyBorder="1" applyAlignment="1">
      <alignment vertical="center"/>
    </xf>
    <xf numFmtId="0" fontId="49" fillId="0" borderId="8" xfId="0" applyFont="1" applyBorder="1" applyAlignment="1">
      <alignment horizontal="center" vertical="center"/>
    </xf>
    <xf numFmtId="0" fontId="52" fillId="0" borderId="2" xfId="0" applyFont="1" applyBorder="1" applyAlignment="1">
      <alignment vertical="center" wrapText="1"/>
    </xf>
    <xf numFmtId="0" fontId="52" fillId="0" borderId="0" xfId="0" applyFont="1" applyAlignment="1">
      <alignment vertical="center" wrapText="1"/>
    </xf>
    <xf numFmtId="0" fontId="51" fillId="0" borderId="0" xfId="0" applyFont="1" applyAlignment="1">
      <alignment horizontal="left" vertical="center" wrapText="1" indent="2"/>
    </xf>
    <xf numFmtId="0" fontId="51" fillId="0" borderId="2" xfId="0" applyFont="1" applyBorder="1" applyAlignment="1">
      <alignment horizontal="left" vertical="center" wrapText="1" indent="1"/>
    </xf>
    <xf numFmtId="0" fontId="51" fillId="0" borderId="12" xfId="0" applyFont="1" applyBorder="1" applyAlignment="1">
      <alignment vertical="center" wrapText="1"/>
    </xf>
    <xf numFmtId="0" fontId="75" fillId="0" borderId="0" xfId="0" applyFont="1" applyBorder="1" applyAlignment="1">
      <alignment horizontal="right" vertical="center" wrapText="1"/>
    </xf>
    <xf numFmtId="0" fontId="75" fillId="0" borderId="0" xfId="0" applyFont="1" applyAlignment="1">
      <alignment horizontal="right" vertical="center" wrapText="1"/>
    </xf>
    <xf numFmtId="0" fontId="52" fillId="0" borderId="12" xfId="0" applyFont="1" applyBorder="1" applyAlignment="1">
      <alignment vertical="center" wrapText="1"/>
    </xf>
    <xf numFmtId="0" fontId="52" fillId="0" borderId="13" xfId="0" applyFont="1" applyBorder="1" applyAlignment="1">
      <alignment vertical="center" wrapText="1"/>
    </xf>
    <xf numFmtId="0" fontId="51" fillId="0" borderId="2" xfId="0" applyFont="1" applyBorder="1" applyAlignment="1">
      <alignment horizontal="left" vertical="center" wrapText="1" indent="2"/>
    </xf>
    <xf numFmtId="166" fontId="51" fillId="0" borderId="0" xfId="0" applyNumberFormat="1" applyFont="1" applyFill="1"/>
    <xf numFmtId="0" fontId="89" fillId="0" borderId="0" xfId="0" applyFont="1"/>
    <xf numFmtId="0" fontId="88" fillId="0" borderId="0" xfId="0" applyFont="1"/>
    <xf numFmtId="0" fontId="90" fillId="0" borderId="0" xfId="0" applyFont="1" applyBorder="1"/>
    <xf numFmtId="0" fontId="89" fillId="0" borderId="0" xfId="0" applyFont="1" applyBorder="1"/>
    <xf numFmtId="0" fontId="88" fillId="7" borderId="0" xfId="4" applyFont="1" applyFill="1"/>
    <xf numFmtId="0" fontId="88" fillId="0" borderId="0" xfId="0" applyFont="1" applyBorder="1"/>
    <xf numFmtId="0" fontId="12" fillId="0" borderId="0" xfId="0" applyFont="1" applyBorder="1"/>
    <xf numFmtId="0" fontId="91" fillId="0" borderId="0" xfId="0" applyFont="1"/>
    <xf numFmtId="0" fontId="91" fillId="0" borderId="0" xfId="0" applyFont="1" applyBorder="1"/>
    <xf numFmtId="0" fontId="52" fillId="0" borderId="0" xfId="0" applyFont="1" applyFill="1"/>
    <xf numFmtId="0" fontId="51" fillId="0" borderId="40" xfId="0" applyFont="1" applyBorder="1"/>
    <xf numFmtId="0" fontId="52" fillId="0" borderId="40" xfId="0" applyFont="1" applyBorder="1" applyAlignment="1">
      <alignment horizontal="center"/>
    </xf>
    <xf numFmtId="0" fontId="51" fillId="0" borderId="0" xfId="0" applyFont="1" applyFill="1" applyBorder="1" applyAlignment="1">
      <alignment horizontal="left" vertical="center"/>
    </xf>
    <xf numFmtId="0" fontId="51" fillId="0" borderId="0" xfId="0" applyFont="1" applyFill="1" applyBorder="1" applyAlignment="1">
      <alignment horizontal="left"/>
    </xf>
    <xf numFmtId="0" fontId="50" fillId="0" borderId="0" xfId="0" applyFont="1" applyFill="1" applyBorder="1" applyAlignment="1">
      <alignment horizontal="left"/>
    </xf>
    <xf numFmtId="0" fontId="51" fillId="0" borderId="0" xfId="0" applyFont="1" applyFill="1" applyBorder="1" applyAlignment="1">
      <alignment vertical="center"/>
    </xf>
    <xf numFmtId="0" fontId="51" fillId="0" borderId="0" xfId="0" applyFont="1" applyFill="1" applyBorder="1" applyAlignment="1"/>
    <xf numFmtId="4" fontId="53" fillId="9" borderId="0" xfId="5" applyNumberFormat="1" applyFont="1" applyFill="1" applyBorder="1" applyAlignment="1" applyProtection="1">
      <alignment horizontal="right" vertical="center"/>
      <protection locked="0"/>
    </xf>
    <xf numFmtId="4" fontId="80" fillId="8" borderId="0" xfId="69" applyNumberFormat="1" applyFont="1" applyFill="1" applyBorder="1" applyAlignment="1" applyProtection="1"/>
    <xf numFmtId="4" fontId="50" fillId="0" borderId="0" xfId="69" applyNumberFormat="1" applyFont="1" applyFill="1" applyBorder="1" applyAlignment="1" applyProtection="1"/>
    <xf numFmtId="4" fontId="53" fillId="8" borderId="0" xfId="69" applyNumberFormat="1" applyFont="1" applyFill="1" applyBorder="1" applyAlignment="1" applyProtection="1"/>
    <xf numFmtId="167" fontId="72" fillId="0" borderId="16" xfId="29" applyNumberFormat="1" applyFont="1" applyFill="1" applyBorder="1" applyAlignment="1">
      <alignment wrapText="1"/>
    </xf>
    <xf numFmtId="0" fontId="49" fillId="0" borderId="0" xfId="0" applyFont="1" applyBorder="1" applyAlignment="1">
      <alignment vertical="center"/>
    </xf>
    <xf numFmtId="0" fontId="48" fillId="0" borderId="0" xfId="0" applyFont="1" applyFill="1" applyBorder="1" applyAlignment="1">
      <alignment vertical="center" wrapText="1"/>
    </xf>
    <xf numFmtId="0" fontId="48" fillId="0" borderId="0" xfId="0" applyFont="1" applyAlignment="1">
      <alignment horizontal="center" vertical="center"/>
    </xf>
    <xf numFmtId="0" fontId="73" fillId="0" borderId="40" xfId="0" applyFont="1" applyBorder="1"/>
    <xf numFmtId="0" fontId="48" fillId="0" borderId="40" xfId="0" applyFont="1" applyBorder="1" applyAlignment="1">
      <alignment horizontal="center" vertical="center"/>
    </xf>
    <xf numFmtId="0" fontId="48" fillId="0" borderId="40" xfId="0" applyFont="1" applyBorder="1" applyAlignment="1">
      <alignment horizontal="center" vertical="center" wrapText="1"/>
    </xf>
    <xf numFmtId="0" fontId="51" fillId="0" borderId="40" xfId="0" applyFont="1" applyBorder="1" applyAlignment="1">
      <alignment horizontal="center" vertical="center"/>
    </xf>
    <xf numFmtId="0" fontId="51" fillId="0" borderId="40" xfId="0" applyFont="1" applyBorder="1" applyAlignment="1">
      <alignment horizontal="right" vertical="center"/>
    </xf>
    <xf numFmtId="0" fontId="48" fillId="2" borderId="0" xfId="0" applyFont="1" applyFill="1" applyAlignment="1">
      <alignment vertical="center" wrapText="1"/>
    </xf>
    <xf numFmtId="0" fontId="48" fillId="2" borderId="0" xfId="0" applyFont="1" applyFill="1" applyAlignment="1">
      <alignment vertical="center"/>
    </xf>
    <xf numFmtId="166" fontId="48" fillId="0" borderId="40" xfId="0" applyNumberFormat="1" applyFont="1" applyBorder="1" applyAlignment="1">
      <alignment horizontal="center" vertical="center"/>
    </xf>
    <xf numFmtId="0" fontId="51" fillId="0" borderId="40" xfId="0" applyFont="1" applyBorder="1" applyAlignment="1">
      <alignment vertical="center"/>
    </xf>
    <xf numFmtId="0" fontId="51" fillId="0" borderId="0" xfId="0" applyFont="1" applyBorder="1" applyAlignment="1">
      <alignment vertical="center"/>
    </xf>
    <xf numFmtId="1" fontId="51" fillId="0" borderId="0" xfId="0" applyNumberFormat="1" applyFont="1" applyBorder="1" applyAlignment="1">
      <alignment horizontal="right" vertical="center" wrapText="1"/>
    </xf>
    <xf numFmtId="173" fontId="48" fillId="0" borderId="0" xfId="0" applyNumberFormat="1" applyFont="1" applyBorder="1" applyAlignment="1">
      <alignment horizontal="center" vertical="center"/>
    </xf>
    <xf numFmtId="166" fontId="49" fillId="0" borderId="0" xfId="0" applyNumberFormat="1" applyFont="1" applyBorder="1" applyAlignment="1">
      <alignment horizontal="center" vertical="center"/>
    </xf>
    <xf numFmtId="173" fontId="49" fillId="0" borderId="0" xfId="0" applyNumberFormat="1" applyFont="1" applyBorder="1" applyAlignment="1">
      <alignment horizontal="center" vertical="center"/>
    </xf>
    <xf numFmtId="0" fontId="51" fillId="0" borderId="1" xfId="0" applyFont="1" applyBorder="1" applyAlignment="1">
      <alignment vertical="center"/>
    </xf>
    <xf numFmtId="1" fontId="51" fillId="0" borderId="1" xfId="0" applyNumberFormat="1" applyFont="1" applyBorder="1" applyAlignment="1">
      <alignment horizontal="right" vertical="center" wrapText="1"/>
    </xf>
    <xf numFmtId="0" fontId="52" fillId="0" borderId="0" xfId="0" applyFont="1" applyBorder="1" applyAlignment="1">
      <alignment vertical="center"/>
    </xf>
    <xf numFmtId="166" fontId="51" fillId="0" borderId="0" xfId="0" applyNumberFormat="1" applyFont="1" applyBorder="1" applyAlignment="1">
      <alignment horizontal="right" vertical="center" wrapText="1"/>
    </xf>
    <xf numFmtId="166" fontId="55" fillId="0" borderId="0" xfId="0" applyNumberFormat="1" applyFont="1" applyBorder="1" applyAlignment="1">
      <alignment horizontal="left" vertical="center"/>
    </xf>
    <xf numFmtId="0" fontId="76" fillId="0" borderId="40" xfId="0" applyFont="1" applyBorder="1" applyAlignment="1">
      <alignment vertical="center"/>
    </xf>
    <xf numFmtId="0" fontId="49" fillId="0" borderId="40" xfId="0" applyFont="1" applyBorder="1" applyAlignment="1">
      <alignment horizontal="center" vertical="center" wrapText="1"/>
    </xf>
    <xf numFmtId="166" fontId="51" fillId="0" borderId="0" xfId="0" applyNumberFormat="1" applyFont="1" applyFill="1" applyAlignment="1">
      <alignment horizontal="right" vertical="center" wrapText="1"/>
    </xf>
    <xf numFmtId="166" fontId="51" fillId="0" borderId="40" xfId="0" applyNumberFormat="1" applyFont="1" applyFill="1" applyBorder="1" applyAlignment="1">
      <alignment horizontal="right" vertical="center" wrapText="1"/>
    </xf>
    <xf numFmtId="0" fontId="49" fillId="0" borderId="40" xfId="0" applyFont="1" applyBorder="1" applyAlignment="1">
      <alignment horizontal="center" vertical="center"/>
    </xf>
    <xf numFmtId="0" fontId="75" fillId="0" borderId="0" xfId="0" applyFont="1" applyBorder="1" applyAlignment="1">
      <alignment vertical="center" wrapText="1"/>
    </xf>
    <xf numFmtId="0" fontId="54" fillId="0" borderId="0" xfId="0" applyFont="1" applyAlignment="1">
      <alignment horizontal="center" vertical="center"/>
    </xf>
    <xf numFmtId="0" fontId="133" fillId="0" borderId="7" xfId="0" applyFont="1" applyBorder="1" applyAlignment="1">
      <alignment horizontal="center" vertical="center"/>
    </xf>
    <xf numFmtId="0" fontId="54" fillId="0" borderId="40" xfId="0" applyFont="1" applyBorder="1" applyAlignment="1">
      <alignment horizontal="center" vertical="center"/>
    </xf>
    <xf numFmtId="0" fontId="133" fillId="0" borderId="41" xfId="0" applyFont="1" applyBorder="1" applyAlignment="1">
      <alignment horizontal="center" vertical="center"/>
    </xf>
    <xf numFmtId="0" fontId="135" fillId="0" borderId="0" xfId="0" applyFont="1" applyAlignment="1">
      <alignment horizontal="center" vertical="center"/>
    </xf>
    <xf numFmtId="0" fontId="135" fillId="0" borderId="40" xfId="0" applyFont="1" applyBorder="1" applyAlignment="1">
      <alignment horizontal="center" vertical="center"/>
    </xf>
    <xf numFmtId="0" fontId="136" fillId="0" borderId="40" xfId="0" applyFont="1" applyBorder="1" applyAlignment="1">
      <alignment horizontal="center" vertical="center"/>
    </xf>
    <xf numFmtId="0" fontId="29" fillId="0" borderId="0" xfId="4" applyAlignment="1">
      <alignment vertical="center"/>
    </xf>
    <xf numFmtId="0" fontId="91" fillId="0" borderId="0" xfId="0" applyFont="1" applyFill="1"/>
    <xf numFmtId="0" fontId="12" fillId="44" borderId="0" xfId="4" applyFont="1" applyFill="1"/>
    <xf numFmtId="0" fontId="12" fillId="7" borderId="0" xfId="4" applyFont="1" applyFill="1"/>
    <xf numFmtId="0" fontId="73" fillId="0" borderId="1" xfId="0" applyFont="1" applyBorder="1"/>
    <xf numFmtId="167" fontId="53" fillId="0" borderId="0" xfId="0" applyNumberFormat="1" applyFont="1" applyAlignment="1">
      <alignment horizontal="center"/>
    </xf>
    <xf numFmtId="167" fontId="50" fillId="0" borderId="0" xfId="0" applyNumberFormat="1" applyFont="1" applyAlignment="1">
      <alignment horizontal="center"/>
    </xf>
    <xf numFmtId="0" fontId="50" fillId="0" borderId="0" xfId="0" applyFont="1" applyBorder="1" applyAlignment="1">
      <alignment horizontal="left" indent="1"/>
    </xf>
    <xf numFmtId="0" fontId="53" fillId="0" borderId="0" xfId="0" applyNumberFormat="1" applyFont="1" applyAlignment="1">
      <alignment horizontal="center"/>
    </xf>
    <xf numFmtId="0" fontId="73" fillId="0" borderId="0" xfId="0" applyFont="1" applyBorder="1"/>
    <xf numFmtId="0" fontId="55" fillId="0" borderId="0" xfId="0" applyFont="1" applyAlignment="1">
      <alignment horizontal="right" vertical="center" wrapText="1"/>
    </xf>
    <xf numFmtId="0" fontId="89" fillId="0" borderId="0" xfId="0" applyFont="1" applyFill="1"/>
    <xf numFmtId="0" fontId="131" fillId="0" borderId="40" xfId="0" applyFont="1" applyBorder="1" applyAlignment="1">
      <alignment horizontal="right" vertical="center" wrapText="1"/>
    </xf>
    <xf numFmtId="3" fontId="131" fillId="0" borderId="4" xfId="0" applyNumberFormat="1" applyFont="1" applyBorder="1" applyAlignment="1">
      <alignment horizontal="right" vertical="center" wrapText="1"/>
    </xf>
    <xf numFmtId="3" fontId="133" fillId="0" borderId="0" xfId="0" applyNumberFormat="1" applyFont="1" applyAlignment="1">
      <alignment horizontal="right" vertical="center" wrapText="1"/>
    </xf>
    <xf numFmtId="3" fontId="131" fillId="0" borderId="3" xfId="0" applyNumberFormat="1" applyFont="1" applyBorder="1" applyAlignment="1">
      <alignment horizontal="right" vertical="center" wrapText="1"/>
    </xf>
    <xf numFmtId="0" fontId="138" fillId="0" borderId="0" xfId="69" applyNumberFormat="1" applyFont="1" applyFill="1" applyBorder="1" applyAlignment="1" applyProtection="1"/>
    <xf numFmtId="0" fontId="49" fillId="0" borderId="0" xfId="0" applyFont="1" applyAlignment="1">
      <alignment horizontal="justify" vertical="center"/>
    </xf>
    <xf numFmtId="0" fontId="132" fillId="0" borderId="0" xfId="0" applyFont="1" applyAlignment="1">
      <alignment horizontal="center" vertical="center" wrapText="1"/>
    </xf>
    <xf numFmtId="0" fontId="52" fillId="0" borderId="21" xfId="0" applyFont="1" applyFill="1" applyBorder="1" applyAlignment="1">
      <alignment vertical="center" wrapText="1"/>
    </xf>
    <xf numFmtId="0" fontId="52" fillId="0" borderId="21" xfId="0" applyFont="1" applyFill="1" applyBorder="1" applyAlignment="1">
      <alignment horizontal="center" vertical="center" wrapText="1"/>
    </xf>
    <xf numFmtId="0" fontId="52" fillId="0" borderId="40" xfId="0" applyFont="1" applyFill="1" applyBorder="1" applyAlignment="1">
      <alignment horizontal="center" vertical="center" wrapText="1"/>
    </xf>
    <xf numFmtId="0" fontId="49" fillId="0" borderId="0" xfId="0" applyFont="1" applyFill="1" applyBorder="1" applyAlignment="1">
      <alignment vertical="center"/>
    </xf>
    <xf numFmtId="3" fontId="52" fillId="0" borderId="0" xfId="0" applyNumberFormat="1" applyFont="1" applyFill="1" applyBorder="1" applyAlignment="1">
      <alignment horizontal="center" vertical="center" wrapText="1"/>
    </xf>
    <xf numFmtId="3" fontId="51" fillId="0" borderId="0" xfId="0" applyNumberFormat="1" applyFont="1" applyFill="1" applyBorder="1" applyAlignment="1">
      <alignment horizontal="center" vertical="center" wrapText="1"/>
    </xf>
    <xf numFmtId="3" fontId="51" fillId="0" borderId="40" xfId="0" applyNumberFormat="1" applyFont="1" applyFill="1" applyBorder="1" applyAlignment="1">
      <alignment horizontal="center" vertical="center" wrapText="1"/>
    </xf>
    <xf numFmtId="3" fontId="49" fillId="0" borderId="0" xfId="0" applyNumberFormat="1" applyFont="1" applyFill="1" applyAlignment="1">
      <alignment horizontal="center" vertical="center" wrapText="1"/>
    </xf>
    <xf numFmtId="3" fontId="48" fillId="0" borderId="0" xfId="0" applyNumberFormat="1" applyFont="1" applyFill="1" applyAlignment="1">
      <alignment horizontal="center" vertical="center" wrapText="1"/>
    </xf>
    <xf numFmtId="3" fontId="48" fillId="0" borderId="0" xfId="0" applyNumberFormat="1" applyFont="1" applyFill="1" applyBorder="1" applyAlignment="1">
      <alignment horizontal="center" vertical="center" wrapText="1"/>
    </xf>
    <xf numFmtId="2" fontId="48" fillId="0" borderId="0" xfId="0" applyNumberFormat="1" applyFont="1" applyBorder="1" applyAlignment="1">
      <alignment horizontal="center" vertical="center"/>
    </xf>
    <xf numFmtId="1" fontId="72" fillId="0" borderId="0" xfId="69" applyNumberFormat="1" applyFont="1" applyFill="1" applyBorder="1" applyAlignment="1" applyProtection="1"/>
    <xf numFmtId="0" fontId="85" fillId="0" borderId="0" xfId="1494" applyFont="1"/>
    <xf numFmtId="0" fontId="51" fillId="0" borderId="0" xfId="1494" applyFont="1"/>
    <xf numFmtId="0" fontId="52" fillId="0" borderId="0" xfId="1494" applyFont="1"/>
    <xf numFmtId="0" fontId="50" fillId="0" borderId="0" xfId="1494" applyFont="1" applyFill="1"/>
    <xf numFmtId="166" fontId="51" fillId="0" borderId="0" xfId="1494" applyNumberFormat="1" applyFont="1"/>
    <xf numFmtId="0" fontId="50" fillId="0" borderId="0" xfId="1494" applyFont="1"/>
    <xf numFmtId="166" fontId="51" fillId="0" borderId="0" xfId="1494" applyNumberFormat="1" applyFont="1" applyFill="1"/>
    <xf numFmtId="0" fontId="13" fillId="0" borderId="0" xfId="0" applyFont="1"/>
    <xf numFmtId="3" fontId="51" fillId="0" borderId="0" xfId="0" applyNumberFormat="1" applyFont="1" applyBorder="1" applyAlignment="1">
      <alignment horizontal="center" vertical="center"/>
    </xf>
    <xf numFmtId="3" fontId="51" fillId="0" borderId="40" xfId="0" applyNumberFormat="1" applyFont="1" applyBorder="1" applyAlignment="1">
      <alignment horizontal="center" vertical="center"/>
    </xf>
    <xf numFmtId="0" fontId="51" fillId="0" borderId="0" xfId="0" applyFont="1" applyFill="1" applyAlignment="1">
      <alignment wrapText="1"/>
    </xf>
    <xf numFmtId="0" fontId="51" fillId="0" borderId="40" xfId="0" applyFont="1" applyFill="1" applyBorder="1"/>
    <xf numFmtId="0" fontId="76" fillId="0" borderId="40" xfId="0" applyFont="1" applyBorder="1" applyAlignment="1">
      <alignment vertical="center"/>
    </xf>
    <xf numFmtId="166" fontId="55" fillId="0" borderId="0" xfId="0" applyNumberFormat="1" applyFont="1" applyBorder="1" applyAlignment="1">
      <alignment horizontal="center" vertical="center"/>
    </xf>
    <xf numFmtId="0" fontId="48" fillId="0" borderId="7" xfId="0" applyFont="1" applyBorder="1" applyAlignment="1">
      <alignment vertical="center"/>
    </xf>
    <xf numFmtId="0" fontId="75" fillId="0" borderId="0" xfId="0" applyFont="1" applyBorder="1" applyAlignment="1">
      <alignment horizontal="right" vertical="center" wrapText="1"/>
    </xf>
    <xf numFmtId="0" fontId="134" fillId="0" borderId="0" xfId="0" applyFont="1" applyAlignment="1">
      <alignment horizontal="left" vertical="center" wrapText="1"/>
    </xf>
    <xf numFmtId="0" fontId="48" fillId="0" borderId="0" xfId="0" applyFont="1" applyAlignment="1">
      <alignment vertical="center" wrapText="1"/>
    </xf>
    <xf numFmtId="0" fontId="48" fillId="2" borderId="1" xfId="0" applyFont="1" applyFill="1" applyBorder="1" applyAlignment="1">
      <alignment vertical="center"/>
    </xf>
    <xf numFmtId="166" fontId="48" fillId="0" borderId="1" xfId="0" applyNumberFormat="1" applyFont="1" applyFill="1" applyBorder="1" applyAlignment="1">
      <alignment horizontal="center" vertical="center"/>
    </xf>
    <xf numFmtId="0" fontId="139" fillId="0" borderId="0" xfId="0" applyFont="1" applyAlignment="1">
      <alignment horizontal="center" vertical="center"/>
    </xf>
    <xf numFmtId="0" fontId="136" fillId="0" borderId="40" xfId="0" applyFont="1" applyBorder="1" applyAlignment="1">
      <alignment vertical="center"/>
    </xf>
    <xf numFmtId="0" fontId="135" fillId="0" borderId="0" xfId="0" applyFont="1" applyAlignment="1">
      <alignment vertical="center"/>
    </xf>
    <xf numFmtId="0" fontId="135" fillId="0" borderId="0" xfId="0" applyFont="1" applyAlignment="1">
      <alignment horizontal="center" vertical="center" wrapText="1"/>
    </xf>
    <xf numFmtId="0" fontId="135" fillId="0" borderId="40" xfId="0" applyFont="1" applyBorder="1" applyAlignment="1">
      <alignment vertical="center"/>
    </xf>
    <xf numFmtId="0" fontId="135" fillId="0" borderId="40" xfId="0" applyFont="1" applyBorder="1" applyAlignment="1">
      <alignment horizontal="center" vertical="center" wrapText="1"/>
    </xf>
    <xf numFmtId="0" fontId="140" fillId="0" borderId="0" xfId="0" applyFont="1" applyAlignment="1">
      <alignment horizontal="right" vertical="center"/>
    </xf>
    <xf numFmtId="0" fontId="49" fillId="0" borderId="8" xfId="0" applyFont="1" applyBorder="1" applyAlignment="1">
      <alignment vertical="center"/>
    </xf>
    <xf numFmtId="0" fontId="141" fillId="0" borderId="4" xfId="0" applyFont="1" applyBorder="1" applyAlignment="1">
      <alignment horizontal="center" vertical="center"/>
    </xf>
    <xf numFmtId="0" fontId="141" fillId="0" borderId="8" xfId="0" applyFont="1" applyBorder="1" applyAlignment="1">
      <alignment horizontal="center" vertical="center"/>
    </xf>
    <xf numFmtId="0" fontId="49" fillId="0" borderId="7" xfId="0" applyFont="1" applyBorder="1" applyAlignment="1">
      <alignment vertical="center"/>
    </xf>
    <xf numFmtId="0" fontId="142" fillId="0" borderId="0" xfId="0" applyFont="1" applyAlignment="1">
      <alignment horizontal="center" vertical="center"/>
    </xf>
    <xf numFmtId="0" fontId="142" fillId="0" borderId="7" xfId="0" applyFont="1" applyBorder="1" applyAlignment="1">
      <alignment horizontal="center" vertical="center"/>
    </xf>
    <xf numFmtId="0" fontId="136" fillId="0" borderId="7" xfId="0" applyFont="1" applyBorder="1" applyAlignment="1">
      <alignment horizontal="center" vertical="center"/>
    </xf>
    <xf numFmtId="0" fontId="143" fillId="0" borderId="7" xfId="0" applyFont="1" applyBorder="1" applyAlignment="1">
      <alignment horizontal="center" vertical="center"/>
    </xf>
    <xf numFmtId="0" fontId="136" fillId="0" borderId="0" xfId="0" applyFont="1" applyAlignment="1">
      <alignment horizontal="center" vertical="center"/>
    </xf>
    <xf numFmtId="0" fontId="144" fillId="0" borderId="0" xfId="0" applyFont="1" applyAlignment="1">
      <alignment horizontal="center" vertical="center"/>
    </xf>
    <xf numFmtId="0" fontId="144" fillId="0" borderId="7"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48" fillId="0" borderId="41" xfId="0" applyFont="1" applyBorder="1" applyAlignment="1">
      <alignment vertical="center"/>
    </xf>
    <xf numFmtId="0" fontId="144" fillId="0" borderId="40" xfId="0" applyFont="1" applyBorder="1" applyAlignment="1">
      <alignment horizontal="center" vertical="center"/>
    </xf>
    <xf numFmtId="0" fontId="144" fillId="0" borderId="41" xfId="0" applyFont="1" applyBorder="1" applyAlignment="1">
      <alignment horizontal="center" vertical="center"/>
    </xf>
    <xf numFmtId="0" fontId="13" fillId="0" borderId="41" xfId="0" applyFont="1" applyBorder="1" applyAlignment="1">
      <alignment horizontal="center" vertical="center"/>
    </xf>
    <xf numFmtId="0" fontId="145" fillId="0" borderId="7" xfId="0" applyFont="1" applyBorder="1" applyAlignment="1">
      <alignment vertical="center"/>
    </xf>
    <xf numFmtId="0" fontId="146" fillId="0" borderId="0" xfId="0" applyFont="1" applyAlignment="1">
      <alignment horizontal="center" vertical="center"/>
    </xf>
    <xf numFmtId="0" fontId="146" fillId="0" borderId="7" xfId="0" applyFont="1" applyBorder="1" applyAlignment="1">
      <alignment horizontal="center" vertical="center"/>
    </xf>
    <xf numFmtId="0" fontId="145" fillId="0" borderId="41" xfId="0" applyFont="1" applyBorder="1" applyAlignment="1">
      <alignment vertical="center"/>
    </xf>
    <xf numFmtId="0" fontId="146" fillId="0" borderId="40" xfId="0" applyFont="1" applyBorder="1" applyAlignment="1">
      <alignment horizontal="center" vertical="center"/>
    </xf>
    <xf numFmtId="0" fontId="146" fillId="0" borderId="41" xfId="0" applyFont="1" applyBorder="1" applyAlignment="1">
      <alignment horizontal="center" vertical="center"/>
    </xf>
    <xf numFmtId="0" fontId="49" fillId="0" borderId="41" xfId="0" applyFont="1" applyBorder="1" applyAlignment="1">
      <alignment vertical="center"/>
    </xf>
    <xf numFmtId="0" fontId="142" fillId="0" borderId="40" xfId="0" applyFont="1" applyBorder="1" applyAlignment="1">
      <alignment horizontal="center" vertical="center"/>
    </xf>
    <xf numFmtId="0" fontId="142" fillId="0" borderId="41" xfId="0" applyFont="1" applyBorder="1" applyAlignment="1">
      <alignment horizontal="center" vertical="center"/>
    </xf>
    <xf numFmtId="0" fontId="136" fillId="0" borderId="41" xfId="0" applyFont="1" applyBorder="1" applyAlignment="1">
      <alignment horizontal="center" vertical="center"/>
    </xf>
    <xf numFmtId="0" fontId="55" fillId="0" borderId="40" xfId="0" applyFont="1" applyBorder="1" applyAlignment="1">
      <alignment horizontal="center" vertical="center"/>
    </xf>
    <xf numFmtId="0" fontId="134" fillId="0" borderId="0" xfId="0" applyFont="1" applyAlignment="1">
      <alignment horizontal="justify" vertical="center"/>
    </xf>
    <xf numFmtId="0" fontId="133" fillId="0" borderId="0" xfId="0" applyFont="1"/>
    <xf numFmtId="0" fontId="139" fillId="0" borderId="0" xfId="0" applyFont="1" applyAlignment="1">
      <alignment vertical="center"/>
    </xf>
    <xf numFmtId="0" fontId="51" fillId="0" borderId="40" xfId="0" applyFont="1" applyFill="1" applyBorder="1" applyAlignment="1">
      <alignment horizontal="left" indent="1"/>
    </xf>
    <xf numFmtId="0" fontId="3" fillId="0" borderId="0" xfId="0" applyFont="1" applyAlignment="1">
      <alignment vertical="center" wrapText="1"/>
    </xf>
    <xf numFmtId="0" fontId="136" fillId="0" borderId="2" xfId="0" applyFont="1" applyBorder="1" applyAlignment="1">
      <alignment vertical="center"/>
    </xf>
    <xf numFmtId="0" fontId="139" fillId="0" borderId="0" xfId="0" applyFont="1" applyAlignment="1">
      <alignment horizontal="left" vertical="center"/>
    </xf>
    <xf numFmtId="0" fontId="135" fillId="0" borderId="0" xfId="0" applyFont="1" applyFill="1" applyAlignment="1">
      <alignment vertical="center"/>
    </xf>
    <xf numFmtId="0" fontId="147" fillId="0" borderId="0" xfId="0" applyFont="1" applyBorder="1" applyAlignment="1">
      <alignment horizontal="left" vertical="center" wrapText="1"/>
    </xf>
    <xf numFmtId="167" fontId="147" fillId="0" borderId="0" xfId="0" applyNumberFormat="1" applyFont="1" applyFill="1" applyBorder="1" applyAlignment="1">
      <alignment horizontal="center" vertical="center" wrapText="1"/>
    </xf>
    <xf numFmtId="166" fontId="148" fillId="0" borderId="0" xfId="2" applyNumberFormat="1" applyFont="1" applyFill="1"/>
    <xf numFmtId="166" fontId="33" fillId="0" borderId="0" xfId="2" applyNumberFormat="1" applyFont="1"/>
    <xf numFmtId="0" fontId="149" fillId="0" borderId="0" xfId="2" applyFont="1" applyFill="1"/>
    <xf numFmtId="0" fontId="150" fillId="0" borderId="0" xfId="2" applyFont="1"/>
    <xf numFmtId="0" fontId="149" fillId="0" borderId="0" xfId="2" applyFont="1"/>
    <xf numFmtId="0" fontId="52" fillId="0" borderId="0" xfId="51" applyFont="1"/>
    <xf numFmtId="0" fontId="73" fillId="0" borderId="2" xfId="51" applyFont="1" applyBorder="1" applyAlignment="1"/>
    <xf numFmtId="0" fontId="73" fillId="0" borderId="0" xfId="51" applyFont="1" applyBorder="1" applyAlignment="1"/>
    <xf numFmtId="0" fontId="51" fillId="0" borderId="4" xfId="0" applyFont="1" applyBorder="1" applyAlignment="1">
      <alignment horizontal="right" vertical="center"/>
    </xf>
    <xf numFmtId="0" fontId="75" fillId="0" borderId="0" xfId="0" applyFont="1"/>
    <xf numFmtId="0" fontId="55" fillId="0" borderId="0" xfId="0" applyFont="1" applyAlignment="1">
      <alignment horizontal="right" vertical="center"/>
    </xf>
    <xf numFmtId="0" fontId="151" fillId="0" borderId="0" xfId="0" applyFont="1" applyAlignment="1">
      <alignment horizontal="center"/>
    </xf>
    <xf numFmtId="166" fontId="133" fillId="0" borderId="0" xfId="0" applyNumberFormat="1" applyFont="1" applyAlignment="1">
      <alignment horizontal="right" vertical="center" wrapText="1"/>
    </xf>
    <xf numFmtId="1" fontId="133" fillId="0" borderId="0" xfId="0" applyNumberFormat="1" applyFont="1" applyAlignment="1">
      <alignment horizontal="right" vertical="center" wrapText="1"/>
    </xf>
    <xf numFmtId="1" fontId="133" fillId="0" borderId="40" xfId="0" applyNumberFormat="1" applyFont="1" applyBorder="1" applyAlignment="1">
      <alignment horizontal="right" vertical="center" wrapText="1"/>
    </xf>
    <xf numFmtId="166" fontId="131" fillId="0" borderId="40" xfId="0" applyNumberFormat="1" applyFont="1" applyBorder="1" applyAlignment="1">
      <alignment horizontal="right" vertical="center" wrapText="1"/>
    </xf>
    <xf numFmtId="166" fontId="133" fillId="0" borderId="12" xfId="0" applyNumberFormat="1" applyFont="1" applyBorder="1" applyAlignment="1">
      <alignment horizontal="right" vertical="center" wrapText="1"/>
    </xf>
    <xf numFmtId="166" fontId="131" fillId="0" borderId="3" xfId="0" applyNumberFormat="1" applyFont="1" applyBorder="1" applyAlignment="1">
      <alignment horizontal="right" vertical="center" wrapText="1"/>
    </xf>
    <xf numFmtId="0" fontId="140" fillId="0" borderId="12" xfId="0" applyFont="1" applyBorder="1" applyAlignment="1">
      <alignment horizontal="right" vertical="center" wrapText="1"/>
    </xf>
    <xf numFmtId="0" fontId="140" fillId="0" borderId="0" xfId="0" applyFont="1" applyAlignment="1">
      <alignment horizontal="left" vertical="center" wrapText="1" indent="2"/>
    </xf>
    <xf numFmtId="0" fontId="52" fillId="0" borderId="3" xfId="0" applyFont="1" applyBorder="1" applyAlignment="1">
      <alignment vertical="center" wrapText="1"/>
    </xf>
    <xf numFmtId="1" fontId="131" fillId="0" borderId="0" xfId="0" applyNumberFormat="1" applyFont="1" applyAlignment="1">
      <alignment horizontal="right" vertical="center" wrapText="1"/>
    </xf>
    <xf numFmtId="0" fontId="87" fillId="0" borderId="13" xfId="0" applyFont="1" applyBorder="1" applyAlignment="1">
      <alignment vertical="center" wrapText="1"/>
    </xf>
    <xf numFmtId="0" fontId="75" fillId="0" borderId="4" xfId="0" applyFont="1" applyBorder="1" applyAlignment="1">
      <alignment horizontal="left" vertical="center" wrapText="1" indent="2"/>
    </xf>
    <xf numFmtId="0" fontId="85" fillId="0" borderId="0" xfId="0" applyFont="1" applyAlignment="1">
      <alignment vertical="center"/>
    </xf>
    <xf numFmtId="3" fontId="80" fillId="8" borderId="0" xfId="69" applyNumberFormat="1" applyFont="1" applyFill="1" applyBorder="1" applyAlignment="1" applyProtection="1"/>
    <xf numFmtId="3" fontId="80" fillId="8" borderId="18" xfId="69" applyNumberFormat="1" applyFont="1" applyFill="1" applyBorder="1" applyAlignment="1" applyProtection="1"/>
    <xf numFmtId="0" fontId="48" fillId="0" borderId="0" xfId="0" applyFont="1" applyFill="1" applyAlignment="1">
      <alignment horizontal="left" indent="1"/>
    </xf>
    <xf numFmtId="0" fontId="52" fillId="0" borderId="40" xfId="0" applyFont="1" applyFill="1" applyBorder="1" applyAlignment="1">
      <alignment vertical="center" wrapText="1"/>
    </xf>
    <xf numFmtId="3" fontId="52" fillId="0" borderId="40" xfId="0" applyNumberFormat="1" applyFont="1" applyFill="1" applyBorder="1" applyAlignment="1">
      <alignment horizontal="center" vertical="center" wrapText="1"/>
    </xf>
    <xf numFmtId="0" fontId="51" fillId="0" borderId="0" xfId="0" applyFont="1" applyFill="1" applyBorder="1" applyAlignment="1">
      <alignment horizontal="left" vertical="center" wrapText="1" indent="1"/>
    </xf>
    <xf numFmtId="0" fontId="48" fillId="0" borderId="0" xfId="0" applyFont="1" applyFill="1" applyBorder="1" applyAlignment="1">
      <alignment horizontal="left" vertical="center" wrapText="1" indent="1"/>
    </xf>
    <xf numFmtId="0" fontId="139" fillId="0" borderId="0" xfId="0" applyFont="1" applyAlignment="1">
      <alignment horizontal="left" vertical="center"/>
    </xf>
    <xf numFmtId="0" fontId="49" fillId="0" borderId="4" xfId="0" applyFont="1" applyBorder="1" applyAlignment="1">
      <alignment horizontal="center" vertical="center"/>
    </xf>
    <xf numFmtId="0" fontId="76" fillId="0" borderId="0" xfId="0" applyFont="1" applyFill="1" applyBorder="1" applyAlignment="1">
      <alignment vertical="center" wrapText="1"/>
    </xf>
    <xf numFmtId="0" fontId="133" fillId="0" borderId="40" xfId="0" applyFont="1" applyBorder="1"/>
    <xf numFmtId="0" fontId="52" fillId="0" borderId="4" xfId="0" applyFont="1" applyBorder="1"/>
    <xf numFmtId="0" fontId="141" fillId="0" borderId="5" xfId="0" applyFont="1" applyBorder="1" applyAlignment="1">
      <alignment horizontal="center" vertical="center"/>
    </xf>
    <xf numFmtId="0" fontId="142" fillId="0" borderId="6" xfId="0" applyFont="1" applyBorder="1" applyAlignment="1">
      <alignment horizontal="center" vertical="center"/>
    </xf>
    <xf numFmtId="0" fontId="144" fillId="0" borderId="6" xfId="0" applyFont="1" applyBorder="1" applyAlignment="1">
      <alignment horizontal="center" vertical="center"/>
    </xf>
    <xf numFmtId="0" fontId="144" fillId="0" borderId="42" xfId="0" applyFont="1" applyBorder="1" applyAlignment="1">
      <alignment horizontal="center" vertical="center"/>
    </xf>
    <xf numFmtId="0" fontId="146" fillId="0" borderId="6" xfId="0" applyFont="1" applyBorder="1" applyAlignment="1">
      <alignment horizontal="center" vertical="center"/>
    </xf>
    <xf numFmtId="0" fontId="146" fillId="0" borderId="42" xfId="0" applyFont="1" applyBorder="1" applyAlignment="1">
      <alignment horizontal="center" vertical="center"/>
    </xf>
    <xf numFmtId="0" fontId="142" fillId="0" borderId="42" xfId="0" applyFont="1" applyBorder="1" applyAlignment="1">
      <alignment horizontal="center" vertical="center"/>
    </xf>
    <xf numFmtId="0" fontId="52" fillId="0" borderId="4" xfId="0" applyFont="1" applyFill="1" applyBorder="1"/>
    <xf numFmtId="0" fontId="0" fillId="0" borderId="40" xfId="0" applyBorder="1"/>
    <xf numFmtId="0" fontId="135" fillId="0" borderId="40" xfId="0" applyFont="1" applyFill="1" applyBorder="1" applyAlignment="1">
      <alignment vertical="center"/>
    </xf>
    <xf numFmtId="0" fontId="13" fillId="0" borderId="40" xfId="0" applyFont="1" applyBorder="1"/>
    <xf numFmtId="0" fontId="13" fillId="0" borderId="0" xfId="0" applyFont="1" applyAlignment="1">
      <alignment horizontal="center"/>
    </xf>
    <xf numFmtId="0" fontId="53" fillId="0" borderId="0" xfId="1494" applyFont="1" applyFill="1"/>
    <xf numFmtId="0" fontId="152" fillId="0" borderId="0" xfId="0" applyFont="1" applyFill="1"/>
    <xf numFmtId="0" fontId="54" fillId="0" borderId="0" xfId="0" applyFont="1" applyAlignment="1">
      <alignment horizontal="right"/>
    </xf>
    <xf numFmtId="0" fontId="75" fillId="0" borderId="13" xfId="0" applyFont="1" applyBorder="1" applyAlignment="1">
      <alignment vertical="top"/>
    </xf>
    <xf numFmtId="0" fontId="55" fillId="0" borderId="40" xfId="0" applyFont="1" applyFill="1" applyBorder="1" applyAlignment="1">
      <alignment vertical="center"/>
    </xf>
    <xf numFmtId="0" fontId="51" fillId="0" borderId="4" xfId="0" applyFont="1" applyFill="1" applyBorder="1"/>
    <xf numFmtId="0" fontId="49" fillId="0" borderId="4" xfId="0" applyFont="1" applyBorder="1" applyAlignment="1">
      <alignment horizontal="center" vertical="center"/>
    </xf>
    <xf numFmtId="0" fontId="76" fillId="0" borderId="0" xfId="0" applyFont="1" applyAlignment="1">
      <alignment vertical="center"/>
    </xf>
    <xf numFmtId="0" fontId="55" fillId="0" borderId="0" xfId="0" applyFont="1" applyAlignment="1">
      <alignment vertical="top" wrapText="1"/>
    </xf>
    <xf numFmtId="166" fontId="52" fillId="0" borderId="0" xfId="0" applyNumberFormat="1" applyFont="1" applyAlignment="1">
      <alignment horizontal="center"/>
    </xf>
    <xf numFmtId="0" fontId="52" fillId="0" borderId="40" xfId="0" applyFont="1" applyBorder="1"/>
    <xf numFmtId="0" fontId="48" fillId="0" borderId="40" xfId="0" applyFont="1" applyBorder="1" applyAlignment="1">
      <alignment vertical="center" wrapText="1"/>
    </xf>
    <xf numFmtId="0" fontId="49" fillId="0" borderId="40" xfId="0" applyFont="1" applyBorder="1" applyAlignment="1">
      <alignment vertical="center" wrapText="1"/>
    </xf>
    <xf numFmtId="3" fontId="48" fillId="0" borderId="0" xfId="0" applyNumberFormat="1" applyFont="1" applyAlignment="1">
      <alignment horizontal="center" vertical="center"/>
    </xf>
    <xf numFmtId="3" fontId="48" fillId="0" borderId="0" xfId="0" applyNumberFormat="1" applyFont="1" applyBorder="1" applyAlignment="1">
      <alignment horizontal="center" vertical="center"/>
    </xf>
    <xf numFmtId="3" fontId="49" fillId="0" borderId="40" xfId="0" applyNumberFormat="1" applyFont="1" applyBorder="1" applyAlignment="1">
      <alignment horizontal="center" vertical="center"/>
    </xf>
    <xf numFmtId="0" fontId="48" fillId="0" borderId="0" xfId="0" applyFont="1" applyFill="1" applyAlignment="1">
      <alignment vertical="center" wrapText="1"/>
    </xf>
    <xf numFmtId="0" fontId="48" fillId="0" borderId="40" xfId="0" applyFont="1" applyFill="1" applyBorder="1" applyAlignment="1">
      <alignment vertical="center" wrapText="1"/>
    </xf>
    <xf numFmtId="0" fontId="90" fillId="0" borderId="40" xfId="0" applyFont="1" applyBorder="1"/>
    <xf numFmtId="0" fontId="89" fillId="0" borderId="40" xfId="0" applyFont="1" applyBorder="1"/>
    <xf numFmtId="0" fontId="1" fillId="0" borderId="0" xfId="0" applyFont="1" applyAlignment="1">
      <alignment vertical="center"/>
    </xf>
    <xf numFmtId="0" fontId="0" fillId="0" borderId="0" xfId="0" applyFill="1"/>
    <xf numFmtId="0" fontId="85" fillId="0" borderId="0" xfId="1494" applyFont="1" applyFill="1"/>
    <xf numFmtId="0" fontId="134" fillId="0" borderId="3" xfId="0" applyFont="1" applyBorder="1" applyAlignment="1">
      <alignment horizontal="left" vertical="center" wrapText="1"/>
    </xf>
    <xf numFmtId="0" fontId="49" fillId="0" borderId="0" xfId="0" applyFont="1" applyBorder="1" applyAlignment="1">
      <alignment vertical="center" wrapText="1"/>
    </xf>
    <xf numFmtId="0" fontId="49" fillId="0" borderId="0" xfId="0" applyFont="1" applyBorder="1" applyAlignment="1">
      <alignment horizontal="center" vertical="center"/>
    </xf>
    <xf numFmtId="0" fontId="49" fillId="0" borderId="0" xfId="0" applyFont="1" applyFill="1" applyBorder="1" applyAlignment="1">
      <alignment horizontal="center" vertical="center"/>
    </xf>
    <xf numFmtId="0" fontId="134" fillId="0" borderId="0" xfId="0" applyFont="1" applyBorder="1" applyAlignment="1">
      <alignment horizontal="left" vertical="center" wrapText="1"/>
    </xf>
    <xf numFmtId="0" fontId="134" fillId="0" borderId="0" xfId="0" applyFont="1" applyBorder="1" applyAlignment="1">
      <alignment horizontal="right" vertical="top"/>
    </xf>
    <xf numFmtId="0" fontId="134" fillId="0" borderId="3" xfId="0" applyFont="1" applyBorder="1" applyAlignment="1">
      <alignment horizontal="right" vertical="top" wrapText="1"/>
    </xf>
    <xf numFmtId="166" fontId="148" fillId="0" borderId="0" xfId="2" applyNumberFormat="1" applyFont="1"/>
    <xf numFmtId="0" fontId="50" fillId="0" borderId="40" xfId="0" applyFont="1" applyFill="1" applyBorder="1" applyAlignment="1">
      <alignment horizontal="left"/>
    </xf>
    <xf numFmtId="0" fontId="134" fillId="0" borderId="3" xfId="0" applyFont="1" applyFill="1" applyBorder="1" applyAlignment="1">
      <alignment horizontal="right" vertical="top" wrapText="1"/>
    </xf>
    <xf numFmtId="0" fontId="134" fillId="0" borderId="0" xfId="0" applyFont="1" applyFill="1" applyBorder="1" applyAlignment="1">
      <alignment horizontal="right" vertical="top"/>
    </xf>
    <xf numFmtId="1" fontId="48" fillId="0" borderId="0" xfId="0" applyNumberFormat="1" applyFont="1" applyAlignment="1">
      <alignment horizontal="center" vertical="center"/>
    </xf>
    <xf numFmtId="1" fontId="48" fillId="0" borderId="40" xfId="0" applyNumberFormat="1" applyFont="1" applyBorder="1" applyAlignment="1">
      <alignment horizontal="center" vertical="center"/>
    </xf>
    <xf numFmtId="1" fontId="49" fillId="0" borderId="40" xfId="0" applyNumberFormat="1" applyFont="1" applyFill="1" applyBorder="1" applyAlignment="1">
      <alignment horizontal="center" vertical="center"/>
    </xf>
    <xf numFmtId="1" fontId="51" fillId="0" borderId="0" xfId="0" applyNumberFormat="1" applyFont="1" applyBorder="1"/>
    <xf numFmtId="3" fontId="49" fillId="0" borderId="40" xfId="0" applyNumberFormat="1" applyFont="1" applyFill="1" applyBorder="1" applyAlignment="1">
      <alignment horizontal="center" vertical="center"/>
    </xf>
    <xf numFmtId="1" fontId="51" fillId="0" borderId="0" xfId="0" applyNumberFormat="1" applyFont="1" applyFill="1"/>
    <xf numFmtId="1" fontId="12" fillId="0" borderId="0" xfId="0" applyNumberFormat="1" applyFont="1"/>
    <xf numFmtId="0" fontId="12" fillId="0" borderId="40" xfId="0" applyFont="1" applyBorder="1"/>
    <xf numFmtId="1" fontId="12" fillId="0" borderId="40" xfId="0" applyNumberFormat="1" applyFont="1" applyBorder="1"/>
    <xf numFmtId="0" fontId="73" fillId="0" borderId="40" xfId="51" applyFont="1" applyBorder="1" applyAlignment="1"/>
    <xf numFmtId="0" fontId="73" fillId="0" borderId="40" xfId="51" applyFont="1" applyBorder="1" applyAlignment="1">
      <alignment horizontal="left"/>
    </xf>
    <xf numFmtId="0" fontId="51" fillId="0" borderId="40" xfId="51" applyFont="1" applyBorder="1"/>
    <xf numFmtId="0" fontId="150" fillId="0" borderId="40" xfId="2" applyFont="1" applyBorder="1"/>
    <xf numFmtId="166" fontId="33" fillId="0" borderId="40" xfId="2" applyNumberFormat="1" applyFont="1" applyBorder="1"/>
    <xf numFmtId="0" fontId="53" fillId="0" borderId="43" xfId="0" applyFont="1" applyFill="1" applyBorder="1" applyAlignment="1">
      <alignment horizontal="left" vertical="center" wrapText="1"/>
    </xf>
    <xf numFmtId="0" fontId="53" fillId="0" borderId="43" xfId="0" applyFont="1" applyFill="1" applyBorder="1" applyAlignment="1">
      <alignment horizontal="center" vertical="center"/>
    </xf>
    <xf numFmtId="0" fontId="53" fillId="0" borderId="1" xfId="0" applyFont="1" applyFill="1" applyBorder="1" applyAlignment="1">
      <alignment horizontal="center" vertical="center"/>
    </xf>
    <xf numFmtId="0" fontId="50" fillId="0" borderId="0" xfId="0" applyFont="1" applyBorder="1" applyAlignment="1">
      <alignment horizontal="left" vertical="center" wrapText="1"/>
    </xf>
    <xf numFmtId="167" fontId="50" fillId="0" borderId="0" xfId="0" applyNumberFormat="1" applyFont="1" applyFill="1" applyBorder="1" applyAlignment="1">
      <alignment horizontal="center" vertical="center" wrapText="1"/>
    </xf>
    <xf numFmtId="0" fontId="50" fillId="0" borderId="40" xfId="0" applyFont="1" applyBorder="1" applyAlignment="1">
      <alignment horizontal="left" vertical="center" wrapText="1"/>
    </xf>
    <xf numFmtId="167" fontId="50" fillId="0" borderId="40" xfId="0" applyNumberFormat="1" applyFont="1" applyFill="1" applyBorder="1" applyAlignment="1">
      <alignment horizontal="center" vertical="center" wrapText="1"/>
    </xf>
    <xf numFmtId="0" fontId="0" fillId="0" borderId="44" xfId="0" applyBorder="1"/>
    <xf numFmtId="0" fontId="0" fillId="0" borderId="0" xfId="0" applyBorder="1"/>
    <xf numFmtId="0" fontId="52" fillId="0" borderId="0" xfId="0" applyFont="1" applyBorder="1"/>
    <xf numFmtId="0" fontId="50" fillId="0" borderId="44" xfId="0" applyFont="1" applyBorder="1"/>
    <xf numFmtId="1" fontId="50" fillId="0" borderId="44" xfId="0" applyNumberFormat="1" applyFont="1" applyBorder="1"/>
    <xf numFmtId="166" fontId="50" fillId="0" borderId="44" xfId="0" applyNumberFormat="1" applyFont="1" applyBorder="1"/>
    <xf numFmtId="0" fontId="51" fillId="0" borderId="21" xfId="0" applyFont="1" applyBorder="1"/>
    <xf numFmtId="0" fontId="50" fillId="0" borderId="40" xfId="0" applyFont="1" applyBorder="1"/>
    <xf numFmtId="166" fontId="50" fillId="0" borderId="40" xfId="0" applyNumberFormat="1" applyFont="1" applyBorder="1"/>
    <xf numFmtId="0" fontId="50" fillId="0" borderId="0" xfId="0" applyFont="1"/>
    <xf numFmtId="166" fontId="50" fillId="0" borderId="0" xfId="0" applyNumberFormat="1" applyFont="1"/>
    <xf numFmtId="0" fontId="153" fillId="0" borderId="1" xfId="0" applyFont="1" applyBorder="1"/>
    <xf numFmtId="0" fontId="0" fillId="0" borderId="1" xfId="0" applyBorder="1"/>
    <xf numFmtId="0" fontId="85" fillId="0" borderId="40" xfId="1494" applyFont="1" applyBorder="1"/>
    <xf numFmtId="0" fontId="70" fillId="0" borderId="1" xfId="0" applyFont="1" applyBorder="1"/>
    <xf numFmtId="0" fontId="53" fillId="0" borderId="43" xfId="0" applyFont="1" applyFill="1" applyBorder="1" applyAlignment="1">
      <alignment horizontal="right" vertical="center" wrapText="1"/>
    </xf>
    <xf numFmtId="0" fontId="50" fillId="0" borderId="44" xfId="1494" applyFont="1" applyFill="1" applyBorder="1"/>
    <xf numFmtId="166" fontId="51" fillId="0" borderId="44" xfId="1494" applyNumberFormat="1" applyFont="1" applyBorder="1"/>
    <xf numFmtId="0" fontId="50" fillId="0" borderId="0" xfId="1494" applyFont="1" applyFill="1" applyBorder="1"/>
    <xf numFmtId="166" fontId="51" fillId="0" borderId="0" xfId="1494" applyNumberFormat="1" applyFont="1" applyBorder="1"/>
    <xf numFmtId="0" fontId="50" fillId="0" borderId="40" xfId="1494" applyFont="1" applyBorder="1"/>
    <xf numFmtId="166" fontId="51" fillId="0" borderId="40" xfId="1494" applyNumberFormat="1" applyFont="1" applyBorder="1"/>
    <xf numFmtId="0" fontId="51" fillId="0" borderId="40" xfId="1494" applyFont="1" applyBorder="1"/>
    <xf numFmtId="0" fontId="51" fillId="0" borderId="44" xfId="1494" applyFont="1" applyBorder="1"/>
    <xf numFmtId="3" fontId="51" fillId="0" borderId="44" xfId="1494" applyNumberFormat="1" applyFont="1" applyBorder="1"/>
    <xf numFmtId="0" fontId="51" fillId="0" borderId="0" xfId="1494" applyFont="1" applyBorder="1"/>
    <xf numFmtId="3" fontId="51" fillId="0" borderId="0" xfId="1494" applyNumberFormat="1" applyFont="1" applyBorder="1"/>
    <xf numFmtId="3" fontId="51" fillId="0" borderId="40" xfId="1494" applyNumberFormat="1" applyFont="1" applyBorder="1"/>
    <xf numFmtId="0" fontId="51" fillId="0" borderId="44" xfId="0" applyFont="1" applyBorder="1"/>
    <xf numFmtId="166" fontId="51" fillId="0" borderId="44" xfId="0" applyNumberFormat="1" applyFont="1" applyBorder="1"/>
    <xf numFmtId="166" fontId="51" fillId="0" borderId="0" xfId="0" applyNumberFormat="1" applyFont="1" applyBorder="1"/>
    <xf numFmtId="1" fontId="51" fillId="0" borderId="40" xfId="0" applyNumberFormat="1" applyFont="1" applyBorder="1"/>
    <xf numFmtId="0" fontId="53" fillId="0" borderId="44" xfId="0" applyFont="1" applyBorder="1"/>
    <xf numFmtId="167" fontId="53" fillId="0" borderId="44" xfId="0" applyNumberFormat="1" applyFont="1" applyBorder="1" applyAlignment="1">
      <alignment horizontal="center"/>
    </xf>
    <xf numFmtId="0" fontId="52" fillId="0" borderId="44" xfId="0" applyFont="1" applyBorder="1"/>
    <xf numFmtId="0" fontId="53" fillId="0" borderId="0" xfId="0" applyFont="1" applyBorder="1"/>
    <xf numFmtId="0" fontId="137" fillId="0" borderId="0" xfId="0" applyFont="1" applyBorder="1"/>
    <xf numFmtId="167" fontId="50" fillId="0" borderId="0" xfId="0" applyNumberFormat="1" applyFont="1" applyFill="1" applyBorder="1" applyAlignment="1">
      <alignment horizontal="center"/>
    </xf>
    <xf numFmtId="167" fontId="50" fillId="0" borderId="0" xfId="0" applyNumberFormat="1" applyFont="1" applyBorder="1" applyAlignment="1">
      <alignment horizontal="center"/>
    </xf>
    <xf numFmtId="0" fontId="50" fillId="0" borderId="40" xfId="0" applyFont="1" applyBorder="1" applyAlignment="1">
      <alignment horizontal="left" indent="1"/>
    </xf>
    <xf numFmtId="167" fontId="50" fillId="0" borderId="40" xfId="0" applyNumberFormat="1" applyFont="1" applyFill="1" applyBorder="1" applyAlignment="1">
      <alignment horizontal="center"/>
    </xf>
    <xf numFmtId="166" fontId="51" fillId="0" borderId="40" xfId="0" applyNumberFormat="1" applyFont="1" applyBorder="1"/>
    <xf numFmtId="0" fontId="51" fillId="0" borderId="44" xfId="0" applyFont="1" applyFill="1" applyBorder="1"/>
    <xf numFmtId="0" fontId="52" fillId="0" borderId="40" xfId="0" applyFont="1" applyFill="1" applyBorder="1"/>
    <xf numFmtId="166" fontId="51" fillId="0" borderId="40" xfId="0" applyNumberFormat="1" applyFont="1" applyFill="1" applyBorder="1"/>
    <xf numFmtId="166" fontId="51" fillId="0" borderId="44" xfId="0" applyNumberFormat="1" applyFont="1" applyBorder="1" applyAlignment="1">
      <alignment horizontal="center"/>
    </xf>
    <xf numFmtId="166" fontId="51" fillId="0" borderId="0" xfId="0" applyNumberFormat="1" applyFont="1" applyBorder="1" applyAlignment="1">
      <alignment horizontal="center"/>
    </xf>
    <xf numFmtId="0" fontId="112" fillId="0" borderId="40" xfId="0" applyFont="1" applyBorder="1"/>
    <xf numFmtId="166" fontId="52" fillId="0" borderId="40" xfId="0" applyNumberFormat="1" applyFont="1" applyBorder="1" applyAlignment="1">
      <alignment horizontal="center"/>
    </xf>
    <xf numFmtId="0" fontId="55" fillId="0" borderId="0" xfId="0" applyFont="1" applyAlignment="1">
      <alignment vertical="top"/>
    </xf>
    <xf numFmtId="0" fontId="49" fillId="0" borderId="4" xfId="0" applyFont="1" applyBorder="1" applyAlignment="1">
      <alignment horizontal="left" vertical="center"/>
    </xf>
    <xf numFmtId="0" fontId="80" fillId="9" borderId="9" xfId="69" applyFont="1" applyFill="1" applyBorder="1" applyAlignment="1">
      <alignment horizontal="center" vertical="center"/>
    </xf>
    <xf numFmtId="0" fontId="80" fillId="9" borderId="10" xfId="69" applyFont="1" applyFill="1" applyBorder="1" applyAlignment="1">
      <alignment horizontal="center" vertical="center"/>
    </xf>
    <xf numFmtId="0" fontId="76" fillId="0" borderId="40" xfId="0" applyFont="1" applyBorder="1" applyAlignment="1">
      <alignment vertical="center"/>
    </xf>
    <xf numFmtId="0" fontId="76" fillId="0" borderId="40" xfId="0" applyFont="1" applyBorder="1" applyAlignment="1">
      <alignment vertical="center" wrapText="1"/>
    </xf>
    <xf numFmtId="166" fontId="55" fillId="0" borderId="0" xfId="0" applyNumberFormat="1" applyFont="1" applyBorder="1" applyAlignment="1">
      <alignment horizontal="center" vertical="center"/>
    </xf>
    <xf numFmtId="0" fontId="76" fillId="0" borderId="0" xfId="0" applyFont="1" applyBorder="1" applyAlignment="1">
      <alignment vertical="center"/>
    </xf>
    <xf numFmtId="0" fontId="140" fillId="0" borderId="0" xfId="0" applyFont="1" applyAlignment="1">
      <alignment horizontal="left" vertical="center" wrapText="1"/>
    </xf>
    <xf numFmtId="0" fontId="134" fillId="0" borderId="0" xfId="0" applyFont="1" applyAlignment="1">
      <alignment horizontal="left" vertical="center" wrapText="1"/>
    </xf>
    <xf numFmtId="0" fontId="75" fillId="0" borderId="0" xfId="0" applyFont="1" applyAlignment="1">
      <alignment horizontal="left"/>
    </xf>
    <xf numFmtId="0" fontId="76" fillId="0" borderId="1" xfId="0" applyFont="1" applyBorder="1" applyAlignment="1">
      <alignment vertical="center" wrapText="1"/>
    </xf>
    <xf numFmtId="0" fontId="76" fillId="0" borderId="0" xfId="0" applyFont="1" applyBorder="1" applyAlignment="1">
      <alignment vertical="center" wrapText="1"/>
    </xf>
    <xf numFmtId="0" fontId="134" fillId="0" borderId="3" xfId="0" applyFont="1" applyBorder="1" applyAlignment="1">
      <alignment horizontal="left" vertical="center" wrapText="1"/>
    </xf>
    <xf numFmtId="0" fontId="139" fillId="0" borderId="0" xfId="0" applyFont="1" applyAlignment="1">
      <alignment horizontal="left" vertical="center"/>
    </xf>
    <xf numFmtId="0" fontId="76" fillId="0" borderId="0" xfId="0" applyFont="1" applyFill="1" applyBorder="1" applyAlignment="1">
      <alignment vertical="center" wrapText="1"/>
    </xf>
    <xf numFmtId="0" fontId="75" fillId="0" borderId="13" xfId="0" applyFont="1" applyBorder="1" applyAlignment="1">
      <alignment vertical="center" wrapText="1"/>
    </xf>
    <xf numFmtId="0" fontId="75" fillId="0" borderId="0" xfId="0" applyFont="1" applyBorder="1" applyAlignment="1">
      <alignment vertical="center" wrapText="1"/>
    </xf>
    <xf numFmtId="0" fontId="55" fillId="0" borderId="0" xfId="0" applyFont="1" applyAlignment="1">
      <alignment vertical="center" wrapText="1"/>
    </xf>
    <xf numFmtId="0" fontId="76" fillId="0" borderId="0" xfId="0" applyFont="1" applyAlignment="1">
      <alignment horizontal="left" vertical="center"/>
    </xf>
    <xf numFmtId="0" fontId="75" fillId="0" borderId="0" xfId="0" applyFont="1" applyBorder="1" applyAlignment="1">
      <alignment horizontal="left" vertical="top" wrapText="1"/>
    </xf>
    <xf numFmtId="0" fontId="76" fillId="0" borderId="0" xfId="0" applyFont="1" applyAlignment="1">
      <alignment vertical="center"/>
    </xf>
  </cellXfs>
  <cellStyles count="1496">
    <cellStyle name="_x000a_386grabber=S" xfId="131"/>
    <cellStyle name="_x000a_386grabber=S 10" xfId="1203"/>
    <cellStyle name="_x000a_386grabber=S 2" xfId="140"/>
    <cellStyle name="_x000a_386grabber=S 2 2" xfId="181"/>
    <cellStyle name="_x000a_386grabber=S 3" xfId="174"/>
    <cellStyle name="_x000a_386grabber=S 4" xfId="320"/>
    <cellStyle name="_x000a_386grabber=S 5" xfId="358"/>
    <cellStyle name="_x000a_386grabber=S 6" xfId="332"/>
    <cellStyle name="_x000a_386grabber=S 7" xfId="780"/>
    <cellStyle name="_x000a_386grabber=S 8" xfId="786"/>
    <cellStyle name="_x000a_386grabber=S 9" xfId="1205"/>
    <cellStyle name="=D:\WINNT\SYSTEM32\COMMAND.COM" xfId="132"/>
    <cellStyle name="=D:\WINNT\SYSTEM32\COMMAND.COM 10" xfId="1210"/>
    <cellStyle name="=D:\WINNT\SYSTEM32\COMMAND.COM 11" xfId="1490"/>
    <cellStyle name="=D:\WINNT\SYSTEM32\COMMAND.COM 2" xfId="139"/>
    <cellStyle name="=D:\WINNT\SYSTEM32\COMMAND.COM 2 2" xfId="180"/>
    <cellStyle name="=D:\WINNT\SYSTEM32\COMMAND.COM 3" xfId="175"/>
    <cellStyle name="=D:\WINNT\SYSTEM32\COMMAND.COM 4" xfId="321"/>
    <cellStyle name="=D:\WINNT\SYSTEM32\COMMAND.COM 5" xfId="344"/>
    <cellStyle name="=D:\WINNT\SYSTEM32\COMMAND.COM 6" xfId="319"/>
    <cellStyle name="=D:\WINNT\SYSTEM32\COMMAND.COM 7" xfId="781"/>
    <cellStyle name="=D:\WINNT\SYSTEM32\COMMAND.COM 8" xfId="779"/>
    <cellStyle name="=D:\WINNT\SYSTEM32\COMMAND.COM 9" xfId="1206"/>
    <cellStyle name="20 % - zvýraznenie1" xfId="92" builtinId="30" customBuiltin="1"/>
    <cellStyle name="20 % - zvýraznenie1 2" xfId="1292"/>
    <cellStyle name="20 % - zvýraznenie2" xfId="96" builtinId="34" customBuiltin="1"/>
    <cellStyle name="20 % - zvýraznenie2 2" xfId="1296"/>
    <cellStyle name="20 % - zvýraznenie3" xfId="100" builtinId="38" customBuiltin="1"/>
    <cellStyle name="20 % - zvýraznenie3 2" xfId="1300"/>
    <cellStyle name="20 % - zvýraznenie4" xfId="104" builtinId="42" customBuiltin="1"/>
    <cellStyle name="20 % - zvýraznenie4 2" xfId="1304"/>
    <cellStyle name="20 % - zvýraznenie5" xfId="108" builtinId="46" customBuiltin="1"/>
    <cellStyle name="20 % - zvýraznenie5 2" xfId="1308"/>
    <cellStyle name="20 % - zvýraznenie6" xfId="112" builtinId="50" customBuiltin="1"/>
    <cellStyle name="20 % - zvýraznenie6 2" xfId="1312"/>
    <cellStyle name="20% - Accent1" xfId="1406"/>
    <cellStyle name="20% - Accent2" xfId="1370"/>
    <cellStyle name="20% - Accent3" xfId="1355"/>
    <cellStyle name="20% - Accent4" xfId="1393"/>
    <cellStyle name="20% - Accent5" xfId="1379"/>
    <cellStyle name="20% - Accent6" xfId="1480"/>
    <cellStyle name="40 % - zvýraznenie1" xfId="93" builtinId="31" customBuiltin="1"/>
    <cellStyle name="40 % - zvýraznenie1 2" xfId="1293"/>
    <cellStyle name="40 % - zvýraznenie2" xfId="97" builtinId="35" customBuiltin="1"/>
    <cellStyle name="40 % - zvýraznenie2 2" xfId="1297"/>
    <cellStyle name="40 % - zvýraznenie3" xfId="101" builtinId="39" customBuiltin="1"/>
    <cellStyle name="40 % - zvýraznenie3 2" xfId="1301"/>
    <cellStyle name="40 % - zvýraznenie4" xfId="105" builtinId="43" customBuiltin="1"/>
    <cellStyle name="40 % - zvýraznenie4 2" xfId="1305"/>
    <cellStyle name="40 % - zvýraznenie5" xfId="109" builtinId="47" customBuiltin="1"/>
    <cellStyle name="40 % - zvýraznenie5 2" xfId="1309"/>
    <cellStyle name="40 % - zvýraznenie6" xfId="113" builtinId="51" customBuiltin="1"/>
    <cellStyle name="40 % - zvýraznenie6 2" xfId="1313"/>
    <cellStyle name="40% - Accent1" xfId="1359"/>
    <cellStyle name="40% - Accent2" xfId="1375"/>
    <cellStyle name="40% - Accent3" xfId="1363"/>
    <cellStyle name="40% - Accent4" xfId="1369"/>
    <cellStyle name="40% - Accent5" xfId="1339"/>
    <cellStyle name="40% - Accent6" xfId="1373"/>
    <cellStyle name="60 % - zvýraznenie1" xfId="94" builtinId="32" customBuiltin="1"/>
    <cellStyle name="60 % - zvýraznenie1 2" xfId="1294"/>
    <cellStyle name="60 % - zvýraznenie2" xfId="98" builtinId="36" customBuiltin="1"/>
    <cellStyle name="60 % - zvýraznenie2 2" xfId="1298"/>
    <cellStyle name="60 % - zvýraznenie3" xfId="102" builtinId="40" customBuiltin="1"/>
    <cellStyle name="60 % - zvýraznenie3 2" xfId="1302"/>
    <cellStyle name="60 % - zvýraznenie4" xfId="106" builtinId="44" customBuiltin="1"/>
    <cellStyle name="60 % - zvýraznenie4 2" xfId="1306"/>
    <cellStyle name="60 % - zvýraznenie5" xfId="110" builtinId="48" customBuiltin="1"/>
    <cellStyle name="60 % - zvýraznenie5 2" xfId="1310"/>
    <cellStyle name="60 % - zvýraznenie6" xfId="114" builtinId="52" customBuiltin="1"/>
    <cellStyle name="60 % - zvýraznenie6 2" xfId="1314"/>
    <cellStyle name="60% - Accent1" xfId="1403"/>
    <cellStyle name="60% - Accent2" xfId="1383"/>
    <cellStyle name="60% - Accent3" xfId="1340"/>
    <cellStyle name="60% - Accent4" xfId="1479"/>
    <cellStyle name="60% - Accent5" xfId="1338"/>
    <cellStyle name="60% - Accent6" xfId="1402"/>
    <cellStyle name="Accent1" xfId="1377"/>
    <cellStyle name="Accent2" xfId="1396"/>
    <cellStyle name="Accent3" xfId="1356"/>
    <cellStyle name="Accent4" xfId="1354"/>
    <cellStyle name="Accent5" xfId="41"/>
    <cellStyle name="Accent5 2" xfId="1382"/>
    <cellStyle name="Accent6" xfId="42"/>
    <cellStyle name="Accent6 2" xfId="1391"/>
    <cellStyle name="Bad" xfId="1401"/>
    <cellStyle name="Calculation" xfId="1378"/>
    <cellStyle name="Čiarka" xfId="8" builtinId="3"/>
    <cellStyle name="Čiarka 2" xfId="16"/>
    <cellStyle name="Čiarka 2 2" xfId="36"/>
    <cellStyle name="Čiarka 2 2 2" xfId="61"/>
    <cellStyle name="Čiarka 2 3" xfId="128"/>
    <cellStyle name="Čiarka 3" xfId="28"/>
    <cellStyle name="Čiarka 3 2" xfId="29"/>
    <cellStyle name="Čiarka 3 3" xfId="1409"/>
    <cellStyle name="Čiarka 4" xfId="33"/>
    <cellStyle name="Čiarka 5" xfId="63"/>
    <cellStyle name="Čiarka 6" xfId="74"/>
    <cellStyle name="čiarky 2" xfId="150"/>
    <cellStyle name="čiarky 2 10" xfId="1159"/>
    <cellStyle name="čiarky 2 11" xfId="1179"/>
    <cellStyle name="čiarky 2 2" xfId="188"/>
    <cellStyle name="čiarky 2 3" xfId="1113"/>
    <cellStyle name="čiarky 2 4" xfId="1180"/>
    <cellStyle name="čiarky 2 5" xfId="1143"/>
    <cellStyle name="čiarky 2 6" xfId="1169"/>
    <cellStyle name="čiarky 2 7" xfId="1125"/>
    <cellStyle name="čiarky 2 8" xfId="1155"/>
    <cellStyle name="čiarky 2 9" xfId="1135"/>
    <cellStyle name="čiarky 3" xfId="172"/>
    <cellStyle name="čiarky 4" xfId="199"/>
    <cellStyle name="čiarky 5" xfId="238"/>
    <cellStyle name="čiarky 6" xfId="1412"/>
    <cellStyle name="Date" xfId="771"/>
    <cellStyle name="Dobrá" xfId="80" builtinId="26" customBuiltin="1"/>
    <cellStyle name="Dobrá 2" xfId="1280"/>
    <cellStyle name="Excel Built-in Normal" xfId="10"/>
    <cellStyle name="Explanatory Text" xfId="1397"/>
    <cellStyle name="Good" xfId="1342"/>
    <cellStyle name="Heading 1" xfId="1374"/>
    <cellStyle name="Heading 2" xfId="1380"/>
    <cellStyle name="Heading 3" xfId="1372"/>
    <cellStyle name="Heading 4" xfId="1381"/>
    <cellStyle name="Hypertextové prepojenie" xfId="4" builtinId="8"/>
    <cellStyle name="Hypertextové prepojenie 2" xfId="43"/>
    <cellStyle name="Hypertextové prepojenie 2 2" xfId="137"/>
    <cellStyle name="Hypertextové prepojenie 3" xfId="48"/>
    <cellStyle name="Check Cell" xfId="1350"/>
    <cellStyle name="Input" xfId="1361"/>
    <cellStyle name="Kontrolná bunka" xfId="87" builtinId="23" customBuiltin="1"/>
    <cellStyle name="Kontrolná bunka 2" xfId="40"/>
    <cellStyle name="Kontrolná bunka 2 2" xfId="1287"/>
    <cellStyle name="Linked Cell" xfId="1365"/>
    <cellStyle name="Nadpis 1" xfId="76" builtinId="16" customBuiltin="1"/>
    <cellStyle name="Nadpis 1 2" xfId="38"/>
    <cellStyle name="Nadpis 1 2 2" xfId="1276"/>
    <cellStyle name="Nadpis 2" xfId="77" builtinId="17" customBuiltin="1"/>
    <cellStyle name="Nadpis 2 2" xfId="1277"/>
    <cellStyle name="Nadpis 3" xfId="78" builtinId="18" customBuiltin="1"/>
    <cellStyle name="Nadpis 3 2" xfId="1278"/>
    <cellStyle name="Nadpis 4" xfId="79" builtinId="19" customBuiltin="1"/>
    <cellStyle name="Nadpis 4 2" xfId="1279"/>
    <cellStyle name="Neutral" xfId="1405"/>
    <cellStyle name="Neutrálna" xfId="82" builtinId="28" customBuiltin="1"/>
    <cellStyle name="Neutrálna 2" xfId="1282"/>
    <cellStyle name="Normal 2" xfId="1"/>
    <cellStyle name="Normal 2 2" xfId="772"/>
    <cellStyle name="Normal 45" xfId="56"/>
    <cellStyle name="Normal 45 2" xfId="71"/>
    <cellStyle name="Normal_TAB2 2" xfId="57"/>
    <cellStyle name="Normálna" xfId="0" builtinId="0"/>
    <cellStyle name="Normálna 11" xfId="3"/>
    <cellStyle name="Normálna 2" xfId="44"/>
    <cellStyle name="Normálna 2 2" xfId="5"/>
    <cellStyle name="Normálna 2 2 2" xfId="118"/>
    <cellStyle name="Normálna 2 2 2 2" xfId="1492"/>
    <cellStyle name="Normálna 2 2 3" xfId="1491"/>
    <cellStyle name="Normálna 2 3" xfId="1351"/>
    <cellStyle name="Normálna 2 4" xfId="65"/>
    <cellStyle name="Normálna 2 5" xfId="127"/>
    <cellStyle name="Normálna 3" xfId="17"/>
    <cellStyle name="Normálna 3 2" xfId="70"/>
    <cellStyle name="Normálna 3 3" xfId="1333"/>
    <cellStyle name="Normálna 3 4" xfId="1488"/>
    <cellStyle name="Normálna 4" xfId="14"/>
    <cellStyle name="Normálna 4 2" xfId="46"/>
    <cellStyle name="Normálna 4 3" xfId="45"/>
    <cellStyle name="Normálna 4 4" xfId="1336"/>
    <cellStyle name="Normálna 4 5" xfId="1489"/>
    <cellStyle name="Normálna 5" xfId="1483"/>
    <cellStyle name="Normálna 5 2" xfId="1493"/>
    <cellStyle name="Normálna 6" xfId="6"/>
    <cellStyle name="Normálna 6 2" xfId="1487"/>
    <cellStyle name="Normálna 7" xfId="126"/>
    <cellStyle name="Normálna 8" xfId="1494"/>
    <cellStyle name="Normálne 10" xfId="55"/>
    <cellStyle name="normálne 10 2" xfId="69"/>
    <cellStyle name="normálne 10 2 2" xfId="1389"/>
    <cellStyle name="normálne 10 3" xfId="158"/>
    <cellStyle name="Normálne 11" xfId="66"/>
    <cellStyle name="normálne 11 10" xfId="1154"/>
    <cellStyle name="normálne 11 11" xfId="1141"/>
    <cellStyle name="normálne 11 12" xfId="809"/>
    <cellStyle name="normálne 11 12 2" xfId="1438"/>
    <cellStyle name="normálne 11 13" xfId="1204"/>
    <cellStyle name="normálne 11 13 2" xfId="1464"/>
    <cellStyle name="normálne 11 14" xfId="1221"/>
    <cellStyle name="normálne 11 14 2" xfId="1465"/>
    <cellStyle name="normálne 11 15" xfId="1228"/>
    <cellStyle name="normálne 11 15 2" xfId="1466"/>
    <cellStyle name="normálne 11 16" xfId="1235"/>
    <cellStyle name="normálne 11 16 2" xfId="1467"/>
    <cellStyle name="normálne 11 17" xfId="1242"/>
    <cellStyle name="normálne 11 17 2" xfId="1468"/>
    <cellStyle name="normálne 11 18" xfId="1249"/>
    <cellStyle name="normálne 11 18 2" xfId="1469"/>
    <cellStyle name="normálne 11 19" xfId="1255"/>
    <cellStyle name="normálne 11 19 2" xfId="1470"/>
    <cellStyle name="normálne 11 2" xfId="777"/>
    <cellStyle name="normálne 11 2 2" xfId="808"/>
    <cellStyle name="normálne 11 2 3" xfId="1045"/>
    <cellStyle name="normálne 11 2 4" xfId="1434"/>
    <cellStyle name="normálne 11 20" xfId="1261"/>
    <cellStyle name="normálne 11 20 2" xfId="1471"/>
    <cellStyle name="normálne 11 21" xfId="1267"/>
    <cellStyle name="normálne 11 21 2" xfId="1472"/>
    <cellStyle name="normálne 11 22" xfId="1273"/>
    <cellStyle name="normálne 11 22 2" xfId="1473"/>
    <cellStyle name="normálne 11 23" xfId="1345"/>
    <cellStyle name="normálne 11 24" xfId="171"/>
    <cellStyle name="Normálne 11 25" xfId="1495"/>
    <cellStyle name="normálne 11 3" xfId="1119"/>
    <cellStyle name="normálne 11 4" xfId="1126"/>
    <cellStyle name="normálne 11 5" xfId="1168"/>
    <cellStyle name="normálne 11 6" xfId="1149"/>
    <cellStyle name="normálne 11 7" xfId="1174"/>
    <cellStyle name="normálne 11 8" xfId="1111"/>
    <cellStyle name="normálne 11 9" xfId="1164"/>
    <cellStyle name="Normálne 12" xfId="73"/>
    <cellStyle name="normálne 12 2" xfId="1386"/>
    <cellStyle name="normálne 12 3" xfId="198"/>
    <cellStyle name="Normálne 13" xfId="115"/>
    <cellStyle name="normálne 13 2" xfId="274"/>
    <cellStyle name="normálne 13 2 2" xfId="453"/>
    <cellStyle name="normálne 13 2 3" xfId="590"/>
    <cellStyle name="normálne 13 2 4" xfId="730"/>
    <cellStyle name="normálne 13 2 5" xfId="896"/>
    <cellStyle name="normálne 13 2 6" xfId="999"/>
    <cellStyle name="normálne 13 3" xfId="378"/>
    <cellStyle name="normálne 13 4" xfId="517"/>
    <cellStyle name="normálne 13 5" xfId="659"/>
    <cellStyle name="normálne 13 6" xfId="823"/>
    <cellStyle name="normálne 13 7" xfId="1070"/>
    <cellStyle name="normálne 13 8" xfId="1376"/>
    <cellStyle name="normálne 13 9" xfId="197"/>
    <cellStyle name="Normálne 14" xfId="9"/>
    <cellStyle name="Normálne 14 2" xfId="11"/>
    <cellStyle name="Normálne 14 2 2" xfId="19"/>
    <cellStyle name="normálne 14 2 2 2" xfId="488"/>
    <cellStyle name="normálne 14 2 3" xfId="625"/>
    <cellStyle name="normálne 14 2 4" xfId="765"/>
    <cellStyle name="normálne 14 2 5" xfId="931"/>
    <cellStyle name="normálne 14 2 6" xfId="1049"/>
    <cellStyle name="normálne 14 2 7" xfId="309"/>
    <cellStyle name="Normálne 14 3" xfId="18"/>
    <cellStyle name="normálne 14 3 2" xfId="415"/>
    <cellStyle name="Normálne 14 4" xfId="119"/>
    <cellStyle name="normálne 14 4 2" xfId="553"/>
    <cellStyle name="Normálne 14 5" xfId="123"/>
    <cellStyle name="normálne 14 5 2" xfId="694"/>
    <cellStyle name="normálne 14 6" xfId="859"/>
    <cellStyle name="normálne 14 7" xfId="977"/>
    <cellStyle name="normálne 14 8" xfId="1366"/>
    <cellStyle name="normálne 14 9" xfId="235"/>
    <cellStyle name="Normálne 15" xfId="117"/>
    <cellStyle name="normálne 15 2" xfId="1343"/>
    <cellStyle name="normálne 15 3" xfId="237"/>
    <cellStyle name="Normálne 16" xfId="122"/>
    <cellStyle name="normálne 16 2" xfId="416"/>
    <cellStyle name="normálne 16 3" xfId="554"/>
    <cellStyle name="normálne 16 4" xfId="695"/>
    <cellStyle name="normálne 16 5" xfId="860"/>
    <cellStyle name="normálne 16 6" xfId="1099"/>
    <cellStyle name="normálne 16 7" xfId="1360"/>
    <cellStyle name="normálne 16 8" xfId="236"/>
    <cellStyle name="Normálne 17" xfId="124"/>
    <cellStyle name="normálne 17 2" xfId="489"/>
    <cellStyle name="normálne 17 3" xfId="626"/>
    <cellStyle name="normálne 17 4" xfId="766"/>
    <cellStyle name="normálne 17 5" xfId="932"/>
    <cellStyle name="normálne 17 6" xfId="1055"/>
    <cellStyle name="normálne 17 7" xfId="1367"/>
    <cellStyle name="normálne 17 8" xfId="310"/>
    <cellStyle name="normálne 18" xfId="311"/>
    <cellStyle name="normálne 18 2" xfId="1407"/>
    <cellStyle name="normálne 19" xfId="314"/>
    <cellStyle name="normálne 19 2" xfId="492"/>
    <cellStyle name="normálne 19 2 2" xfId="1425"/>
    <cellStyle name="normálne 19 3" xfId="629"/>
    <cellStyle name="normálne 19 3 2" xfId="1430"/>
    <cellStyle name="normálne 19 4" xfId="768"/>
    <cellStyle name="normálne 19 4 2" xfId="1432"/>
    <cellStyle name="normálne 19 5" xfId="935"/>
    <cellStyle name="normálne 19 5 2" xfId="1439"/>
    <cellStyle name="normálne 19 6" xfId="1032"/>
    <cellStyle name="normálne 19 6 2" xfId="1457"/>
    <cellStyle name="normálne 19 7" xfId="1416"/>
    <cellStyle name="normálne 19 8" xfId="1358"/>
    <cellStyle name="Normálne 2" xfId="2"/>
    <cellStyle name="normálne 2 10" xfId="1102"/>
    <cellStyle name="normálne 2 11" xfId="1112"/>
    <cellStyle name="normálne 2 12" xfId="1150"/>
    <cellStyle name="normálne 2 13" xfId="1162"/>
    <cellStyle name="normálne 2 14" xfId="1117"/>
    <cellStyle name="normálne 2 15" xfId="1152"/>
    <cellStyle name="normálne 2 16" xfId="1140"/>
    <cellStyle name="normálne 2 17" xfId="1103"/>
    <cellStyle name="normálne 2 18" xfId="1194"/>
    <cellStyle name="normálne 2 19" xfId="1207"/>
    <cellStyle name="Normálne 2 2" xfId="20"/>
    <cellStyle name="normálne 2 2 10" xfId="1175"/>
    <cellStyle name="normálne 2 2 11" xfId="1173"/>
    <cellStyle name="normálne 2 2 12" xfId="1161"/>
    <cellStyle name="normálne 2 2 13" xfId="1153"/>
    <cellStyle name="normálne 2 2 14" xfId="1130"/>
    <cellStyle name="normálne 2 2 15" xfId="941"/>
    <cellStyle name="normálne 2 2 16" xfId="138"/>
    <cellStyle name="normálne 2 2 2" xfId="178"/>
    <cellStyle name="normálne 2 2 3" xfId="325"/>
    <cellStyle name="normálne 2 2 4" xfId="373"/>
    <cellStyle name="normálne 2 2 5" xfId="501"/>
    <cellStyle name="normálne 2 2 6" xfId="785"/>
    <cellStyle name="normálne 2 2 6 2" xfId="1105"/>
    <cellStyle name="normálne 2 2 6 3" xfId="1197"/>
    <cellStyle name="normálne 2 2 7" xfId="1104"/>
    <cellStyle name="normálne 2 2 8" xfId="1115"/>
    <cellStyle name="normálne 2 2 9" xfId="1170"/>
    <cellStyle name="normálne 2 20" xfId="1213"/>
    <cellStyle name="normálne 2 21" xfId="1357"/>
    <cellStyle name="normálne 2 22" xfId="136"/>
    <cellStyle name="Normálne 2 3" xfId="34"/>
    <cellStyle name="normálne 2 3 2" xfId="144"/>
    <cellStyle name="Normálne 2 4" xfId="51"/>
    <cellStyle name="normálne 2 4 10" xfId="975"/>
    <cellStyle name="normálne 2 4 11" xfId="153"/>
    <cellStyle name="normálne 2 4 2" xfId="167"/>
    <cellStyle name="normálne 2 4 2 2" xfId="219"/>
    <cellStyle name="normálne 2 4 2 2 2" xfId="293"/>
    <cellStyle name="normálne 2 4 2 2 2 2" xfId="472"/>
    <cellStyle name="normálne 2 4 2 2 2 3" xfId="609"/>
    <cellStyle name="normálne 2 4 2 2 2 4" xfId="749"/>
    <cellStyle name="normálne 2 4 2 2 2 5" xfId="915"/>
    <cellStyle name="normálne 2 4 2 2 2 6" xfId="1063"/>
    <cellStyle name="normálne 2 4 2 2 3" xfId="399"/>
    <cellStyle name="normálne 2 4 2 2 4" xfId="537"/>
    <cellStyle name="normálne 2 4 2 2 5" xfId="678"/>
    <cellStyle name="normálne 2 4 2 2 6" xfId="843"/>
    <cellStyle name="normálne 2 4 2 2 7" xfId="1028"/>
    <cellStyle name="normálne 2 4 2 3" xfId="258"/>
    <cellStyle name="normálne 2 4 2 3 2" xfId="437"/>
    <cellStyle name="normálne 2 4 2 3 3" xfId="574"/>
    <cellStyle name="normálne 2 4 2 3 4" xfId="714"/>
    <cellStyle name="normálne 2 4 2 3 5" xfId="880"/>
    <cellStyle name="normálne 2 4 2 3 6" xfId="1013"/>
    <cellStyle name="normálne 2 4 2 4" xfId="352"/>
    <cellStyle name="normálne 2 4 2 5" xfId="497"/>
    <cellStyle name="normálne 2 4 2 6" xfId="643"/>
    <cellStyle name="normálne 2 4 2 7" xfId="804"/>
    <cellStyle name="normálne 2 4 2 8" xfId="1067"/>
    <cellStyle name="normálne 2 4 3" xfId="191"/>
    <cellStyle name="normálne 2 4 3 2" xfId="230"/>
    <cellStyle name="normálne 2 4 3 2 2" xfId="304"/>
    <cellStyle name="normálne 2 4 3 2 2 2" xfId="483"/>
    <cellStyle name="normálne 2 4 3 2 2 3" xfId="620"/>
    <cellStyle name="normálne 2 4 3 2 2 4" xfId="760"/>
    <cellStyle name="normálne 2 4 3 2 2 5" xfId="926"/>
    <cellStyle name="normálne 2 4 3 2 2 6" xfId="990"/>
    <cellStyle name="normálne 2 4 3 2 3" xfId="410"/>
    <cellStyle name="normálne 2 4 3 2 4" xfId="548"/>
    <cellStyle name="normálne 2 4 3 2 5" xfId="689"/>
    <cellStyle name="normálne 2 4 3 2 6" xfId="854"/>
    <cellStyle name="normálne 2 4 3 2 7" xfId="1085"/>
    <cellStyle name="normálne 2 4 3 3" xfId="269"/>
    <cellStyle name="normálne 2 4 3 3 2" xfId="448"/>
    <cellStyle name="normálne 2 4 3 3 3" xfId="585"/>
    <cellStyle name="normálne 2 4 3 3 4" xfId="725"/>
    <cellStyle name="normálne 2 4 3 3 5" xfId="891"/>
    <cellStyle name="normálne 2 4 3 3 6" xfId="1069"/>
    <cellStyle name="normálne 2 4 3 4" xfId="372"/>
    <cellStyle name="normálne 2 4 3 5" xfId="512"/>
    <cellStyle name="normálne 2 4 3 6" xfId="654"/>
    <cellStyle name="normálne 2 4 3 7" xfId="818"/>
    <cellStyle name="normálne 2 4 3 8" xfId="1057"/>
    <cellStyle name="normálne 2 4 4" xfId="208"/>
    <cellStyle name="normálne 2 4 4 2" xfId="282"/>
    <cellStyle name="normálne 2 4 4 2 2" xfId="461"/>
    <cellStyle name="normálne 2 4 4 2 3" xfId="598"/>
    <cellStyle name="normálne 2 4 4 2 4" xfId="738"/>
    <cellStyle name="normálne 2 4 4 2 5" xfId="904"/>
    <cellStyle name="normálne 2 4 4 2 6" xfId="1016"/>
    <cellStyle name="normálne 2 4 4 3" xfId="388"/>
    <cellStyle name="normálne 2 4 4 4" xfId="526"/>
    <cellStyle name="normálne 2 4 4 5" xfId="667"/>
    <cellStyle name="normálne 2 4 4 6" xfId="832"/>
    <cellStyle name="normálne 2 4 4 7" xfId="984"/>
    <cellStyle name="normálne 2 4 5" xfId="247"/>
    <cellStyle name="normálne 2 4 5 2" xfId="426"/>
    <cellStyle name="normálne 2 4 5 3" xfId="563"/>
    <cellStyle name="normálne 2 4 5 4" xfId="703"/>
    <cellStyle name="normálne 2 4 5 5" xfId="869"/>
    <cellStyle name="normálne 2 4 5 6" xfId="973"/>
    <cellStyle name="normálne 2 4 6" xfId="339"/>
    <cellStyle name="normálne 2 4 7" xfId="318"/>
    <cellStyle name="normálne 2 4 8" xfId="632"/>
    <cellStyle name="normálne 2 4 9" xfId="795"/>
    <cellStyle name="normálne 2 5" xfId="147"/>
    <cellStyle name="normálne 2 5 2" xfId="335"/>
    <cellStyle name="normálne 2 5 2 2" xfId="942"/>
    <cellStyle name="normálne 2 5 2 2 2" xfId="1442"/>
    <cellStyle name="normálne 2 5 2 3" xfId="1007"/>
    <cellStyle name="normálne 2 5 2 3 2" xfId="1454"/>
    <cellStyle name="normálne 2 5 2 4" xfId="1420"/>
    <cellStyle name="normálne 2 5 3" xfId="417"/>
    <cellStyle name="normálne 2 5 3 2" xfId="978"/>
    <cellStyle name="normálne 2 5 3 2 2" xfId="1450"/>
    <cellStyle name="normálne 2 5 3 3" xfId="1095"/>
    <cellStyle name="normálne 2 5 3 3 2" xfId="1462"/>
    <cellStyle name="normálne 2 5 3 4" xfId="1424"/>
    <cellStyle name="normálne 2 5 4" xfId="503"/>
    <cellStyle name="normálne 2 5 4 2" xfId="1006"/>
    <cellStyle name="normálne 2 5 4 2 2" xfId="1453"/>
    <cellStyle name="normálne 2 5 4 3" xfId="1090"/>
    <cellStyle name="normálne 2 5 4 3 2" xfId="1461"/>
    <cellStyle name="normálne 2 5 4 4" xfId="1427"/>
    <cellStyle name="normálne 2 5 5" xfId="792"/>
    <cellStyle name="normálne 2 5 5 2" xfId="1436"/>
    <cellStyle name="normálne 2 5 6" xfId="958"/>
    <cellStyle name="normálne 2 5 6 2" xfId="1446"/>
    <cellStyle name="normálne 2 5 7" xfId="1414"/>
    <cellStyle name="normálne 2 6" xfId="161"/>
    <cellStyle name="normálne 2 6 2" xfId="196"/>
    <cellStyle name="normálne 2 6 2 2" xfId="234"/>
    <cellStyle name="normálne 2 6 2 2 2" xfId="308"/>
    <cellStyle name="normálne 2 6 2 2 2 2" xfId="487"/>
    <cellStyle name="normálne 2 6 2 2 2 3" xfId="624"/>
    <cellStyle name="normálne 2 6 2 2 2 4" xfId="764"/>
    <cellStyle name="normálne 2 6 2 2 2 5" xfId="930"/>
    <cellStyle name="normálne 2 6 2 2 2 6" xfId="1098"/>
    <cellStyle name="normálne 2 6 2 2 3" xfId="414"/>
    <cellStyle name="normálne 2 6 2 2 4" xfId="552"/>
    <cellStyle name="normálne 2 6 2 2 5" xfId="693"/>
    <cellStyle name="normálne 2 6 2 2 6" xfId="858"/>
    <cellStyle name="normálne 2 6 2 2 7" xfId="1023"/>
    <cellStyle name="normálne 2 6 2 3" xfId="273"/>
    <cellStyle name="normálne 2 6 2 3 2" xfId="452"/>
    <cellStyle name="normálne 2 6 2 3 3" xfId="589"/>
    <cellStyle name="normálne 2 6 2 3 4" xfId="729"/>
    <cellStyle name="normálne 2 6 2 3 5" xfId="895"/>
    <cellStyle name="normálne 2 6 2 3 6" xfId="1047"/>
    <cellStyle name="normálne 2 6 2 4" xfId="377"/>
    <cellStyle name="normálne 2 6 2 5" xfId="516"/>
    <cellStyle name="normálne 2 6 2 6" xfId="658"/>
    <cellStyle name="normálne 2 6 2 7" xfId="822"/>
    <cellStyle name="normálne 2 6 2 8" xfId="989"/>
    <cellStyle name="normálne 2 6 3" xfId="213"/>
    <cellStyle name="normálne 2 6 3 2" xfId="287"/>
    <cellStyle name="normálne 2 6 3 2 2" xfId="466"/>
    <cellStyle name="normálne 2 6 3 2 3" xfId="603"/>
    <cellStyle name="normálne 2 6 3 2 4" xfId="743"/>
    <cellStyle name="normálne 2 6 3 2 5" xfId="909"/>
    <cellStyle name="normálne 2 6 3 2 6" xfId="1050"/>
    <cellStyle name="normálne 2 6 3 3" xfId="393"/>
    <cellStyle name="normálne 2 6 3 4" xfId="531"/>
    <cellStyle name="normálne 2 6 3 5" xfId="672"/>
    <cellStyle name="normálne 2 6 3 6" xfId="837"/>
    <cellStyle name="normálne 2 6 3 7" xfId="1044"/>
    <cellStyle name="normálne 2 6 4" xfId="252"/>
    <cellStyle name="normálne 2 6 4 2" xfId="431"/>
    <cellStyle name="normálne 2 6 4 3" xfId="568"/>
    <cellStyle name="normálne 2 6 4 4" xfId="708"/>
    <cellStyle name="normálne 2 6 4 5" xfId="874"/>
    <cellStyle name="normálne 2 6 4 6" xfId="940"/>
    <cellStyle name="normálne 2 6 5" xfId="346"/>
    <cellStyle name="normálne 2 6 6" xfId="327"/>
    <cellStyle name="normálne 2 6 7" xfId="637"/>
    <cellStyle name="normálne 2 6 8" xfId="799"/>
    <cellStyle name="normálne 2 6 9" xfId="1002"/>
    <cellStyle name="normálne 2 7" xfId="177"/>
    <cellStyle name="normálne 2 7 2" xfId="224"/>
    <cellStyle name="normálne 2 7 2 2" xfId="298"/>
    <cellStyle name="normálne 2 7 2 2 2" xfId="477"/>
    <cellStyle name="normálne 2 7 2 2 3" xfId="614"/>
    <cellStyle name="normálne 2 7 2 2 4" xfId="754"/>
    <cellStyle name="normálne 2 7 2 2 5" xfId="920"/>
    <cellStyle name="normálne 2 7 2 2 6" xfId="994"/>
    <cellStyle name="normálne 2 7 2 3" xfId="404"/>
    <cellStyle name="normálne 2 7 2 4" xfId="542"/>
    <cellStyle name="normálne 2 7 2 5" xfId="683"/>
    <cellStyle name="normálne 2 7 2 6" xfId="848"/>
    <cellStyle name="normálne 2 7 2 7" xfId="1089"/>
    <cellStyle name="normálne 2 7 3" xfId="263"/>
    <cellStyle name="normálne 2 7 3 2" xfId="442"/>
    <cellStyle name="normálne 2 7 3 3" xfId="579"/>
    <cellStyle name="normálne 2 7 3 4" xfId="719"/>
    <cellStyle name="normálne 2 7 3 5" xfId="885"/>
    <cellStyle name="normálne 2 7 3 6" xfId="1056"/>
    <cellStyle name="normálne 2 7 4" xfId="361"/>
    <cellStyle name="normálne 2 7 5" xfId="505"/>
    <cellStyle name="normálne 2 7 6" xfId="648"/>
    <cellStyle name="normálne 2 7 7" xfId="811"/>
    <cellStyle name="normálne 2 7 8" xfId="947"/>
    <cellStyle name="normálne 2 8" xfId="202"/>
    <cellStyle name="normálne 2 8 2" xfId="276"/>
    <cellStyle name="normálne 2 8 2 2" xfId="455"/>
    <cellStyle name="normálne 2 8 2 3" xfId="592"/>
    <cellStyle name="normálne 2 8 2 4" xfId="732"/>
    <cellStyle name="normálne 2 8 2 5" xfId="898"/>
    <cellStyle name="normálne 2 8 2 6" xfId="955"/>
    <cellStyle name="normálne 2 8 3" xfId="382"/>
    <cellStyle name="normálne 2 8 4" xfId="520"/>
    <cellStyle name="normálne 2 8 5" xfId="661"/>
    <cellStyle name="normálne 2 8 6" xfId="826"/>
    <cellStyle name="normálne 2 8 7" xfId="1000"/>
    <cellStyle name="normálne 2 9" xfId="241"/>
    <cellStyle name="normálne 2 9 2" xfId="420"/>
    <cellStyle name="normálne 2 9 3" xfId="557"/>
    <cellStyle name="normálne 2 9 4" xfId="697"/>
    <cellStyle name="normálne 2 9 5" xfId="863"/>
    <cellStyle name="normálne 2 9 6" xfId="952"/>
    <cellStyle name="normálne 20" xfId="316"/>
    <cellStyle name="normálne 20 2" xfId="1418"/>
    <cellStyle name="normálne 20 3" xfId="1368"/>
    <cellStyle name="normálne 21" xfId="317"/>
    <cellStyle name="normálne 21 2" xfId="1347"/>
    <cellStyle name="normálne 22" xfId="324"/>
    <cellStyle name="normálne 22 2" xfId="1392"/>
    <cellStyle name="normálne 23" xfId="356"/>
    <cellStyle name="normálne 23 2" xfId="1349"/>
    <cellStyle name="normálne 24" xfId="770"/>
    <cellStyle name="normálne 24 2" xfId="816"/>
    <cellStyle name="normálne 24 3" xfId="1039"/>
    <cellStyle name="normálne 24 4" xfId="1348"/>
    <cellStyle name="normálne 25" xfId="1101"/>
    <cellStyle name="normálne 25 2" xfId="1362"/>
    <cellStyle name="normálne 26" xfId="1139"/>
    <cellStyle name="normálne 26 2" xfId="1394"/>
    <cellStyle name="normálne 27" xfId="1118"/>
    <cellStyle name="normálne 27 2" xfId="1341"/>
    <cellStyle name="normálne 28" xfId="1132"/>
    <cellStyle name="normálne 29" xfId="1136"/>
    <cellStyle name="Normálne 3" xfId="13"/>
    <cellStyle name="normálne 3 10" xfId="518"/>
    <cellStyle name="normálne 3 11" xfId="773"/>
    <cellStyle name="normálne 3 11 2" xfId="1107"/>
    <cellStyle name="normálne 3 11 3" xfId="1199"/>
    <cellStyle name="normálne 3 12" xfId="1128"/>
    <cellStyle name="normálne 3 13" xfId="1172"/>
    <cellStyle name="normálne 3 14" xfId="1187"/>
    <cellStyle name="normálne 3 15" xfId="1122"/>
    <cellStyle name="normálne 3 16" xfId="1163"/>
    <cellStyle name="normálne 3 17" xfId="1184"/>
    <cellStyle name="normálne 3 18" xfId="1127"/>
    <cellStyle name="normálne 3 19" xfId="1129"/>
    <cellStyle name="Normálne 3 2" xfId="26"/>
    <cellStyle name="normálne 3 2 10" xfId="967"/>
    <cellStyle name="normálne 3 2 11" xfId="155"/>
    <cellStyle name="normálne 3 2 2" xfId="168"/>
    <cellStyle name="normálne 3 2 2 2" xfId="220"/>
    <cellStyle name="normálne 3 2 2 2 2" xfId="294"/>
    <cellStyle name="normálne 3 2 2 2 2 2" xfId="473"/>
    <cellStyle name="normálne 3 2 2 2 2 3" xfId="610"/>
    <cellStyle name="normálne 3 2 2 2 2 4" xfId="750"/>
    <cellStyle name="normálne 3 2 2 2 2 5" xfId="916"/>
    <cellStyle name="normálne 3 2 2 2 2 6" xfId="1014"/>
    <cellStyle name="normálne 3 2 2 2 3" xfId="400"/>
    <cellStyle name="normálne 3 2 2 2 4" xfId="538"/>
    <cellStyle name="normálne 3 2 2 2 5" xfId="679"/>
    <cellStyle name="normálne 3 2 2 2 6" xfId="844"/>
    <cellStyle name="normálne 3 2 2 2 7" xfId="982"/>
    <cellStyle name="normálne 3 2 2 3" xfId="259"/>
    <cellStyle name="normálne 3 2 2 3 2" xfId="438"/>
    <cellStyle name="normálne 3 2 2 3 3" xfId="575"/>
    <cellStyle name="normálne 3 2 2 3 4" xfId="715"/>
    <cellStyle name="normálne 3 2 2 3 5" xfId="881"/>
    <cellStyle name="normálne 3 2 2 3 6" xfId="965"/>
    <cellStyle name="normálne 3 2 2 4" xfId="353"/>
    <cellStyle name="normálne 3 2 2 5" xfId="498"/>
    <cellStyle name="normálne 3 2 2 6" xfId="644"/>
    <cellStyle name="normálne 3 2 2 7" xfId="805"/>
    <cellStyle name="normálne 3 2 2 8" xfId="1018"/>
    <cellStyle name="normálne 3 2 3" xfId="193"/>
    <cellStyle name="normálne 3 2 3 2" xfId="231"/>
    <cellStyle name="normálne 3 2 3 2 2" xfId="305"/>
    <cellStyle name="normálne 3 2 3 2 2 2" xfId="484"/>
    <cellStyle name="normálne 3 2 3 2 2 3" xfId="621"/>
    <cellStyle name="normálne 3 2 3 2 2 4" xfId="761"/>
    <cellStyle name="normálne 3 2 3 2 2 5" xfId="927"/>
    <cellStyle name="normálne 3 2 3 2 2 6" xfId="1071"/>
    <cellStyle name="normálne 3 2 3 2 3" xfId="411"/>
    <cellStyle name="normálne 3 2 3 2 4" xfId="549"/>
    <cellStyle name="normálne 3 2 3 2 5" xfId="690"/>
    <cellStyle name="normálne 3 2 3 2 6" xfId="855"/>
    <cellStyle name="normálne 3 2 3 2 7" xfId="1037"/>
    <cellStyle name="normálne 3 2 3 3" xfId="270"/>
    <cellStyle name="normálne 3 2 3 3 2" xfId="449"/>
    <cellStyle name="normálne 3 2 3 3 3" xfId="586"/>
    <cellStyle name="normálne 3 2 3 3 4" xfId="726"/>
    <cellStyle name="normálne 3 2 3 3 5" xfId="892"/>
    <cellStyle name="normálne 3 2 3 3 6" xfId="1020"/>
    <cellStyle name="normálne 3 2 3 4" xfId="374"/>
    <cellStyle name="normálne 3 2 3 5" xfId="513"/>
    <cellStyle name="normálne 3 2 3 6" xfId="655"/>
    <cellStyle name="normálne 3 2 3 7" xfId="819"/>
    <cellStyle name="normálne 3 2 3 8" xfId="957"/>
    <cellStyle name="normálne 3 2 4" xfId="209"/>
    <cellStyle name="normálne 3 2 4 2" xfId="283"/>
    <cellStyle name="normálne 3 2 4 2 2" xfId="462"/>
    <cellStyle name="normálne 3 2 4 2 3" xfId="599"/>
    <cellStyle name="normálne 3 2 4 2 4" xfId="739"/>
    <cellStyle name="normálne 3 2 4 2 5" xfId="905"/>
    <cellStyle name="normálne 3 2 4 2 6" xfId="970"/>
    <cellStyle name="normálne 3 2 4 3" xfId="389"/>
    <cellStyle name="normálne 3 2 4 4" xfId="527"/>
    <cellStyle name="normálne 3 2 4 5" xfId="668"/>
    <cellStyle name="normálne 3 2 4 6" xfId="833"/>
    <cellStyle name="normálne 3 2 4 7" xfId="1066"/>
    <cellStyle name="normálne 3 2 5" xfId="248"/>
    <cellStyle name="normálne 3 2 5 2" xfId="427"/>
    <cellStyle name="normálne 3 2 5 3" xfId="564"/>
    <cellStyle name="normálne 3 2 5 4" xfId="704"/>
    <cellStyle name="normálne 3 2 5 5" xfId="870"/>
    <cellStyle name="normálne 3 2 5 6" xfId="1094"/>
    <cellStyle name="normálne 3 2 6" xfId="340"/>
    <cellStyle name="normálne 3 2 7" xfId="418"/>
    <cellStyle name="normálne 3 2 8" xfId="633"/>
    <cellStyle name="normálne 3 2 9" xfId="787"/>
    <cellStyle name="normálne 3 20" xfId="1001"/>
    <cellStyle name="normálne 3 21" xfId="1208"/>
    <cellStyle name="normálne 3 22" xfId="1217"/>
    <cellStyle name="normálne 3 23" xfId="1224"/>
    <cellStyle name="normálne 3 24" xfId="1231"/>
    <cellStyle name="normálne 3 25" xfId="1238"/>
    <cellStyle name="normálne 3 26" xfId="1245"/>
    <cellStyle name="normálne 3 27" xfId="1251"/>
    <cellStyle name="normálne 3 28" xfId="1257"/>
    <cellStyle name="normálne 3 29" xfId="1263"/>
    <cellStyle name="Normálne 3 3" xfId="35"/>
    <cellStyle name="Normálne 3 3 2" xfId="60"/>
    <cellStyle name="normálne 3 3 2 2" xfId="288"/>
    <cellStyle name="normálne 3 3 2 2 2" xfId="467"/>
    <cellStyle name="normálne 3 3 2 2 3" xfId="604"/>
    <cellStyle name="normálne 3 3 2 2 4" xfId="744"/>
    <cellStyle name="normálne 3 3 2 2 5" xfId="910"/>
    <cellStyle name="normálne 3 3 2 2 6" xfId="964"/>
    <cellStyle name="normálne 3 3 2 3" xfId="394"/>
    <cellStyle name="normálne 3 3 2 4" xfId="532"/>
    <cellStyle name="normálne 3 3 2 5" xfId="673"/>
    <cellStyle name="normálne 3 3 2 6" xfId="838"/>
    <cellStyle name="normálne 3 3 2 7" xfId="997"/>
    <cellStyle name="normálne 3 3 2 8" xfId="214"/>
    <cellStyle name="normálne 3 3 3" xfId="253"/>
    <cellStyle name="normálne 3 3 3 2" xfId="432"/>
    <cellStyle name="normálne 3 3 3 3" xfId="569"/>
    <cellStyle name="normálne 3 3 3 4" xfId="709"/>
    <cellStyle name="normálne 3 3 3 5" xfId="875"/>
    <cellStyle name="normálne 3 3 3 6" xfId="939"/>
    <cellStyle name="normálne 3 3 4" xfId="347"/>
    <cellStyle name="normálne 3 3 5" xfId="359"/>
    <cellStyle name="normálne 3 3 6" xfId="638"/>
    <cellStyle name="normálne 3 3 7" xfId="800"/>
    <cellStyle name="normálne 3 3 8" xfId="950"/>
    <cellStyle name="normálne 3 3 9" xfId="162"/>
    <cellStyle name="normálne 3 30" xfId="1269"/>
    <cellStyle name="normálne 3 31" xfId="141"/>
    <cellStyle name="Normálne 3 4" xfId="53"/>
    <cellStyle name="normálne 3 4 2" xfId="225"/>
    <cellStyle name="normálne 3 4 2 2" xfId="299"/>
    <cellStyle name="normálne 3 4 2 2 2" xfId="478"/>
    <cellStyle name="normálne 3 4 2 2 3" xfId="615"/>
    <cellStyle name="normálne 3 4 2 2 4" xfId="755"/>
    <cellStyle name="normálne 3 4 2 2 5" xfId="921"/>
    <cellStyle name="normálne 3 4 2 2 6" xfId="1058"/>
    <cellStyle name="normálne 3 4 2 3" xfId="405"/>
    <cellStyle name="normálne 3 4 2 4" xfId="543"/>
    <cellStyle name="normálne 3 4 2 5" xfId="684"/>
    <cellStyle name="normálne 3 4 2 6" xfId="849"/>
    <cellStyle name="normálne 3 4 2 7" xfId="1042"/>
    <cellStyle name="normálne 3 4 3" xfId="264"/>
    <cellStyle name="normálne 3 4 3 2" xfId="443"/>
    <cellStyle name="normálne 3 4 3 3" xfId="580"/>
    <cellStyle name="normálne 3 4 3 4" xfId="720"/>
    <cellStyle name="normálne 3 4 3 5" xfId="886"/>
    <cellStyle name="normálne 3 4 3 6" xfId="1009"/>
    <cellStyle name="normálne 3 4 4" xfId="364"/>
    <cellStyle name="normálne 3 4 5" xfId="507"/>
    <cellStyle name="normálne 3 4 6" xfId="649"/>
    <cellStyle name="normálne 3 4 7" xfId="812"/>
    <cellStyle name="normálne 3 4 8" xfId="1026"/>
    <cellStyle name="normálne 3 4 9" xfId="182"/>
    <cellStyle name="normálne 3 5" xfId="203"/>
    <cellStyle name="normálne 3 5 2" xfId="277"/>
    <cellStyle name="normálne 3 5 2 2" xfId="456"/>
    <cellStyle name="normálne 3 5 2 3" xfId="593"/>
    <cellStyle name="normálne 3 5 2 4" xfId="733"/>
    <cellStyle name="normálne 3 5 2 5" xfId="899"/>
    <cellStyle name="normálne 3 5 2 6" xfId="948"/>
    <cellStyle name="normálne 3 5 3" xfId="383"/>
    <cellStyle name="normálne 3 5 4" xfId="521"/>
    <cellStyle name="normálne 3 5 5" xfId="662"/>
    <cellStyle name="normálne 3 5 6" xfId="827"/>
    <cellStyle name="normálne 3 5 7" xfId="1053"/>
    <cellStyle name="normálne 3 6" xfId="242"/>
    <cellStyle name="normálne 3 6 2" xfId="421"/>
    <cellStyle name="normálne 3 6 3" xfId="558"/>
    <cellStyle name="normálne 3 6 4" xfId="698"/>
    <cellStyle name="normálne 3 6 5" xfId="864"/>
    <cellStyle name="normálne 3 6 6" xfId="1079"/>
    <cellStyle name="normálne 3 7" xfId="312"/>
    <cellStyle name="normálne 3 7 2" xfId="491"/>
    <cellStyle name="normálne 3 7 3" xfId="628"/>
    <cellStyle name="normálne 3 7 4" xfId="767"/>
    <cellStyle name="normálne 3 7 5" xfId="933"/>
    <cellStyle name="normálne 3 7 6" xfId="951"/>
    <cellStyle name="normálne 3 8" xfId="329"/>
    <cellStyle name="normálne 3 9" xfId="367"/>
    <cellStyle name="normálne 30" xfId="1196"/>
    <cellStyle name="normálne 31" xfId="1124"/>
    <cellStyle name="normálne 32" xfId="1188"/>
    <cellStyle name="normálne 33" xfId="133"/>
    <cellStyle name="normálne 33 10" xfId="782"/>
    <cellStyle name="normálne 33 11" xfId="796"/>
    <cellStyle name="normálne 33 2" xfId="152"/>
    <cellStyle name="normálne 33 2 10" xfId="1021"/>
    <cellStyle name="normálne 33 2 2" xfId="166"/>
    <cellStyle name="normálne 33 2 2 2" xfId="218"/>
    <cellStyle name="normálne 33 2 2 2 2" xfId="292"/>
    <cellStyle name="normálne 33 2 2 2 2 2" xfId="471"/>
    <cellStyle name="normálne 33 2 2 2 2 3" xfId="608"/>
    <cellStyle name="normálne 33 2 2 2 2 4" xfId="748"/>
    <cellStyle name="normálne 33 2 2 2 2 5" xfId="914"/>
    <cellStyle name="normálne 33 2 2 2 2 6" xfId="981"/>
    <cellStyle name="normálne 33 2 2 2 3" xfId="398"/>
    <cellStyle name="normálne 33 2 2 2 4" xfId="536"/>
    <cellStyle name="normálne 33 2 2 2 5" xfId="677"/>
    <cellStyle name="normálne 33 2 2 2 6" xfId="842"/>
    <cellStyle name="normálne 33 2 2 2 7" xfId="1075"/>
    <cellStyle name="normálne 33 2 2 3" xfId="257"/>
    <cellStyle name="normálne 33 2 2 3 2" xfId="436"/>
    <cellStyle name="normálne 33 2 2 3 3" xfId="573"/>
    <cellStyle name="normálne 33 2 2 3 4" xfId="713"/>
    <cellStyle name="normálne 33 2 2 3 5" xfId="879"/>
    <cellStyle name="normálne 33 2 2 3 6" xfId="1061"/>
    <cellStyle name="normálne 33 2 2 4" xfId="351"/>
    <cellStyle name="normálne 33 2 2 5" xfId="496"/>
    <cellStyle name="normálne 33 2 2 6" xfId="642"/>
    <cellStyle name="normálne 33 2 2 7" xfId="803"/>
    <cellStyle name="normálne 33 2 2 8" xfId="985"/>
    <cellStyle name="normálne 33 2 3" xfId="190"/>
    <cellStyle name="normálne 33 2 3 2" xfId="229"/>
    <cellStyle name="normálne 33 2 3 2 2" xfId="303"/>
    <cellStyle name="normálne 33 2 3 2 2 2" xfId="482"/>
    <cellStyle name="normálne 33 2 3 2 2 3" xfId="619"/>
    <cellStyle name="normálne 33 2 3 2 2 4" xfId="759"/>
    <cellStyle name="normálne 33 2 3 2 2 5" xfId="925"/>
    <cellStyle name="normálne 33 2 3 2 2 6" xfId="1036"/>
    <cellStyle name="normálne 33 2 3 2 3" xfId="409"/>
    <cellStyle name="normálne 33 2 3 2 4" xfId="547"/>
    <cellStyle name="normálne 33 2 3 2 5" xfId="688"/>
    <cellStyle name="normálne 33 2 3 2 6" xfId="853"/>
    <cellStyle name="normálne 33 2 3 2 7" xfId="962"/>
    <cellStyle name="normálne 33 2 3 3" xfId="268"/>
    <cellStyle name="normálne 33 2 3 3 2" xfId="447"/>
    <cellStyle name="normálne 33 2 3 3 3" xfId="584"/>
    <cellStyle name="normálne 33 2 3 3 4" xfId="724"/>
    <cellStyle name="normálne 33 2 3 3 5" xfId="890"/>
    <cellStyle name="normálne 33 2 3 3 6" xfId="988"/>
    <cellStyle name="normálne 33 2 3 4" xfId="371"/>
    <cellStyle name="normálne 33 2 3 5" xfId="511"/>
    <cellStyle name="normálne 33 2 3 6" xfId="653"/>
    <cellStyle name="normálne 33 2 3 7" xfId="817"/>
    <cellStyle name="normálne 33 2 3 8" xfId="993"/>
    <cellStyle name="normálne 33 2 4" xfId="207"/>
    <cellStyle name="normálne 33 2 4 2" xfId="281"/>
    <cellStyle name="normálne 33 2 4 2 2" xfId="460"/>
    <cellStyle name="normálne 33 2 4 2 3" xfId="597"/>
    <cellStyle name="normálne 33 2 4 2 4" xfId="737"/>
    <cellStyle name="normálne 33 2 4 2 5" xfId="903"/>
    <cellStyle name="normálne 33 2 4 2 6" xfId="1065"/>
    <cellStyle name="normálne 33 2 4 3" xfId="387"/>
    <cellStyle name="normálne 33 2 4 4" xfId="525"/>
    <cellStyle name="normálne 33 2 4 5" xfId="666"/>
    <cellStyle name="normálne 33 2 4 6" xfId="831"/>
    <cellStyle name="normálne 33 2 4 7" xfId="1030"/>
    <cellStyle name="normálne 33 2 5" xfId="246"/>
    <cellStyle name="normálne 33 2 5 2" xfId="425"/>
    <cellStyle name="normálne 33 2 5 3" xfId="562"/>
    <cellStyle name="normálne 33 2 5 4" xfId="702"/>
    <cellStyle name="normálne 33 2 5 5" xfId="868"/>
    <cellStyle name="normálne 33 2 5 6" xfId="1019"/>
    <cellStyle name="normálne 33 2 6" xfId="338"/>
    <cellStyle name="normálne 33 2 7" xfId="326"/>
    <cellStyle name="normálne 33 2 8" xfId="631"/>
    <cellStyle name="normálne 33 2 9" xfId="794"/>
    <cellStyle name="normálne 33 3" xfId="160"/>
    <cellStyle name="normálne 33 3 2" xfId="212"/>
    <cellStyle name="normálne 33 3 2 2" xfId="286"/>
    <cellStyle name="normálne 33 3 2 2 2" xfId="465"/>
    <cellStyle name="normálne 33 3 2 2 3" xfId="602"/>
    <cellStyle name="normálne 33 3 2 2 4" xfId="742"/>
    <cellStyle name="normálne 33 3 2 2 5" xfId="908"/>
    <cellStyle name="normálne 33 3 2 2 6" xfId="996"/>
    <cellStyle name="normálne 33 3 2 3" xfId="392"/>
    <cellStyle name="normálne 33 3 2 4" xfId="530"/>
    <cellStyle name="normálne 33 3 2 5" xfId="671"/>
    <cellStyle name="normálne 33 3 2 6" xfId="836"/>
    <cellStyle name="normálne 33 3 2 7" xfId="1092"/>
    <cellStyle name="normálne 33 3 3" xfId="251"/>
    <cellStyle name="normálne 33 3 3 2" xfId="430"/>
    <cellStyle name="normálne 33 3 3 3" xfId="567"/>
    <cellStyle name="normálne 33 3 3 4" xfId="707"/>
    <cellStyle name="normálne 33 3 3 5" xfId="873"/>
    <cellStyle name="normálne 33 3 3 6" xfId="1005"/>
    <cellStyle name="normálne 33 3 4" xfId="345"/>
    <cellStyle name="normálne 33 3 5" xfId="362"/>
    <cellStyle name="normálne 33 3 6" xfId="636"/>
    <cellStyle name="normálne 33 3 7" xfId="798"/>
    <cellStyle name="normálne 33 3 8" xfId="1054"/>
    <cellStyle name="normálne 33 4" xfId="176"/>
    <cellStyle name="normálne 33 4 2" xfId="223"/>
    <cellStyle name="normálne 33 4 2 2" xfId="297"/>
    <cellStyle name="normálne 33 4 2 2 2" xfId="476"/>
    <cellStyle name="normálne 33 4 2 2 3" xfId="613"/>
    <cellStyle name="normálne 33 4 2 2 4" xfId="753"/>
    <cellStyle name="normálne 33 4 2 2 5" xfId="919"/>
    <cellStyle name="normálne 33 4 2 2 6" xfId="1041"/>
    <cellStyle name="normálne 33 4 2 3" xfId="403"/>
    <cellStyle name="normálne 33 4 2 4" xfId="541"/>
    <cellStyle name="normálne 33 4 2 5" xfId="682"/>
    <cellStyle name="normálne 33 4 2 6" xfId="847"/>
    <cellStyle name="normálne 33 4 2 7" xfId="969"/>
    <cellStyle name="normálne 33 4 3" xfId="262"/>
    <cellStyle name="normálne 33 4 3 2" xfId="441"/>
    <cellStyle name="normálne 33 4 3 3" xfId="578"/>
    <cellStyle name="normálne 33 4 3 4" xfId="718"/>
    <cellStyle name="normálne 33 4 3 5" xfId="884"/>
    <cellStyle name="normálne 33 4 3 6" xfId="992"/>
    <cellStyle name="normálne 33 4 4" xfId="360"/>
    <cellStyle name="normálne 33 4 5" xfId="504"/>
    <cellStyle name="normálne 33 4 6" xfId="647"/>
    <cellStyle name="normálne 33 4 7" xfId="810"/>
    <cellStyle name="normálne 33 4 8" xfId="790"/>
    <cellStyle name="normálne 33 5" xfId="201"/>
    <cellStyle name="normálne 33 5 2" xfId="275"/>
    <cellStyle name="normálne 33 5 2 2" xfId="454"/>
    <cellStyle name="normálne 33 5 2 3" xfId="591"/>
    <cellStyle name="normálne 33 5 2 4" xfId="731"/>
    <cellStyle name="normálne 33 5 2 5" xfId="897"/>
    <cellStyle name="normálne 33 5 2 6" xfId="1052"/>
    <cellStyle name="normálne 33 5 3" xfId="381"/>
    <cellStyle name="normálne 33 5 4" xfId="519"/>
    <cellStyle name="normálne 33 5 5" xfId="660"/>
    <cellStyle name="normálne 33 5 6" xfId="825"/>
    <cellStyle name="normálne 33 5 7" xfId="1048"/>
    <cellStyle name="normálne 33 6" xfId="240"/>
    <cellStyle name="normálne 33 6 2" xfId="419"/>
    <cellStyle name="normálne 33 6 3" xfId="556"/>
    <cellStyle name="normálne 33 6 4" xfId="696"/>
    <cellStyle name="normálne 33 6 5" xfId="862"/>
    <cellStyle name="normálne 33 6 6" xfId="1003"/>
    <cellStyle name="normálne 33 7" xfId="322"/>
    <cellStyle name="normálne 33 8" xfId="370"/>
    <cellStyle name="normálne 33 9" xfId="627"/>
    <cellStyle name="normálne 34" xfId="784"/>
    <cellStyle name="normálne 35" xfId="1331"/>
    <cellStyle name="normálne 35 2" xfId="1475"/>
    <cellStyle name="normálne 36" xfId="1329"/>
    <cellStyle name="normálne 37" xfId="1216"/>
    <cellStyle name="normálne 38" xfId="1215"/>
    <cellStyle name="normálne 39" xfId="1223"/>
    <cellStyle name="Normálne 4" xfId="22"/>
    <cellStyle name="normálne 4 10" xfId="774"/>
    <cellStyle name="normálne 4 10 2" xfId="1108"/>
    <cellStyle name="normálne 4 10 3" xfId="1200"/>
    <cellStyle name="normálne 4 11" xfId="1116"/>
    <cellStyle name="normálne 4 12" xfId="1177"/>
    <cellStyle name="normálne 4 13" xfId="1166"/>
    <cellStyle name="normálne 4 14" xfId="1157"/>
    <cellStyle name="normálne 4 15" xfId="1123"/>
    <cellStyle name="normálne 4 16" xfId="1146"/>
    <cellStyle name="normálne 4 17" xfId="1151"/>
    <cellStyle name="normálne 4 18" xfId="1167"/>
    <cellStyle name="normálne 4 19" xfId="934"/>
    <cellStyle name="Normálne 4 2" xfId="59"/>
    <cellStyle name="normálne 4 2 10" xfId="1087"/>
    <cellStyle name="normálne 4 2 11" xfId="156"/>
    <cellStyle name="normálne 4 2 2" xfId="169"/>
    <cellStyle name="normálne 4 2 2 2" xfId="221"/>
    <cellStyle name="normálne 4 2 2 2 2" xfId="295"/>
    <cellStyle name="normálne 4 2 2 2 2 2" xfId="474"/>
    <cellStyle name="normálne 4 2 2 2 2 3" xfId="611"/>
    <cellStyle name="normálne 4 2 2 2 2 4" xfId="751"/>
    <cellStyle name="normálne 4 2 2 2 2 5" xfId="917"/>
    <cellStyle name="normálne 4 2 2 2 2 6" xfId="968"/>
    <cellStyle name="normálne 4 2 2 2 3" xfId="401"/>
    <cellStyle name="normálne 4 2 2 2 4" xfId="539"/>
    <cellStyle name="normálne 4 2 2 2 5" xfId="680"/>
    <cellStyle name="normálne 4 2 2 2 6" xfId="845"/>
    <cellStyle name="normálne 4 2 2 2 7" xfId="1064"/>
    <cellStyle name="normálne 4 2 2 3" xfId="260"/>
    <cellStyle name="normálne 4 2 2 3 2" xfId="439"/>
    <cellStyle name="normálne 4 2 2 3 3" xfId="576"/>
    <cellStyle name="normálne 4 2 2 3 4" xfId="716"/>
    <cellStyle name="normálne 4 2 2 3 5" xfId="882"/>
    <cellStyle name="normálne 4 2 2 3 6" xfId="1086"/>
    <cellStyle name="normálne 4 2 2 4" xfId="354"/>
    <cellStyle name="normálne 4 2 2 5" xfId="499"/>
    <cellStyle name="normálne 4 2 2 6" xfId="645"/>
    <cellStyle name="normálne 4 2 2 7" xfId="806"/>
    <cellStyle name="normálne 4 2 2 8" xfId="972"/>
    <cellStyle name="normálne 4 2 3" xfId="194"/>
    <cellStyle name="normálne 4 2 3 2" xfId="232"/>
    <cellStyle name="normálne 4 2 3 2 2" xfId="306"/>
    <cellStyle name="normálne 4 2 3 2 2 2" xfId="485"/>
    <cellStyle name="normálne 4 2 3 2 2 3" xfId="622"/>
    <cellStyle name="normálne 4 2 3 2 2 4" xfId="762"/>
    <cellStyle name="normálne 4 2 3 2 2 5" xfId="928"/>
    <cellStyle name="normálne 4 2 3 2 2 6" xfId="1022"/>
    <cellStyle name="normálne 4 2 3 2 3" xfId="412"/>
    <cellStyle name="normálne 4 2 3 2 4" xfId="550"/>
    <cellStyle name="normálne 4 2 3 2 5" xfId="691"/>
    <cellStyle name="normálne 4 2 3 2 6" xfId="856"/>
    <cellStyle name="normálne 4 2 3 2 7" xfId="991"/>
    <cellStyle name="normálne 4 2 3 3" xfId="271"/>
    <cellStyle name="normálne 4 2 3 3 2" xfId="450"/>
    <cellStyle name="normálne 4 2 3 3 3" xfId="587"/>
    <cellStyle name="normálne 4 2 3 3 4" xfId="727"/>
    <cellStyle name="normálne 4 2 3 3 5" xfId="893"/>
    <cellStyle name="normálne 4 2 3 3 6" xfId="974"/>
    <cellStyle name="normálne 4 2 3 4" xfId="375"/>
    <cellStyle name="normálne 4 2 3 5" xfId="514"/>
    <cellStyle name="normálne 4 2 3 6" xfId="656"/>
    <cellStyle name="normálne 4 2 3 7" xfId="820"/>
    <cellStyle name="normálne 4 2 3 8" xfId="1082"/>
    <cellStyle name="normálne 4 2 4" xfId="210"/>
    <cellStyle name="normálne 4 2 4 2" xfId="284"/>
    <cellStyle name="normálne 4 2 4 2 2" xfId="463"/>
    <cellStyle name="normálne 4 2 4 2 3" xfId="600"/>
    <cellStyle name="normálne 4 2 4 2 4" xfId="740"/>
    <cellStyle name="normálne 4 2 4 2 5" xfId="906"/>
    <cellStyle name="normálne 4 2 4 2 6" xfId="1091"/>
    <cellStyle name="normálne 4 2 4 3" xfId="390"/>
    <cellStyle name="normálne 4 2 4 4" xfId="528"/>
    <cellStyle name="normálne 4 2 4 5" xfId="669"/>
    <cellStyle name="normálne 4 2 4 6" xfId="834"/>
    <cellStyle name="normálne 4 2 4 7" xfId="1017"/>
    <cellStyle name="normálne 4 2 5" xfId="249"/>
    <cellStyle name="normálne 4 2 5 2" xfId="428"/>
    <cellStyle name="normálne 4 2 5 3" xfId="565"/>
    <cellStyle name="normálne 4 2 5 4" xfId="705"/>
    <cellStyle name="normálne 4 2 5 5" xfId="871"/>
    <cellStyle name="normálne 4 2 5 6" xfId="1046"/>
    <cellStyle name="normálne 4 2 6" xfId="341"/>
    <cellStyle name="normálne 4 2 7" xfId="380"/>
    <cellStyle name="normálne 4 2 8" xfId="634"/>
    <cellStyle name="normálne 4 2 9" xfId="788"/>
    <cellStyle name="normálne 4 20" xfId="1212"/>
    <cellStyle name="normálne 4 21" xfId="1218"/>
    <cellStyle name="normálne 4 22" xfId="1225"/>
    <cellStyle name="normálne 4 23" xfId="1232"/>
    <cellStyle name="normálne 4 24" xfId="1239"/>
    <cellStyle name="normálne 4 25" xfId="1246"/>
    <cellStyle name="normálne 4 26" xfId="1252"/>
    <cellStyle name="normálne 4 27" xfId="1258"/>
    <cellStyle name="normálne 4 28" xfId="1264"/>
    <cellStyle name="normálne 4 29" xfId="1270"/>
    <cellStyle name="normálne 4 3" xfId="64"/>
    <cellStyle name="normálne 4 3 2" xfId="215"/>
    <cellStyle name="normálne 4 3 2 2" xfId="289"/>
    <cellStyle name="normálne 4 3 2 2 2" xfId="468"/>
    <cellStyle name="normálne 4 3 2 2 3" xfId="605"/>
    <cellStyle name="normálne 4 3 2 2 4" xfId="745"/>
    <cellStyle name="normálne 4 3 2 2 5" xfId="911"/>
    <cellStyle name="normálne 4 3 2 2 6" xfId="945"/>
    <cellStyle name="normálne 4 3 2 3" xfId="395"/>
    <cellStyle name="normálne 4 3 2 4" xfId="533"/>
    <cellStyle name="normálne 4 3 2 5" xfId="674"/>
    <cellStyle name="normálne 4 3 2 6" xfId="839"/>
    <cellStyle name="normálne 4 3 2 7" xfId="1051"/>
    <cellStyle name="normálne 4 3 3" xfId="254"/>
    <cellStyle name="normálne 4 3 3 2" xfId="433"/>
    <cellStyle name="normálne 4 3 3 3" xfId="570"/>
    <cellStyle name="normálne 4 3 3 4" xfId="710"/>
    <cellStyle name="normálne 4 3 3 5" xfId="876"/>
    <cellStyle name="normálne 4 3 3 6" xfId="1073"/>
    <cellStyle name="normálne 4 3 4" xfId="348"/>
    <cellStyle name="normálne 4 3 5" xfId="363"/>
    <cellStyle name="normálne 4 3 6" xfId="639"/>
    <cellStyle name="normálne 4 3 7" xfId="801"/>
    <cellStyle name="normálne 4 3 8" xfId="1078"/>
    <cellStyle name="normálne 4 3 9" xfId="163"/>
    <cellStyle name="normálne 4 30" xfId="1385"/>
    <cellStyle name="normálne 4 31" xfId="142"/>
    <cellStyle name="normálne 4 4" xfId="183"/>
    <cellStyle name="normálne 4 4 2" xfId="226"/>
    <cellStyle name="normálne 4 4 2 2" xfId="300"/>
    <cellStyle name="normálne 4 4 2 2 2" xfId="479"/>
    <cellStyle name="normálne 4 4 2 2 3" xfId="616"/>
    <cellStyle name="normálne 4 4 2 2 4" xfId="756"/>
    <cellStyle name="normálne 4 4 2 2 5" xfId="922"/>
    <cellStyle name="normálne 4 4 2 2 6" xfId="1011"/>
    <cellStyle name="normálne 4 4 2 3" xfId="406"/>
    <cellStyle name="normálne 4 4 2 4" xfId="544"/>
    <cellStyle name="normálne 4 4 2 5" xfId="685"/>
    <cellStyle name="normálne 4 4 2 6" xfId="850"/>
    <cellStyle name="normálne 4 4 2 7" xfId="995"/>
    <cellStyle name="normálne 4 4 3" xfId="265"/>
    <cellStyle name="normálne 4 4 3 2" xfId="444"/>
    <cellStyle name="normálne 4 4 3 3" xfId="581"/>
    <cellStyle name="normálne 4 4 3 4" xfId="721"/>
    <cellStyle name="normálne 4 4 3 5" xfId="887"/>
    <cellStyle name="normálne 4 4 3 6" xfId="956"/>
    <cellStyle name="normálne 4 4 4" xfId="365"/>
    <cellStyle name="normálne 4 4 5" xfId="508"/>
    <cellStyle name="normálne 4 4 6" xfId="650"/>
    <cellStyle name="normálne 4 4 7" xfId="813"/>
    <cellStyle name="normálne 4 4 8" xfId="980"/>
    <cellStyle name="normálne 4 5" xfId="204"/>
    <cellStyle name="normálne 4 5 2" xfId="278"/>
    <cellStyle name="normálne 4 5 2 2" xfId="457"/>
    <cellStyle name="normálne 4 5 2 3" xfId="594"/>
    <cellStyle name="normálne 4 5 2 4" xfId="734"/>
    <cellStyle name="normálne 4 5 2 5" xfId="900"/>
    <cellStyle name="normálne 4 5 2 6" xfId="1076"/>
    <cellStyle name="normálne 4 5 3" xfId="384"/>
    <cellStyle name="normálne 4 5 4" xfId="522"/>
    <cellStyle name="normálne 4 5 5" xfId="663"/>
    <cellStyle name="normálne 4 5 6" xfId="828"/>
    <cellStyle name="normálne 4 5 7" xfId="938"/>
    <cellStyle name="normálne 4 6" xfId="243"/>
    <cellStyle name="normálne 4 6 2" xfId="422"/>
    <cellStyle name="normálne 4 6 3" xfId="559"/>
    <cellStyle name="normálne 4 6 4" xfId="699"/>
    <cellStyle name="normálne 4 6 5" xfId="865"/>
    <cellStyle name="normálne 4 6 6" xfId="1033"/>
    <cellStyle name="normálne 4 7" xfId="330"/>
    <cellStyle name="normálne 4 8" xfId="333"/>
    <cellStyle name="normálne 4 9" xfId="502"/>
    <cellStyle name="normálne 40" xfId="1230"/>
    <cellStyle name="normálne 41" xfId="1237"/>
    <cellStyle name="normálne 42" xfId="1244"/>
    <cellStyle name="normálne 43" xfId="1330"/>
    <cellStyle name="normálne 44" xfId="1408"/>
    <cellStyle name="normálne 45" xfId="1322"/>
    <cellStyle name="normálne 46" xfId="1321"/>
    <cellStyle name="normálne 47" xfId="1411"/>
    <cellStyle name="normálne 48" xfId="1410"/>
    <cellStyle name="normálne 49" xfId="1485"/>
    <cellStyle name="Normálne 5" xfId="23"/>
    <cellStyle name="normálne 5 2" xfId="323"/>
    <cellStyle name="normálne 5 2 2" xfId="937"/>
    <cellStyle name="normálne 5 2 2 2" xfId="1441"/>
    <cellStyle name="normálne 5 2 3" xfId="960"/>
    <cellStyle name="normálne 5 2 3 2" xfId="1448"/>
    <cellStyle name="normálne 5 2 4" xfId="1419"/>
    <cellStyle name="normálne 5 3" xfId="337"/>
    <cellStyle name="normálne 5 3 2" xfId="944"/>
    <cellStyle name="normálne 5 3 2 2" xfId="1444"/>
    <cellStyle name="normálne 5 3 3" xfId="1080"/>
    <cellStyle name="normálne 5 3 3 2" xfId="1459"/>
    <cellStyle name="normálne 5 3 4" xfId="1422"/>
    <cellStyle name="normálne 5 4" xfId="555"/>
    <cellStyle name="normálne 5 4 2" xfId="1024"/>
    <cellStyle name="normálne 5 4 2 2" xfId="1456"/>
    <cellStyle name="normálne 5 4 3" xfId="1004"/>
    <cellStyle name="normálne 5 4 3 2" xfId="1452"/>
    <cellStyle name="normálne 5 4 4" xfId="1429"/>
    <cellStyle name="normálne 5 5" xfId="783"/>
    <cellStyle name="normálne 5 5 2" xfId="1435"/>
    <cellStyle name="normálne 5 6" xfId="959"/>
    <cellStyle name="normálne 5 6 2" xfId="1447"/>
    <cellStyle name="normálne 5 7" xfId="1413"/>
    <cellStyle name="normálne 5 8" xfId="1384"/>
    <cellStyle name="normálne 5 9" xfId="134"/>
    <cellStyle name="Normálne 50 2" xfId="30"/>
    <cellStyle name="Normálne 6" xfId="31"/>
    <cellStyle name="normálne 6 10" xfId="775"/>
    <cellStyle name="normálne 6 10 2" xfId="1109"/>
    <cellStyle name="normálne 6 10 3" xfId="1201"/>
    <cellStyle name="normálne 6 11" xfId="1142"/>
    <cellStyle name="normálne 6 12" xfId="1158"/>
    <cellStyle name="normálne 6 13" xfId="1176"/>
    <cellStyle name="normálne 6 14" xfId="1137"/>
    <cellStyle name="normálne 6 15" xfId="1134"/>
    <cellStyle name="normálne 6 16" xfId="1192"/>
    <cellStyle name="normálne 6 17" xfId="1181"/>
    <cellStyle name="normálne 6 18" xfId="1186"/>
    <cellStyle name="normálne 6 19" xfId="861"/>
    <cellStyle name="Normálne 6 2" xfId="68"/>
    <cellStyle name="normálne 6 2 10" xfId="1040"/>
    <cellStyle name="normálne 6 2 11" xfId="157"/>
    <cellStyle name="normálne 6 2 2" xfId="170"/>
    <cellStyle name="normálne 6 2 2 2" xfId="222"/>
    <cellStyle name="normálne 6 2 2 2 2" xfId="296"/>
    <cellStyle name="normálne 6 2 2 2 2 2" xfId="475"/>
    <cellStyle name="normálne 6 2 2 2 2 3" xfId="612"/>
    <cellStyle name="normálne 6 2 2 2 2 4" xfId="752"/>
    <cellStyle name="normálne 6 2 2 2 2 5" xfId="918"/>
    <cellStyle name="normálne 6 2 2 2 2 6" xfId="1088"/>
    <cellStyle name="normálne 6 2 2 2 3" xfId="402"/>
    <cellStyle name="normálne 6 2 2 2 4" xfId="540"/>
    <cellStyle name="normálne 6 2 2 2 5" xfId="681"/>
    <cellStyle name="normálne 6 2 2 2 6" xfId="846"/>
    <cellStyle name="normálne 6 2 2 2 7" xfId="1015"/>
    <cellStyle name="normálne 6 2 2 3" xfId="261"/>
    <cellStyle name="normálne 6 2 2 3 2" xfId="440"/>
    <cellStyle name="normálne 6 2 2 3 3" xfId="577"/>
    <cellStyle name="normálne 6 2 2 3 4" xfId="717"/>
    <cellStyle name="normálne 6 2 2 3 5" xfId="883"/>
    <cellStyle name="normálne 6 2 2 3 6" xfId="1038"/>
    <cellStyle name="normálne 6 2 2 4" xfId="355"/>
    <cellStyle name="normálne 6 2 2 5" xfId="500"/>
    <cellStyle name="normálne 6 2 2 6" xfId="646"/>
    <cellStyle name="normálne 6 2 2 7" xfId="807"/>
    <cellStyle name="normálne 6 2 2 8" xfId="1093"/>
    <cellStyle name="normálne 6 2 3" xfId="195"/>
    <cellStyle name="normálne 6 2 3 2" xfId="233"/>
    <cellStyle name="normálne 6 2 3 2 2" xfId="307"/>
    <cellStyle name="normálne 6 2 3 2 2 2" xfId="486"/>
    <cellStyle name="normálne 6 2 3 2 2 3" xfId="623"/>
    <cellStyle name="normálne 6 2 3 2 2 4" xfId="763"/>
    <cellStyle name="normálne 6 2 3 2 2 5" xfId="929"/>
    <cellStyle name="normálne 6 2 3 2 2 6" xfId="976"/>
    <cellStyle name="normálne 6 2 3 2 3" xfId="413"/>
    <cellStyle name="normálne 6 2 3 2 4" xfId="551"/>
    <cellStyle name="normálne 6 2 3 2 5" xfId="692"/>
    <cellStyle name="normálne 6 2 3 2 6" xfId="857"/>
    <cellStyle name="normálne 6 2 3 2 7" xfId="1072"/>
    <cellStyle name="normálne 6 2 3 3" xfId="272"/>
    <cellStyle name="normálne 6 2 3 3 2" xfId="451"/>
    <cellStyle name="normálne 6 2 3 3 3" xfId="588"/>
    <cellStyle name="normálne 6 2 3 3 4" xfId="728"/>
    <cellStyle name="normálne 6 2 3 3 5" xfId="894"/>
    <cellStyle name="normálne 6 2 3 3 6" xfId="1096"/>
    <cellStyle name="normálne 6 2 3 4" xfId="376"/>
    <cellStyle name="normálne 6 2 3 5" xfId="515"/>
    <cellStyle name="normálne 6 2 3 6" xfId="657"/>
    <cellStyle name="normálne 6 2 3 7" xfId="821"/>
    <cellStyle name="normálne 6 2 3 8" xfId="1035"/>
    <cellStyle name="normálne 6 2 4" xfId="211"/>
    <cellStyle name="normálne 6 2 4 2" xfId="285"/>
    <cellStyle name="normálne 6 2 4 2 2" xfId="464"/>
    <cellStyle name="normálne 6 2 4 2 3" xfId="601"/>
    <cellStyle name="normálne 6 2 4 2 4" xfId="741"/>
    <cellStyle name="normálne 6 2 4 2 5" xfId="907"/>
    <cellStyle name="normálne 6 2 4 2 6" xfId="1043"/>
    <cellStyle name="normálne 6 2 4 3" xfId="391"/>
    <cellStyle name="normálne 6 2 4 4" xfId="529"/>
    <cellStyle name="normálne 6 2 4 5" xfId="670"/>
    <cellStyle name="normálne 6 2 4 6" xfId="835"/>
    <cellStyle name="normálne 6 2 4 7" xfId="971"/>
    <cellStyle name="normálne 6 2 5" xfId="250"/>
    <cellStyle name="normálne 6 2 5 2" xfId="429"/>
    <cellStyle name="normálne 6 2 5 3" xfId="566"/>
    <cellStyle name="normálne 6 2 5 4" xfId="706"/>
    <cellStyle name="normálne 6 2 5 5" xfId="872"/>
    <cellStyle name="normálne 6 2 5 6" xfId="998"/>
    <cellStyle name="normálne 6 2 6" xfId="342"/>
    <cellStyle name="normálne 6 2 7" xfId="357"/>
    <cellStyle name="normálne 6 2 8" xfId="635"/>
    <cellStyle name="normálne 6 2 9" xfId="789"/>
    <cellStyle name="normálne 6 20" xfId="1211"/>
    <cellStyle name="normálne 6 21" xfId="1219"/>
    <cellStyle name="normálne 6 22" xfId="1226"/>
    <cellStyle name="normálne 6 23" xfId="1233"/>
    <cellStyle name="normálne 6 24" xfId="1240"/>
    <cellStyle name="normálne 6 25" xfId="1247"/>
    <cellStyle name="normálne 6 26" xfId="1253"/>
    <cellStyle name="normálne 6 27" xfId="1259"/>
    <cellStyle name="normálne 6 28" xfId="1265"/>
    <cellStyle name="normálne 6 29" xfId="1271"/>
    <cellStyle name="normálne 6 3" xfId="164"/>
    <cellStyle name="normálne 6 3 2" xfId="216"/>
    <cellStyle name="normálne 6 3 2 2" xfId="290"/>
    <cellStyle name="normálne 6 3 2 2 2" xfId="469"/>
    <cellStyle name="normálne 6 3 2 2 3" xfId="606"/>
    <cellStyle name="normálne 6 3 2 2 4" xfId="746"/>
    <cellStyle name="normálne 6 3 2 2 5" xfId="912"/>
    <cellStyle name="normálne 6 3 2 2 6" xfId="1074"/>
    <cellStyle name="normálne 6 3 2 3" xfId="396"/>
    <cellStyle name="normálne 6 3 2 4" xfId="534"/>
    <cellStyle name="normálne 6 3 2 5" xfId="675"/>
    <cellStyle name="normálne 6 3 2 6" xfId="840"/>
    <cellStyle name="normálne 6 3 2 7" xfId="953"/>
    <cellStyle name="normálne 6 3 3" xfId="255"/>
    <cellStyle name="normálne 6 3 3 2" xfId="434"/>
    <cellStyle name="normálne 6 3 3 3" xfId="571"/>
    <cellStyle name="normálne 6 3 3 4" xfId="711"/>
    <cellStyle name="normálne 6 3 3 5" xfId="877"/>
    <cellStyle name="normálne 6 3 3 6" xfId="1025"/>
    <cellStyle name="normálne 6 3 4" xfId="349"/>
    <cellStyle name="normálne 6 3 5" xfId="328"/>
    <cellStyle name="normálne 6 3 6" xfId="640"/>
    <cellStyle name="normálne 6 3 7" xfId="802"/>
    <cellStyle name="normálne 6 3 8" xfId="1031"/>
    <cellStyle name="normálne 6 30" xfId="1364"/>
    <cellStyle name="normálne 6 31" xfId="143"/>
    <cellStyle name="normálne 6 4" xfId="184"/>
    <cellStyle name="normálne 6 4 2" xfId="227"/>
    <cellStyle name="normálne 6 4 2 2" xfId="301"/>
    <cellStyle name="normálne 6 4 2 2 2" xfId="480"/>
    <cellStyle name="normálne 6 4 2 2 3" xfId="617"/>
    <cellStyle name="normálne 6 4 2 2 4" xfId="757"/>
    <cellStyle name="normálne 6 4 2 2 5" xfId="923"/>
    <cellStyle name="normálne 6 4 2 2 6" xfId="961"/>
    <cellStyle name="normálne 6 4 2 3" xfId="407"/>
    <cellStyle name="normálne 6 4 2 4" xfId="545"/>
    <cellStyle name="normálne 6 4 2 5" xfId="686"/>
    <cellStyle name="normálne 6 4 2 6" xfId="851"/>
    <cellStyle name="normálne 6 4 2 7" xfId="1059"/>
    <cellStyle name="normálne 6 4 3" xfId="266"/>
    <cellStyle name="normálne 6 4 3 2" xfId="445"/>
    <cellStyle name="normálne 6 4 3 3" xfId="582"/>
    <cellStyle name="normálne 6 4 3 4" xfId="722"/>
    <cellStyle name="normálne 6 4 3 5" xfId="888"/>
    <cellStyle name="normálne 6 4 3 6" xfId="1081"/>
    <cellStyle name="normálne 6 4 4" xfId="366"/>
    <cellStyle name="normálne 6 4 5" xfId="509"/>
    <cellStyle name="normálne 6 4 6" xfId="651"/>
    <cellStyle name="normálne 6 4 7" xfId="814"/>
    <cellStyle name="normálne 6 4 8" xfId="1062"/>
    <cellStyle name="normálne 6 5" xfId="205"/>
    <cellStyle name="normálne 6 5 2" xfId="279"/>
    <cellStyle name="normálne 6 5 2 2" xfId="458"/>
    <cellStyle name="normálne 6 5 2 3" xfId="595"/>
    <cellStyle name="normálne 6 5 2 4" xfId="735"/>
    <cellStyle name="normálne 6 5 2 5" xfId="901"/>
    <cellStyle name="normálne 6 5 2 6" xfId="1029"/>
    <cellStyle name="normálne 6 5 3" xfId="385"/>
    <cellStyle name="normálne 6 5 4" xfId="523"/>
    <cellStyle name="normálne 6 5 5" xfId="664"/>
    <cellStyle name="normálne 6 5 6" xfId="829"/>
    <cellStyle name="normálne 6 5 7" xfId="949"/>
    <cellStyle name="normálne 6 6" xfId="244"/>
    <cellStyle name="normálne 6 6 2" xfId="423"/>
    <cellStyle name="normálne 6 6 3" xfId="560"/>
    <cellStyle name="normálne 6 6 4" xfId="700"/>
    <cellStyle name="normálne 6 6 5" xfId="866"/>
    <cellStyle name="normálne 6 6 6" xfId="987"/>
    <cellStyle name="normálne 6 7" xfId="331"/>
    <cellStyle name="normálne 6 8" xfId="494"/>
    <cellStyle name="normálne 6 9" xfId="343"/>
    <cellStyle name="Normálne 7" xfId="32"/>
    <cellStyle name="normálne 7 2" xfId="185"/>
    <cellStyle name="normálne 7 3" xfId="1478"/>
    <cellStyle name="normálne 7 4" xfId="145"/>
    <cellStyle name="Normálne 8" xfId="52"/>
    <cellStyle name="normálne 8 2" xfId="187"/>
    <cellStyle name="normálne 8 3" xfId="1352"/>
    <cellStyle name="normálne 8 4" xfId="149"/>
    <cellStyle name="Normálne 9" xfId="54"/>
    <cellStyle name="normálne 9 10" xfId="1182"/>
    <cellStyle name="normálne 9 11" xfId="1189"/>
    <cellStyle name="normálne 9 12" xfId="1191"/>
    <cellStyle name="normálne 9 13" xfId="1193"/>
    <cellStyle name="normálne 9 14" xfId="1195"/>
    <cellStyle name="normálne 9 15" xfId="1120"/>
    <cellStyle name="normálne 9 16" xfId="1171"/>
    <cellStyle name="normálne 9 17" xfId="1183"/>
    <cellStyle name="normálne 9 18" xfId="797"/>
    <cellStyle name="normálne 9 19" xfId="1209"/>
    <cellStyle name="Normálne 9 2" xfId="62"/>
    <cellStyle name="normálne 9 2 2" xfId="217"/>
    <cellStyle name="normálne 9 2 2 2" xfId="291"/>
    <cellStyle name="normálne 9 2 2 2 2" xfId="470"/>
    <cellStyle name="normálne 9 2 2 2 3" xfId="607"/>
    <cellStyle name="normálne 9 2 2 2 4" xfId="747"/>
    <cellStyle name="normálne 9 2 2 2 5" xfId="913"/>
    <cellStyle name="normálne 9 2 2 2 6" xfId="1027"/>
    <cellStyle name="normálne 9 2 2 3" xfId="397"/>
    <cellStyle name="normálne 9 2 2 4" xfId="535"/>
    <cellStyle name="normálne 9 2 2 5" xfId="676"/>
    <cellStyle name="normálne 9 2 2 6" xfId="841"/>
    <cellStyle name="normálne 9 2 2 7" xfId="946"/>
    <cellStyle name="normálne 9 2 3" xfId="256"/>
    <cellStyle name="normálne 9 2 3 2" xfId="435"/>
    <cellStyle name="normálne 9 2 3 3" xfId="572"/>
    <cellStyle name="normálne 9 2 3 4" xfId="712"/>
    <cellStyle name="normálne 9 2 3 5" xfId="878"/>
    <cellStyle name="normálne 9 2 3 6" xfId="979"/>
    <cellStyle name="normálne 9 2 4" xfId="350"/>
    <cellStyle name="normálne 9 2 5" xfId="495"/>
    <cellStyle name="normálne 9 2 6" xfId="641"/>
    <cellStyle name="normálne 9 2 7" xfId="791"/>
    <cellStyle name="normálne 9 2 8" xfId="1010"/>
    <cellStyle name="normálne 9 2 9" xfId="165"/>
    <cellStyle name="normálne 9 20" xfId="1222"/>
    <cellStyle name="normálne 9 21" xfId="1229"/>
    <cellStyle name="normálne 9 22" xfId="1236"/>
    <cellStyle name="normálne 9 23" xfId="1243"/>
    <cellStyle name="normálne 9 24" xfId="1250"/>
    <cellStyle name="normálne 9 25" xfId="1256"/>
    <cellStyle name="normálne 9 26" xfId="1262"/>
    <cellStyle name="normálne 9 27" xfId="1268"/>
    <cellStyle name="normálne 9 28" xfId="1274"/>
    <cellStyle name="normálne 9 29" xfId="146"/>
    <cellStyle name="normálne 9 3" xfId="186"/>
    <cellStyle name="normálne 9 3 2" xfId="228"/>
    <cellStyle name="normálne 9 3 2 2" xfId="302"/>
    <cellStyle name="normálne 9 3 2 2 2" xfId="481"/>
    <cellStyle name="normálne 9 3 2 2 3" xfId="618"/>
    <cellStyle name="normálne 9 3 2 2 4" xfId="758"/>
    <cellStyle name="normálne 9 3 2 2 5" xfId="924"/>
    <cellStyle name="normálne 9 3 2 2 6" xfId="1084"/>
    <cellStyle name="normálne 9 3 2 3" xfId="408"/>
    <cellStyle name="normálne 9 3 2 4" xfId="546"/>
    <cellStyle name="normálne 9 3 2 5" xfId="687"/>
    <cellStyle name="normálne 9 3 2 6" xfId="852"/>
    <cellStyle name="normálne 9 3 2 7" xfId="1012"/>
    <cellStyle name="normálne 9 3 3" xfId="267"/>
    <cellStyle name="normálne 9 3 3 2" xfId="446"/>
    <cellStyle name="normálne 9 3 3 3" xfId="583"/>
    <cellStyle name="normálne 9 3 3 4" xfId="723"/>
    <cellStyle name="normálne 9 3 3 5" xfId="889"/>
    <cellStyle name="normálne 9 3 3 6" xfId="1034"/>
    <cellStyle name="normálne 9 3 4" xfId="368"/>
    <cellStyle name="normálne 9 3 5" xfId="510"/>
    <cellStyle name="normálne 9 3 6" xfId="652"/>
    <cellStyle name="normálne 9 3 7" xfId="815"/>
    <cellStyle name="normálne 9 3 8" xfId="966"/>
    <cellStyle name="normálne 9 4" xfId="206"/>
    <cellStyle name="normálne 9 4 2" xfId="280"/>
    <cellStyle name="normálne 9 4 2 2" xfId="459"/>
    <cellStyle name="normálne 9 4 2 3" xfId="596"/>
    <cellStyle name="normálne 9 4 2 4" xfId="736"/>
    <cellStyle name="normálne 9 4 2 5" xfId="902"/>
    <cellStyle name="normálne 9 4 2 6" xfId="983"/>
    <cellStyle name="normálne 9 4 3" xfId="386"/>
    <cellStyle name="normálne 9 4 4" xfId="524"/>
    <cellStyle name="normálne 9 4 5" xfId="665"/>
    <cellStyle name="normálne 9 4 6" xfId="830"/>
    <cellStyle name="normálne 9 4 7" xfId="1077"/>
    <cellStyle name="normálne 9 5" xfId="245"/>
    <cellStyle name="normálne 9 5 2" xfId="424"/>
    <cellStyle name="normálne 9 5 3" xfId="561"/>
    <cellStyle name="normálne 9 5 4" xfId="701"/>
    <cellStyle name="normálne 9 5 5" xfId="867"/>
    <cellStyle name="normálne 9 5 6" xfId="1068"/>
    <cellStyle name="normálne 9 6" xfId="334"/>
    <cellStyle name="normálne 9 7" xfId="490"/>
    <cellStyle name="normálne 9 8" xfId="369"/>
    <cellStyle name="normálne 9 9" xfId="778"/>
    <cellStyle name="normálne 9 9 2" xfId="1110"/>
    <cellStyle name="normálne 9 9 3" xfId="1202"/>
    <cellStyle name="normálne 9_Tabulky IFP_casove rady-request_20111102_" xfId="72"/>
    <cellStyle name="Normálne 93" xfId="121"/>
    <cellStyle name="normální_CENY.XLS" xfId="129"/>
    <cellStyle name="Note" xfId="1344"/>
    <cellStyle name="Output" xfId="1371"/>
    <cellStyle name="Percentá" xfId="12" builtinId="5"/>
    <cellStyle name="percentá 10" xfId="1323"/>
    <cellStyle name="percentá 11" xfId="1324"/>
    <cellStyle name="percentá 12" xfId="1325"/>
    <cellStyle name="percentá 13" xfId="1332"/>
    <cellStyle name="percentá 13 2" xfId="1476"/>
    <cellStyle name="percentá 14" xfId="1326"/>
    <cellStyle name="percentá 15" xfId="1327"/>
    <cellStyle name="Percentá 16" xfId="130"/>
    <cellStyle name="percentá 17" xfId="1328"/>
    <cellStyle name="Percentá 18" xfId="1334"/>
    <cellStyle name="Percentá 19" xfId="1335"/>
    <cellStyle name="Percentá 2" xfId="15"/>
    <cellStyle name="percentá 2 10" xfId="7"/>
    <cellStyle name="percentá 2 11" xfId="1147"/>
    <cellStyle name="percentá 2 12" xfId="1178"/>
    <cellStyle name="percentá 2 13" xfId="1185"/>
    <cellStyle name="percentá 2 14" xfId="824"/>
    <cellStyle name="percentá 2 15" xfId="1214"/>
    <cellStyle name="percentá 2 16" xfId="1220"/>
    <cellStyle name="percentá 2 17" xfId="1227"/>
    <cellStyle name="percentá 2 18" xfId="1234"/>
    <cellStyle name="percentá 2 19" xfId="1241"/>
    <cellStyle name="Percentá 2 2" xfId="21"/>
    <cellStyle name="percentá 2 2 2" xfId="192"/>
    <cellStyle name="percentá 2 2 3" xfId="154"/>
    <cellStyle name="percentá 2 20" xfId="1248"/>
    <cellStyle name="percentá 2 21" xfId="1254"/>
    <cellStyle name="percentá 2 22" xfId="1260"/>
    <cellStyle name="percentá 2 23" xfId="1266"/>
    <cellStyle name="percentá 2 24" xfId="1272"/>
    <cellStyle name="Percentá 2 3" xfId="25"/>
    <cellStyle name="percentá 2 3 2" xfId="336"/>
    <cellStyle name="percentá 2 3 2 2" xfId="943"/>
    <cellStyle name="percentá 2 3 2 2 2" xfId="1443"/>
    <cellStyle name="percentá 2 3 2 3" xfId="954"/>
    <cellStyle name="percentá 2 3 2 3 2" xfId="1445"/>
    <cellStyle name="percentá 2 3 2 4" xfId="1421"/>
    <cellStyle name="percentá 2 3 3" xfId="379"/>
    <cellStyle name="percentá 2 3 3 2" xfId="963"/>
    <cellStyle name="percentá 2 3 3 2 2" xfId="1449"/>
    <cellStyle name="percentá 2 3 3 3" xfId="1097"/>
    <cellStyle name="percentá 2 3 3 3 2" xfId="1463"/>
    <cellStyle name="percentá 2 3 3 4" xfId="1423"/>
    <cellStyle name="percentá 2 3 4" xfId="506"/>
    <cellStyle name="percentá 2 3 4 2" xfId="1008"/>
    <cellStyle name="percentá 2 3 4 2 2" xfId="1455"/>
    <cellStyle name="percentá 2 3 4 3" xfId="1060"/>
    <cellStyle name="percentá 2 3 4 3 2" xfId="1458"/>
    <cellStyle name="percentá 2 3 4 4" xfId="1428"/>
    <cellStyle name="percentá 2 3 5" xfId="793"/>
    <cellStyle name="percentá 2 3 5 2" xfId="1437"/>
    <cellStyle name="percentá 2 3 6" xfId="1083"/>
    <cellStyle name="percentá 2 3 6 2" xfId="1460"/>
    <cellStyle name="percentá 2 3 7" xfId="1415"/>
    <cellStyle name="percentá 2 3 8" xfId="148"/>
    <cellStyle name="Percentá 2 4" xfId="37"/>
    <cellStyle name="percentá 2 4 2" xfId="179"/>
    <cellStyle name="Percentá 2 5" xfId="49"/>
    <cellStyle name="percentá 2 5 2" xfId="1106"/>
    <cellStyle name="percentá 2 5 3" xfId="1198"/>
    <cellStyle name="percentá 2 5 4" xfId="776"/>
    <cellStyle name="Percentá 2 6" xfId="50"/>
    <cellStyle name="percentá 2 6 2" xfId="1100"/>
    <cellStyle name="percentá 2 7" xfId="1121"/>
    <cellStyle name="percentá 2 8" xfId="1131"/>
    <cellStyle name="percentá 2 9" xfId="1144"/>
    <cellStyle name="Percentá 20" xfId="1337"/>
    <cellStyle name="Percentá 21" xfId="1404"/>
    <cellStyle name="Percentá 22" xfId="1395"/>
    <cellStyle name="Percentá 23" xfId="1353"/>
    <cellStyle name="Percentá 24" xfId="1388"/>
    <cellStyle name="Percentá 25" xfId="1398"/>
    <cellStyle name="Percentá 26" xfId="1399"/>
    <cellStyle name="Percentá 27" xfId="1387"/>
    <cellStyle name="Percentá 28" xfId="1474"/>
    <cellStyle name="Percentá 29" xfId="1400"/>
    <cellStyle name="Percentá 3" xfId="24"/>
    <cellStyle name="percentá 3 10" xfId="1138"/>
    <cellStyle name="percentá 3 11" xfId="1190"/>
    <cellStyle name="percentá 3 12" xfId="151"/>
    <cellStyle name="Percentá 3 2" xfId="27"/>
    <cellStyle name="percentá 3 2 2" xfId="189"/>
    <cellStyle name="percentá 3 3" xfId="1114"/>
    <cellStyle name="percentá 3 4" xfId="1160"/>
    <cellStyle name="percentá 3 5" xfId="1148"/>
    <cellStyle name="percentá 3 6" xfId="1145"/>
    <cellStyle name="percentá 3 7" xfId="1133"/>
    <cellStyle name="percentá 3 8" xfId="1165"/>
    <cellStyle name="percentá 3 9" xfId="1156"/>
    <cellStyle name="Percentá 30" xfId="1481"/>
    <cellStyle name="Percentá 31" xfId="1484"/>
    <cellStyle name="Percentá 32" xfId="1482"/>
    <cellStyle name="Percentá 33" xfId="1486"/>
    <cellStyle name="Percentá 4" xfId="58"/>
    <cellStyle name="percentá 4 2" xfId="159"/>
    <cellStyle name="Percentá 5" xfId="67"/>
    <cellStyle name="percentá 5 2" xfId="173"/>
    <cellStyle name="Percentá 6" xfId="120"/>
    <cellStyle name="percentá 6 2" xfId="200"/>
    <cellStyle name="Percentá 7" xfId="125"/>
    <cellStyle name="percentá 7 2" xfId="239"/>
    <cellStyle name="percentá 8" xfId="313"/>
    <cellStyle name="percentá 9" xfId="315"/>
    <cellStyle name="percentá 9 2" xfId="493"/>
    <cellStyle name="percentá 9 2 2" xfId="1426"/>
    <cellStyle name="percentá 9 3" xfId="630"/>
    <cellStyle name="percentá 9 3 2" xfId="1431"/>
    <cellStyle name="percentá 9 4" xfId="769"/>
    <cellStyle name="percentá 9 4 2" xfId="1433"/>
    <cellStyle name="percentá 9 5" xfId="936"/>
    <cellStyle name="percentá 9 5 2" xfId="1440"/>
    <cellStyle name="percentá 9 6" xfId="986"/>
    <cellStyle name="percentá 9 6 2" xfId="1451"/>
    <cellStyle name="percentá 9 7" xfId="1417"/>
    <cellStyle name="Použité hypertextové prepojenie 2" xfId="47"/>
    <cellStyle name="Poznámka 2" xfId="116"/>
    <cellStyle name="Poznámka 2 2" xfId="1320"/>
    <cellStyle name="Poznámka 3" xfId="1316"/>
    <cellStyle name="Poznámka 4" xfId="1318"/>
    <cellStyle name="Poznámka 5" xfId="1317"/>
    <cellStyle name="Poznámka 6" xfId="1319"/>
    <cellStyle name="Poznámka 7" xfId="1315"/>
    <cellStyle name="Prepojená bunka" xfId="86" builtinId="24" customBuiltin="1"/>
    <cellStyle name="Prepojená bunka 2" xfId="1286"/>
    <cellStyle name="SAPBEXaggData" xfId="135"/>
    <cellStyle name="Spolu" xfId="90" builtinId="25" customBuiltin="1"/>
    <cellStyle name="Spolu 2" xfId="1290"/>
    <cellStyle name="Text upozornenia" xfId="88" builtinId="11" customBuiltin="1"/>
    <cellStyle name="Text upozornenia 2" xfId="1288"/>
    <cellStyle name="Title" xfId="1390"/>
    <cellStyle name="Titul" xfId="75" builtinId="15" customBuiltin="1"/>
    <cellStyle name="Titul 2" xfId="1275"/>
    <cellStyle name="Total" xfId="1346"/>
    <cellStyle name="Vstup" xfId="83" builtinId="20" customBuiltin="1"/>
    <cellStyle name="Vstup 2" xfId="1283"/>
    <cellStyle name="Výpočet" xfId="85" builtinId="22" customBuiltin="1"/>
    <cellStyle name="Výpočet 2" xfId="1285"/>
    <cellStyle name="Výstup" xfId="84" builtinId="21" customBuiltin="1"/>
    <cellStyle name="Výstup 2" xfId="1284"/>
    <cellStyle name="Vysvetľujúci text" xfId="89" builtinId="53" customBuiltin="1"/>
    <cellStyle name="Vysvetľujúci text 2" xfId="1289"/>
    <cellStyle name="Warning Text" xfId="1477"/>
    <cellStyle name="Zlá" xfId="81" builtinId="27" customBuiltin="1"/>
    <cellStyle name="Zlá 2" xfId="39"/>
    <cellStyle name="Zlá 2 2" xfId="1281"/>
    <cellStyle name="Zvýraznenie1" xfId="91" builtinId="29" customBuiltin="1"/>
    <cellStyle name="Zvýraznenie1 2" xfId="1291"/>
    <cellStyle name="Zvýraznenie2" xfId="95" builtinId="33" customBuiltin="1"/>
    <cellStyle name="Zvýraznenie2 2" xfId="1295"/>
    <cellStyle name="Zvýraznenie3" xfId="99" builtinId="37" customBuiltin="1"/>
    <cellStyle name="Zvýraznenie3 2" xfId="1299"/>
    <cellStyle name="Zvýraznenie4" xfId="103" builtinId="41" customBuiltin="1"/>
    <cellStyle name="Zvýraznenie4 2" xfId="1303"/>
    <cellStyle name="Zvýraznenie5" xfId="107" builtinId="45" customBuiltin="1"/>
    <cellStyle name="Zvýraznenie5 2" xfId="1307"/>
    <cellStyle name="Zvýraznenie6" xfId="111" builtinId="49" customBuiltin="1"/>
    <cellStyle name="Zvýraznenie6 2" xfId="1311"/>
  </cellStyles>
  <dxfs count="0"/>
  <tableStyles count="0" defaultTableStyle="TableStyleMedium2" defaultPivotStyle="PivotStyleMedium9"/>
  <colors>
    <mruColors>
      <color rgb="FF686767"/>
      <color rgb="FFA6A6A6"/>
      <color rgb="FF2C9ADC"/>
      <color rgb="FF6600FF"/>
      <color rgb="FFFF5050"/>
      <color rgb="FF2EAAE1"/>
      <color rgb="FF00589A"/>
      <color rgb="FF355177"/>
      <color rgb="FF646464"/>
      <color rgb="FFAB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76" Type="http://schemas.openxmlformats.org/officeDocument/2006/relationships/externalLink" Target="externalLinks/externalLink57.xml"/><Relationship Id="rId84" Type="http://schemas.openxmlformats.org/officeDocument/2006/relationships/externalLink" Target="externalLinks/externalLink65.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77" Type="http://schemas.openxmlformats.org/officeDocument/2006/relationships/externalLink" Target="externalLinks/externalLink58.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80" Type="http://schemas.openxmlformats.org/officeDocument/2006/relationships/externalLink" Target="externalLinks/externalLink61.xml"/><Relationship Id="rId85" Type="http://schemas.openxmlformats.org/officeDocument/2006/relationships/externalLink" Target="externalLinks/externalLink6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externalLink" Target="externalLinks/externalLink48.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83" Type="http://schemas.openxmlformats.org/officeDocument/2006/relationships/externalLink" Target="externalLinks/externalLink64.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81" Type="http://schemas.openxmlformats.org/officeDocument/2006/relationships/externalLink" Target="externalLinks/externalLink62.xml"/><Relationship Id="rId86" Type="http://schemas.openxmlformats.org/officeDocument/2006/relationships/externalLink" Target="externalLinks/externalLink6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1.xml"/><Relationship Id="rId1" Type="http://schemas.microsoft.com/office/2011/relationships/chartStyle" Target="style11.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4.xml"/><Relationship Id="rId1" Type="http://schemas.microsoft.com/office/2011/relationships/chartStyle" Target="style14.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1539126675313"/>
          <c:y val="3.1565424128078168E-2"/>
          <c:w val="0.8408531488687131"/>
          <c:h val="0.69644120662202547"/>
        </c:manualLayout>
      </c:layout>
      <c:areaChart>
        <c:grouping val="stacked"/>
        <c:varyColors val="0"/>
        <c:ser>
          <c:idx val="6"/>
          <c:order val="1"/>
          <c:tx>
            <c:strRef>
              <c:f>Zhrnutie!$K$25</c:f>
              <c:strCache>
                <c:ptCount val="1"/>
                <c:pt idx="0">
                  <c:v>Čistý dlh VS</c:v>
                </c:pt>
              </c:strCache>
            </c:strRef>
          </c:tx>
          <c:spPr>
            <a:solidFill>
              <a:srgbClr val="00589A"/>
            </a:solidFill>
            <a:ln>
              <a:noFill/>
            </a:ln>
            <a:effectLst/>
          </c:spPr>
          <c:cat>
            <c:numRef>
              <c:extLst>
                <c:ext xmlns:c15="http://schemas.microsoft.com/office/drawing/2012/chart" uri="{02D57815-91ED-43cb-92C2-25804820EDAC}">
                  <c15:fullRef>
                    <c15:sqref>Zhrnutie!$L$22:$AD$22</c15:sqref>
                  </c15:fullRef>
                </c:ext>
              </c:extLst>
              <c:f>Zhrnutie!$T$22:$AD$22</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Zhrnutie!$L$25:$AD$25</c15:sqref>
                  </c15:fullRef>
                </c:ext>
              </c:extLst>
              <c:f>Zhrnutie!$T$25:$AD$25</c:f>
              <c:numCache>
                <c:formatCode>0.0</c:formatCode>
                <c:ptCount val="11"/>
                <c:pt idx="0">
                  <c:v>46.928453271330902</c:v>
                </c:pt>
                <c:pt idx="1">
                  <c:v>45.741709297628958</c:v>
                </c:pt>
                <c:pt idx="2">
                  <c:v>43.330589179314359</c:v>
                </c:pt>
                <c:pt idx="3">
                  <c:v>43.084864561833889</c:v>
                </c:pt>
                <c:pt idx="4">
                  <c:v>48.882600351765404</c:v>
                </c:pt>
                <c:pt idx="5">
                  <c:v>49.640621506277924</c:v>
                </c:pt>
                <c:pt idx="6">
                  <c:v>47.683610070826276</c:v>
                </c:pt>
                <c:pt idx="7">
                  <c:v>49.656197887839099</c:v>
                </c:pt>
                <c:pt idx="8">
                  <c:v>53.491061063670841</c:v>
                </c:pt>
                <c:pt idx="9">
                  <c:v>57.195505049152025</c:v>
                </c:pt>
                <c:pt idx="10">
                  <c:v>61.916217163365253</c:v>
                </c:pt>
              </c:numCache>
            </c:numRef>
          </c:val>
          <c:extLst>
            <c:ext xmlns:c16="http://schemas.microsoft.com/office/drawing/2014/chart" uri="{C3380CC4-5D6E-409C-BE32-E72D297353CC}">
              <c16:uniqueId val="{00000000-440A-4425-AE6B-5CD885083BDF}"/>
            </c:ext>
          </c:extLst>
        </c:ser>
        <c:ser>
          <c:idx val="8"/>
          <c:order val="4"/>
          <c:tx>
            <c:strRef>
              <c:f>Zhrnutie!$K$24</c:f>
              <c:strCache>
                <c:ptCount val="1"/>
                <c:pt idx="0">
                  <c:v>Likvidné finančné aktíva (LFA)</c:v>
                </c:pt>
              </c:strCache>
            </c:strRef>
          </c:tx>
          <c:spPr>
            <a:solidFill>
              <a:schemeClr val="accent1">
                <a:lumMod val="60000"/>
                <a:lumOff val="40000"/>
              </a:schemeClr>
            </a:solidFill>
            <a:ln w="25400">
              <a:noFill/>
            </a:ln>
            <a:effectLst/>
          </c:spPr>
          <c:cat>
            <c:numRef>
              <c:extLst>
                <c:ext xmlns:c15="http://schemas.microsoft.com/office/drawing/2012/chart" uri="{02D57815-91ED-43cb-92C2-25804820EDAC}">
                  <c15:fullRef>
                    <c15:sqref>Zhrnutie!$L$22:$AD$22</c15:sqref>
                  </c15:fullRef>
                </c:ext>
              </c:extLst>
              <c:f>Zhrnutie!$T$22:$AD$22</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Zhrnutie!$L$24:$AD$24</c15:sqref>
                  </c15:fullRef>
                </c:ext>
              </c:extLst>
              <c:f>Zhrnutie!$T$24:$AD$24</c:f>
              <c:numCache>
                <c:formatCode>0.0</c:formatCode>
                <c:ptCount val="11"/>
                <c:pt idx="0">
                  <c:v>5.3464461545574054</c:v>
                </c:pt>
                <c:pt idx="1">
                  <c:v>5.7198618583088301</c:v>
                </c:pt>
                <c:pt idx="2">
                  <c:v>6.0774616498550937</c:v>
                </c:pt>
                <c:pt idx="3">
                  <c:v>4.8936916416602427</c:v>
                </c:pt>
                <c:pt idx="4">
                  <c:v>9.9685270645670307</c:v>
                </c:pt>
                <c:pt idx="5">
                  <c:v>11.440544126155155</c:v>
                </c:pt>
                <c:pt idx="6">
                  <c:v>10.11991552679596</c:v>
                </c:pt>
                <c:pt idx="7">
                  <c:v>7.403802923600912</c:v>
                </c:pt>
                <c:pt idx="8">
                  <c:v>6.4735629709119156</c:v>
                </c:pt>
                <c:pt idx="9">
                  <c:v>5.4508549608353212</c:v>
                </c:pt>
                <c:pt idx="10">
                  <c:v>5.4885245380599272</c:v>
                </c:pt>
              </c:numCache>
            </c:numRef>
          </c:val>
          <c:extLst>
            <c:ext xmlns:c16="http://schemas.microsoft.com/office/drawing/2014/chart" uri="{C3380CC4-5D6E-409C-BE32-E72D297353CC}">
              <c16:uniqueId val="{00000001-440A-4425-AE6B-5CD885083BDF}"/>
            </c:ext>
          </c:extLst>
        </c:ser>
        <c:dLbls>
          <c:showLegendKey val="0"/>
          <c:showVal val="0"/>
          <c:showCatName val="0"/>
          <c:showSerName val="0"/>
          <c:showPercent val="0"/>
          <c:showBubbleSize val="0"/>
        </c:dLbls>
        <c:axId val="674649864"/>
        <c:axId val="674650256"/>
      </c:areaChart>
      <c:lineChart>
        <c:grouping val="standard"/>
        <c:varyColors val="0"/>
        <c:ser>
          <c:idx val="0"/>
          <c:order val="0"/>
          <c:tx>
            <c:strRef>
              <c:f>Zhrnutie!$K$23</c:f>
              <c:strCache>
                <c:ptCount val="1"/>
                <c:pt idx="0">
                  <c:v>Hrubý dlh VS</c:v>
                </c:pt>
              </c:strCache>
            </c:strRef>
          </c:tx>
          <c:spPr>
            <a:ln w="19050" cap="rnd">
              <a:noFill/>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Zhrnutie!$L$22:$AD$22</c15:sqref>
                  </c15:fullRef>
                </c:ext>
              </c:extLst>
              <c:f>Zhrnutie!$T$22:$AD$22</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Zhrnutie!$L$23:$AD$23</c15:sqref>
                  </c15:fullRef>
                </c:ext>
              </c:extLst>
              <c:f>Zhrnutie!$T$23:$AD$23</c:f>
              <c:numCache>
                <c:formatCode>0.0</c:formatCode>
                <c:ptCount val="11"/>
                <c:pt idx="0">
                  <c:v>52.274899425888307</c:v>
                </c:pt>
                <c:pt idx="1">
                  <c:v>51.46157115593779</c:v>
                </c:pt>
                <c:pt idx="2">
                  <c:v>49.408050829169454</c:v>
                </c:pt>
                <c:pt idx="3">
                  <c:v>47.978556203494129</c:v>
                </c:pt>
                <c:pt idx="4">
                  <c:v>58.851127416332439</c:v>
                </c:pt>
                <c:pt idx="5">
                  <c:v>61.081165632433077</c:v>
                </c:pt>
                <c:pt idx="6">
                  <c:v>57.80352559762224</c:v>
                </c:pt>
                <c:pt idx="7">
                  <c:v>57.060000811440013</c:v>
                </c:pt>
                <c:pt idx="8">
                  <c:v>59.964624034582755</c:v>
                </c:pt>
                <c:pt idx="9">
                  <c:v>62.646360009987347</c:v>
                </c:pt>
                <c:pt idx="10">
                  <c:v>67.404741701425181</c:v>
                </c:pt>
              </c:numCache>
            </c:numRef>
          </c:val>
          <c:smooth val="0"/>
          <c:extLst>
            <c:ext xmlns:c15="http://schemas.microsoft.com/office/drawing/2012/chart" uri="{02D57815-91ED-43cb-92C2-25804820EDAC}">
              <c15:categoryFilterExceptions>
                <c15:categoryFilterException>
                  <c15:sqref>Zhrnutie!$L$23</c15:sqref>
                  <c15:dLbl>
                    <c:idx val="-1"/>
                    <c:tx>
                      <c:rich>
                        <a:bodyPr/>
                        <a:lstStyle/>
                        <a:p>
                          <a:r>
                            <a:rPr lang="en-US"/>
                            <a:t>48,1</a:t>
                          </a:r>
                        </a:p>
                      </c:rich>
                    </c:tx>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0-B321-4804-A569-2E56177AF128}"/>
                      </c:ext>
                    </c:extLst>
                  </c15:dLbl>
                </c15:categoryFilterException>
                <c15:categoryFilterException>
                  <c15:sqref>Zhrnutie!$M$23</c15:sqref>
                  <c15:spPr xmlns:c15="http://schemas.microsoft.com/office/drawing/2012/chart">
                    <a:ln w="19050" cap="rnd">
                      <a:noFill/>
                      <a:prstDash val="sysDot"/>
                      <a:round/>
                    </a:ln>
                    <a:effectLst/>
                  </c15:spPr>
                  <c15:bubble3D val="0"/>
                  <c15:marker>
                    <c:symbol val="circle"/>
                    <c:size val="5"/>
                    <c:spPr>
                      <a:solidFill>
                        <a:schemeClr val="tx1"/>
                      </a:solidFill>
                      <a:ln w="9525">
                        <a:noFill/>
                        <a:prstDash val="sysDot"/>
                      </a:ln>
                      <a:effectLst/>
                    </c:spPr>
                  </c15:marker>
                  <c15:dLbl>
                    <c:idx val="-1"/>
                    <c:tx>
                      <c:rich>
                        <a:bodyPr/>
                        <a:lstStyle/>
                        <a:p>
                          <a:r>
                            <a:rPr lang="en-US"/>
                            <a:t>59,7</a:t>
                          </a:r>
                        </a:p>
                      </c:rich>
                    </c:tx>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2-B321-4804-A569-2E56177AF128}"/>
                      </c:ext>
                    </c:extLst>
                  </c15:dLbl>
                </c15:categoryFilterException>
                <c15:categoryFilterException>
                  <c15:sqref>Zhrnutie!$N$23</c15:sqref>
                  <c15:spPr xmlns:c15="http://schemas.microsoft.com/office/drawing/2012/chart">
                    <a:ln w="19050" cap="rnd">
                      <a:noFill/>
                      <a:round/>
                    </a:ln>
                    <a:effectLst/>
                  </c15:spPr>
                  <c15:bubble3D val="0"/>
                  <c15:marker>
                    <c:symbol val="circle"/>
                    <c:size val="5"/>
                    <c:spPr>
                      <a:solidFill>
                        <a:schemeClr val="tx1"/>
                      </a:solidFill>
                      <a:ln w="9525">
                        <a:noFill/>
                      </a:ln>
                      <a:effectLst/>
                    </c:spPr>
                  </c15:marker>
                  <c15:dLbl>
                    <c:idx val="-1"/>
                    <c:tx>
                      <c:rich>
                        <a:bodyPr/>
                        <a:lstStyle/>
                        <a:p>
                          <a:r>
                            <a:rPr lang="en-US"/>
                            <a:t>61,5</a:t>
                          </a:r>
                        </a:p>
                      </c:rich>
                    </c:tx>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4-B321-4804-A569-2E56177AF128}"/>
                      </c:ext>
                    </c:extLst>
                  </c15:dLbl>
                </c15:categoryFilterException>
                <c15:categoryFilterException>
                  <c15:sqref>Zhrnutie!$O$23</c15:sqref>
                  <c15:spPr xmlns:c15="http://schemas.microsoft.com/office/drawing/2012/chart">
                    <a:ln w="19050" cap="rnd">
                      <a:noFill/>
                      <a:round/>
                    </a:ln>
                    <a:effectLst/>
                  </c15:spPr>
                  <c15:bubble3D val="0"/>
                  <c15:marker>
                    <c:symbol val="circle"/>
                    <c:size val="5"/>
                    <c:spPr>
                      <a:solidFill>
                        <a:schemeClr val="tx1"/>
                      </a:solidFill>
                      <a:ln w="9525">
                        <a:noFill/>
                      </a:ln>
                      <a:effectLst/>
                    </c:spPr>
                  </c15:marker>
                  <c15:dLbl>
                    <c:idx val="-1"/>
                    <c:tx>
                      <c:rich>
                        <a:bodyPr/>
                        <a:lstStyle/>
                        <a:p>
                          <a:r>
                            <a:rPr lang="en-US"/>
                            <a:t>61,5</a:t>
                          </a:r>
                        </a:p>
                      </c:rich>
                    </c:tx>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6-B321-4804-A569-2E56177AF128}"/>
                      </c:ext>
                    </c:extLst>
                  </c15:dLbl>
                </c15:categoryFilterException>
                <c15:categoryFilterException>
                  <c15:sqref>Zhrnutie!$P$23</c15:sqref>
                  <c15:spPr xmlns:c15="http://schemas.microsoft.com/office/drawing/2012/chart">
                    <a:ln w="19050" cap="rnd">
                      <a:noFill/>
                      <a:round/>
                    </a:ln>
                    <a:effectLst/>
                  </c15:spPr>
                  <c15:bubble3D val="0"/>
                  <c15:marker>
                    <c:symbol val="circle"/>
                    <c:size val="5"/>
                    <c:spPr>
                      <a:solidFill>
                        <a:schemeClr val="tx1"/>
                      </a:solidFill>
                      <a:ln w="9525">
                        <a:noFill/>
                      </a:ln>
                      <a:effectLst/>
                    </c:spPr>
                  </c15:marker>
                  <c15:dLbl>
                    <c:idx val="-1"/>
                    <c:tx>
                      <c:rich>
                        <a:bodyPr/>
                        <a:lstStyle/>
                        <a:p>
                          <a:r>
                            <a:rPr lang="en-US"/>
                            <a:t>58,6</a:t>
                          </a:r>
                        </a:p>
                      </c:rich>
                    </c:tx>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8-B321-4804-A569-2E56177AF128}"/>
                      </c:ext>
                    </c:extLst>
                  </c15:dLbl>
                </c15:categoryFilterException>
                <c15:categoryFilterException>
                  <c15:sqref>Zhrnutie!$Q$23</c15:sqref>
                  <c15:spPr xmlns:c15="http://schemas.microsoft.com/office/drawing/2012/chart">
                    <a:ln w="19050" cap="rnd">
                      <a:noFill/>
                      <a:round/>
                    </a:ln>
                    <a:effectLst/>
                  </c15:spPr>
                  <c15:bubble3D val="0"/>
                  <c15:marker>
                    <c:symbol val="circle"/>
                    <c:size val="5"/>
                    <c:spPr>
                      <a:solidFill>
                        <a:schemeClr val="tx1"/>
                      </a:solidFill>
                      <a:ln w="9525">
                        <a:noFill/>
                      </a:ln>
                      <a:effectLst/>
                    </c:spPr>
                  </c15:marker>
                  <c15:dLbl>
                    <c:idx val="-1"/>
                    <c:tx>
                      <c:rich>
                        <a:bodyPr/>
                        <a:lstStyle/>
                        <a:p>
                          <a:r>
                            <a:rPr lang="en-US"/>
                            <a:t>58,7</a:t>
                          </a:r>
                        </a:p>
                      </c:rich>
                    </c:tx>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A-B321-4804-A569-2E56177AF128}"/>
                      </c:ext>
                    </c:extLst>
                  </c15:dLbl>
                </c15:categoryFilterException>
              </c15:categoryFilterExceptions>
            </c:ext>
            <c:ext xmlns:c16="http://schemas.microsoft.com/office/drawing/2014/chart" uri="{C3380CC4-5D6E-409C-BE32-E72D297353CC}">
              <c16:uniqueId val="{0000000C-440A-4425-AE6B-5CD885083BDF}"/>
            </c:ext>
          </c:extLst>
        </c:ser>
        <c:ser>
          <c:idx val="1"/>
          <c:order val="2"/>
          <c:tx>
            <c:v>Horné a spodné sankčné pásmo hrubého dlhu</c:v>
          </c:tx>
          <c:spPr>
            <a:ln w="19050" cap="rnd">
              <a:solidFill>
                <a:srgbClr val="FF0000"/>
              </a:solidFill>
              <a:prstDash val="sysDot"/>
              <a:round/>
            </a:ln>
            <a:effectLst/>
          </c:spPr>
          <c:marker>
            <c:symbol val="none"/>
          </c:marker>
          <c:cat>
            <c:numRef>
              <c:extLst>
                <c:ext xmlns:c15="http://schemas.microsoft.com/office/drawing/2012/chart" uri="{02D57815-91ED-43cb-92C2-25804820EDAC}">
                  <c15:fullRef>
                    <c15:sqref>Zhrnutie!$L$22:$AD$22</c15:sqref>
                  </c15:fullRef>
                </c:ext>
              </c:extLst>
              <c:f>Zhrnutie!$T$22:$AD$22</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Zhrnutie!$L$26:$AD$26</c15:sqref>
                  </c15:fullRef>
                </c:ext>
              </c:extLst>
              <c:f>Zhrnutie!$T$26:$AD$26</c:f>
              <c:numCache>
                <c:formatCode>0</c:formatCode>
                <c:ptCount val="11"/>
                <c:pt idx="0" formatCode="General">
                  <c:v>60</c:v>
                </c:pt>
                <c:pt idx="1" formatCode="General">
                  <c:v>60</c:v>
                </c:pt>
                <c:pt idx="2" formatCode="General">
                  <c:v>59</c:v>
                </c:pt>
                <c:pt idx="3" formatCode="General">
                  <c:v>58</c:v>
                </c:pt>
                <c:pt idx="4" formatCode="General">
                  <c:v>57</c:v>
                </c:pt>
                <c:pt idx="5" formatCode="General">
                  <c:v>56</c:v>
                </c:pt>
                <c:pt idx="6" formatCode="General">
                  <c:v>55</c:v>
                </c:pt>
                <c:pt idx="7" formatCode="General">
                  <c:v>54</c:v>
                </c:pt>
                <c:pt idx="8" formatCode="General">
                  <c:v>53</c:v>
                </c:pt>
                <c:pt idx="9" formatCode="General">
                  <c:v>52</c:v>
                </c:pt>
                <c:pt idx="10" formatCode="General">
                  <c:v>51</c:v>
                </c:pt>
              </c:numCache>
            </c:numRef>
          </c:val>
          <c:smooth val="0"/>
          <c:extLst>
            <c:ext xmlns:c16="http://schemas.microsoft.com/office/drawing/2014/chart" uri="{C3380CC4-5D6E-409C-BE32-E72D297353CC}">
              <c16:uniqueId val="{0000000D-440A-4425-AE6B-5CD885083BDF}"/>
            </c:ext>
          </c:extLst>
        </c:ser>
        <c:ser>
          <c:idx val="2"/>
          <c:order val="3"/>
          <c:tx>
            <c:strRef>
              <c:f>Zhrnutie!$K$27</c:f>
              <c:strCache>
                <c:ptCount val="1"/>
                <c:pt idx="0">
                  <c:v>Dolné sankčné pásmo</c:v>
                </c:pt>
              </c:strCache>
            </c:strRef>
          </c:tx>
          <c:spPr>
            <a:ln w="19050" cap="rnd">
              <a:solidFill>
                <a:srgbClr val="FF0000"/>
              </a:solidFill>
              <a:prstDash val="sysDot"/>
              <a:round/>
            </a:ln>
            <a:effectLst/>
          </c:spPr>
          <c:marker>
            <c:symbol val="none"/>
          </c:marker>
          <c:cat>
            <c:numRef>
              <c:extLst>
                <c:ext xmlns:c15="http://schemas.microsoft.com/office/drawing/2012/chart" uri="{02D57815-91ED-43cb-92C2-25804820EDAC}">
                  <c15:fullRef>
                    <c15:sqref>Zhrnutie!$L$22:$AD$22</c15:sqref>
                  </c15:fullRef>
                </c:ext>
              </c:extLst>
              <c:f>Zhrnutie!$T$22:$AD$22</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Zhrnutie!$L$27:$AD$27</c15:sqref>
                  </c15:fullRef>
                </c:ext>
              </c:extLst>
              <c:f>Zhrnutie!$T$27:$AD$27</c:f>
              <c:numCache>
                <c:formatCode>0</c:formatCode>
                <c:ptCount val="11"/>
                <c:pt idx="0" formatCode="General">
                  <c:v>50</c:v>
                </c:pt>
                <c:pt idx="1" formatCode="General">
                  <c:v>50</c:v>
                </c:pt>
                <c:pt idx="2" formatCode="General">
                  <c:v>49</c:v>
                </c:pt>
                <c:pt idx="3" formatCode="General">
                  <c:v>48</c:v>
                </c:pt>
                <c:pt idx="4" formatCode="General">
                  <c:v>47</c:v>
                </c:pt>
                <c:pt idx="5" formatCode="General">
                  <c:v>46</c:v>
                </c:pt>
                <c:pt idx="6" formatCode="General">
                  <c:v>45</c:v>
                </c:pt>
                <c:pt idx="7" formatCode="General">
                  <c:v>44</c:v>
                </c:pt>
                <c:pt idx="8" formatCode="General">
                  <c:v>43</c:v>
                </c:pt>
                <c:pt idx="9" formatCode="General">
                  <c:v>42</c:v>
                </c:pt>
                <c:pt idx="10" formatCode="General">
                  <c:v>41</c:v>
                </c:pt>
              </c:numCache>
            </c:numRef>
          </c:val>
          <c:smooth val="0"/>
          <c:extLst>
            <c:ext xmlns:c16="http://schemas.microsoft.com/office/drawing/2014/chart" uri="{C3380CC4-5D6E-409C-BE32-E72D297353CC}">
              <c16:uniqueId val="{0000000E-440A-4425-AE6B-5CD885083BDF}"/>
            </c:ext>
          </c:extLst>
        </c:ser>
        <c:dLbls>
          <c:showLegendKey val="0"/>
          <c:showVal val="0"/>
          <c:showCatName val="0"/>
          <c:showSerName val="0"/>
          <c:showPercent val="0"/>
          <c:showBubbleSize val="0"/>
        </c:dLbls>
        <c:marker val="1"/>
        <c:smooth val="0"/>
        <c:axId val="674649864"/>
        <c:axId val="674650256"/>
      </c:lineChart>
      <c:catAx>
        <c:axId val="674649864"/>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4650256"/>
        <c:crosses val="autoZero"/>
        <c:auto val="1"/>
        <c:lblAlgn val="ctr"/>
        <c:lblOffset val="100"/>
        <c:noMultiLvlLbl val="0"/>
      </c:catAx>
      <c:valAx>
        <c:axId val="674650256"/>
        <c:scaling>
          <c:orientation val="minMax"/>
          <c:max val="70"/>
          <c:min val="30"/>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4649864"/>
        <c:crosses val="autoZero"/>
        <c:crossBetween val="between"/>
        <c:majorUnit val="10"/>
      </c:valAx>
      <c:spPr>
        <a:noFill/>
        <a:ln>
          <a:noFill/>
        </a:ln>
        <a:effectLst/>
      </c:spPr>
    </c:plotArea>
    <c:legend>
      <c:legendPos val="t"/>
      <c:legendEntry>
        <c:idx val="4"/>
        <c:delete val="1"/>
      </c:legendEntry>
      <c:layout>
        <c:manualLayout>
          <c:xMode val="edge"/>
          <c:yMode val="edge"/>
          <c:x val="8.701651919101562E-2"/>
          <c:y val="0.8254847645429364"/>
          <c:w val="0.82596696161796879"/>
          <c:h val="0.1617807053896656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10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0.28873294983204817"/>
          <c:w val="0.88681971843441276"/>
          <c:h val="0.56976232893168144"/>
        </c:manualLayout>
      </c:layout>
      <c:barChart>
        <c:barDir val="col"/>
        <c:grouping val="stacked"/>
        <c:varyColors val="0"/>
        <c:ser>
          <c:idx val="5"/>
          <c:order val="0"/>
          <c:tx>
            <c:strRef>
              <c:f>Zhrnutie!$A$27</c:f>
              <c:strCache>
                <c:ptCount val="1"/>
                <c:pt idx="0">
                  <c:v>Saldo bez dočasných efektov</c:v>
                </c:pt>
              </c:strCache>
            </c:strRef>
          </c:tx>
          <c:spPr>
            <a:solidFill>
              <a:srgbClr val="1F49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Zhrnutie!$B$27:$H$27</c:f>
              <c:numCache>
                <c:formatCode>0.0</c:formatCode>
                <c:ptCount val="7"/>
                <c:pt idx="0">
                  <c:v>-2.4640614618084316</c:v>
                </c:pt>
                <c:pt idx="1">
                  <c:v>-2.1269057675833141</c:v>
                </c:pt>
                <c:pt idx="2">
                  <c:v>-1.4805710290641361</c:v>
                </c:pt>
                <c:pt idx="3">
                  <c:v>-4.347068161067595</c:v>
                </c:pt>
                <c:pt idx="4">
                  <c:v>-5.7751000474857799</c:v>
                </c:pt>
                <c:pt idx="5">
                  <c:v>-6.8932605468583485</c:v>
                </c:pt>
                <c:pt idx="6">
                  <c:v>-6.6934528611842623</c:v>
                </c:pt>
              </c:numCache>
            </c:numRef>
          </c:val>
          <c:extLst>
            <c:ext xmlns:c16="http://schemas.microsoft.com/office/drawing/2014/chart" uri="{C3380CC4-5D6E-409C-BE32-E72D297353CC}">
              <c16:uniqueId val="{0000000B-26F5-49DC-B5AC-D977A7E20429}"/>
            </c:ext>
          </c:extLst>
        </c:ser>
        <c:ser>
          <c:idx val="1"/>
          <c:order val="1"/>
          <c:tx>
            <c:strRef>
              <c:f>Zhrnutie!$A$23</c:f>
              <c:strCache>
                <c:ptCount val="1"/>
                <c:pt idx="0">
                  <c:v>Cyklická zložka salda</c:v>
                </c:pt>
              </c:strCache>
            </c:strRef>
          </c:tx>
          <c:spPr>
            <a:solidFill>
              <a:schemeClr val="accent1"/>
            </a:solidFill>
            <a:ln>
              <a:noFill/>
            </a:ln>
            <a:effectLst/>
          </c:spPr>
          <c:invertIfNegative val="0"/>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Zhrnutie!$B$23:$H$23</c:f>
              <c:numCache>
                <c:formatCode>0.0</c:formatCode>
                <c:ptCount val="7"/>
                <c:pt idx="0">
                  <c:v>-1.0183740130843146</c:v>
                </c:pt>
                <c:pt idx="1">
                  <c:v>8.6976190538908635E-2</c:v>
                </c:pt>
                <c:pt idx="2">
                  <c:v>0.25114447891230662</c:v>
                </c:pt>
                <c:pt idx="3">
                  <c:v>3.6203395255672691E-2</c:v>
                </c:pt>
                <c:pt idx="4">
                  <c:v>-0.31390576131175846</c:v>
                </c:pt>
                <c:pt idx="5">
                  <c:v>-6.7394531416521521E-3</c:v>
                </c:pt>
                <c:pt idx="6">
                  <c:v>9.3452861184262284E-2</c:v>
                </c:pt>
              </c:numCache>
            </c:numRef>
          </c:val>
          <c:extLst>
            <c:ext xmlns:c16="http://schemas.microsoft.com/office/drawing/2014/chart" uri="{C3380CC4-5D6E-409C-BE32-E72D297353CC}">
              <c16:uniqueId val="{00000000-716B-45B5-8976-5D69AC7090F1}"/>
            </c:ext>
          </c:extLst>
        </c:ser>
        <c:ser>
          <c:idx val="4"/>
          <c:order val="2"/>
          <c:tx>
            <c:strRef>
              <c:f>Zhrnutie!$A$26</c:f>
              <c:strCache>
                <c:ptCount val="1"/>
                <c:pt idx="0">
                  <c:v>Ostatné dočasné vplyvy</c:v>
                </c:pt>
              </c:strCache>
            </c:strRef>
          </c:tx>
          <c:spPr>
            <a:solidFill>
              <a:schemeClr val="accent5"/>
            </a:solidFill>
            <a:ln>
              <a:noFill/>
            </a:ln>
            <a:effectLst/>
          </c:spPr>
          <c:invertIfNegative val="0"/>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Zhrnutie!$B$26:$H$26</c:f>
              <c:numCache>
                <c:formatCode>0.0</c:formatCode>
                <c:ptCount val="7"/>
                <c:pt idx="0">
                  <c:v>7.6005936427607113E-2</c:v>
                </c:pt>
                <c:pt idx="1">
                  <c:v>-0.40320542067236076</c:v>
                </c:pt>
                <c:pt idx="2">
                  <c:v>-0.13960485487442842</c:v>
                </c:pt>
                <c:pt idx="3">
                  <c:v>-8.302612454766034E-2</c:v>
                </c:pt>
                <c:pt idx="4">
                  <c:v>-7.6228577902236281E-3</c:v>
                </c:pt>
              </c:numCache>
            </c:numRef>
          </c:val>
          <c:extLst>
            <c:ext xmlns:c16="http://schemas.microsoft.com/office/drawing/2014/chart" uri="{C3380CC4-5D6E-409C-BE32-E72D297353CC}">
              <c16:uniqueId val="{0000000A-26F5-49DC-B5AC-D977A7E20429}"/>
            </c:ext>
          </c:extLst>
        </c:ser>
        <c:ser>
          <c:idx val="2"/>
          <c:order val="3"/>
          <c:tx>
            <c:strRef>
              <c:f>Zhrnutie!$A$24</c:f>
              <c:strCache>
                <c:ptCount val="1"/>
                <c:pt idx="0">
                  <c:v>Dočasné vplyvy COVID</c:v>
                </c:pt>
              </c:strCache>
            </c:strRef>
          </c:tx>
          <c:spPr>
            <a:solidFill>
              <a:schemeClr val="accent3"/>
            </a:solidFill>
            <a:ln>
              <a:noFill/>
            </a:ln>
            <a:effectLst/>
          </c:spPr>
          <c:invertIfNegative val="0"/>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Zhrnutie!$B$24:$H$24</c:f>
              <c:numCache>
                <c:formatCode>0.0</c:formatCode>
                <c:ptCount val="7"/>
                <c:pt idx="0">
                  <c:v>-1.8940371294204827</c:v>
                </c:pt>
                <c:pt idx="1">
                  <c:v>-2.9946289922265312</c:v>
                </c:pt>
                <c:pt idx="2">
                  <c:v>-0.63648121283756198</c:v>
                </c:pt>
                <c:pt idx="3">
                  <c:v>-0.12729029975160588</c:v>
                </c:pt>
              </c:numCache>
            </c:numRef>
          </c:val>
          <c:extLst>
            <c:ext xmlns:c16="http://schemas.microsoft.com/office/drawing/2014/chart" uri="{C3380CC4-5D6E-409C-BE32-E72D297353CC}">
              <c16:uniqueId val="{00000008-26F5-49DC-B5AC-D977A7E20429}"/>
            </c:ext>
          </c:extLst>
        </c:ser>
        <c:ser>
          <c:idx val="3"/>
          <c:order val="4"/>
          <c:tx>
            <c:strRef>
              <c:f>Zhrnutie!$A$25</c:f>
              <c:strCache>
                <c:ptCount val="1"/>
                <c:pt idx="0">
                  <c:v>Dočasné opatrenia na kompenzáciu cien energií</c:v>
                </c:pt>
              </c:strCache>
            </c:strRef>
          </c:tx>
          <c:spPr>
            <a:solidFill>
              <a:sysClr val="window" lastClr="FFFFFF">
                <a:lumMod val="85000"/>
              </a:sysClr>
            </a:solidFill>
            <a:ln>
              <a:noFill/>
            </a:ln>
            <a:effectLst/>
          </c:spPr>
          <c:invertIfNegative val="0"/>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Zhrnutie!$B$25:$H$25</c:f>
              <c:numCache>
                <c:formatCode>0.0</c:formatCode>
                <c:ptCount val="7"/>
                <c:pt idx="2">
                  <c:v>-1.515342434009688E-2</c:v>
                </c:pt>
                <c:pt idx="3">
                  <c:v>-1.6791457353443342</c:v>
                </c:pt>
                <c:pt idx="4">
                  <c:v>-0.41337133341223736</c:v>
                </c:pt>
              </c:numCache>
            </c:numRef>
          </c:val>
          <c:extLst>
            <c:ext xmlns:c16="http://schemas.microsoft.com/office/drawing/2014/chart" uri="{C3380CC4-5D6E-409C-BE32-E72D297353CC}">
              <c16:uniqueId val="{00000009-26F5-49DC-B5AC-D977A7E20429}"/>
            </c:ext>
          </c:extLst>
        </c:ser>
        <c:dLbls>
          <c:showLegendKey val="0"/>
          <c:showVal val="0"/>
          <c:showCatName val="0"/>
          <c:showSerName val="0"/>
          <c:showPercent val="0"/>
          <c:showBubbleSize val="0"/>
        </c:dLbls>
        <c:gapWidth val="150"/>
        <c:overlap val="100"/>
        <c:axId val="557539920"/>
        <c:axId val="561011080"/>
      </c:barChart>
      <c:lineChart>
        <c:grouping val="stacked"/>
        <c:varyColors val="0"/>
        <c:ser>
          <c:idx val="0"/>
          <c:order val="5"/>
          <c:tx>
            <c:strRef>
              <c:f>Zhrnutie!$A$22</c:f>
              <c:strCache>
                <c:ptCount val="1"/>
                <c:pt idx="0">
                  <c:v>Nominálne saldo / scenár bez reakcie vlády</c:v>
                </c:pt>
              </c:strCache>
            </c:strRef>
          </c:tx>
          <c:spPr>
            <a:ln w="28575" cap="rnd">
              <a:solidFill>
                <a:sysClr val="windowText" lastClr="000000"/>
              </a:solidFill>
              <a:round/>
            </a:ln>
            <a:effectLst/>
          </c:spPr>
          <c:marker>
            <c:symbol val="circle"/>
            <c:size val="6"/>
            <c:spPr>
              <a:solidFill>
                <a:sysClr val="windowText" lastClr="000000"/>
              </a:solidFill>
              <a:ln w="9525">
                <a:solidFill>
                  <a:sysClr val="windowText" lastClr="000000"/>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Zhrnutie!$B$22:$H$22</c:f>
              <c:numCache>
                <c:formatCode>0.0</c:formatCode>
                <c:ptCount val="7"/>
                <c:pt idx="0">
                  <c:v>-5.3004666678856216</c:v>
                </c:pt>
                <c:pt idx="1">
                  <c:v>-5.4305277949314608</c:v>
                </c:pt>
                <c:pt idx="2">
                  <c:v>-2.0206660422039167</c:v>
                </c:pt>
                <c:pt idx="3">
                  <c:v>-6.2003269254555224</c:v>
                </c:pt>
                <c:pt idx="4">
                  <c:v>-6.51</c:v>
                </c:pt>
                <c:pt idx="5">
                  <c:v>-6.9</c:v>
                </c:pt>
                <c:pt idx="6">
                  <c:v>-6.6</c:v>
                </c:pt>
              </c:numCache>
            </c:numRef>
          </c:val>
          <c:smooth val="0"/>
          <c:extLst>
            <c:ext xmlns:c16="http://schemas.microsoft.com/office/drawing/2014/chart" uri="{C3380CC4-5D6E-409C-BE32-E72D297353CC}">
              <c16:uniqueId val="{00000002-716B-45B5-8976-5D69AC7090F1}"/>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t"/>
        <c:numFmt formatCode="General" sourceLinked="1"/>
        <c:majorTickMark val="none"/>
        <c:minorTickMark val="none"/>
        <c:tickLblPos val="high"/>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axMin"/>
          <c:max val="1"/>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57539920"/>
        <c:crosses val="autoZero"/>
        <c:crossBetween val="between"/>
        <c:majorUnit val="1"/>
      </c:valAx>
      <c:spPr>
        <a:noFill/>
        <a:ln>
          <a:noFill/>
        </a:ln>
        <a:effectLst/>
      </c:spPr>
    </c:plotArea>
    <c:legend>
      <c:legendPos val="b"/>
      <c:layout>
        <c:manualLayout>
          <c:xMode val="edge"/>
          <c:yMode val="edge"/>
          <c:x val="3.0951123487612836E-2"/>
          <c:y val="5.3649381910162788E-3"/>
          <c:w val="0.57268613298337712"/>
          <c:h val="0.307139651585002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0.28873294983204817"/>
          <c:w val="0.88681971843441276"/>
          <c:h val="0.56976232893168144"/>
        </c:manualLayout>
      </c:layout>
      <c:barChart>
        <c:barDir val="col"/>
        <c:grouping val="stacked"/>
        <c:varyColors val="0"/>
        <c:ser>
          <c:idx val="5"/>
          <c:order val="0"/>
          <c:tx>
            <c:strRef>
              <c:f>Zhrnutie!$A$54</c:f>
              <c:strCache>
                <c:ptCount val="1"/>
                <c:pt idx="0">
                  <c:v>Balance adjusted for temporary effects</c:v>
                </c:pt>
              </c:strCache>
            </c:strRef>
          </c:tx>
          <c:spPr>
            <a:solidFill>
              <a:srgbClr val="1F49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Zhrnutie!$B$27:$H$27</c:f>
              <c:numCache>
                <c:formatCode>0.0</c:formatCode>
                <c:ptCount val="7"/>
                <c:pt idx="0">
                  <c:v>-2.4640614618084316</c:v>
                </c:pt>
                <c:pt idx="1">
                  <c:v>-2.1269057675833141</c:v>
                </c:pt>
                <c:pt idx="2">
                  <c:v>-1.4805710290641361</c:v>
                </c:pt>
                <c:pt idx="3">
                  <c:v>-4.347068161067595</c:v>
                </c:pt>
                <c:pt idx="4">
                  <c:v>-5.7751000474857799</c:v>
                </c:pt>
                <c:pt idx="5">
                  <c:v>-6.8932605468583485</c:v>
                </c:pt>
                <c:pt idx="6">
                  <c:v>-6.6934528611842623</c:v>
                </c:pt>
              </c:numCache>
            </c:numRef>
          </c:val>
          <c:extLst>
            <c:ext xmlns:c16="http://schemas.microsoft.com/office/drawing/2014/chart" uri="{C3380CC4-5D6E-409C-BE32-E72D297353CC}">
              <c16:uniqueId val="{00000000-A543-4511-B16E-244BF93CEE99}"/>
            </c:ext>
          </c:extLst>
        </c:ser>
        <c:ser>
          <c:idx val="1"/>
          <c:order val="1"/>
          <c:tx>
            <c:strRef>
              <c:f>Zhrnutie!$A$50</c:f>
              <c:strCache>
                <c:ptCount val="1"/>
                <c:pt idx="0">
                  <c:v>Cyclical component </c:v>
                </c:pt>
              </c:strCache>
            </c:strRef>
          </c:tx>
          <c:spPr>
            <a:solidFill>
              <a:schemeClr val="accent1"/>
            </a:solidFill>
            <a:ln>
              <a:noFill/>
            </a:ln>
            <a:effectLst/>
          </c:spPr>
          <c:invertIfNegative val="0"/>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Zhrnutie!$B$23:$H$23</c:f>
              <c:numCache>
                <c:formatCode>0.0</c:formatCode>
                <c:ptCount val="7"/>
                <c:pt idx="0">
                  <c:v>-1.0183740130843146</c:v>
                </c:pt>
                <c:pt idx="1">
                  <c:v>8.6976190538908635E-2</c:v>
                </c:pt>
                <c:pt idx="2">
                  <c:v>0.25114447891230662</c:v>
                </c:pt>
                <c:pt idx="3">
                  <c:v>3.6203395255672691E-2</c:v>
                </c:pt>
                <c:pt idx="4">
                  <c:v>-0.31390576131175846</c:v>
                </c:pt>
                <c:pt idx="5">
                  <c:v>-6.7394531416521521E-3</c:v>
                </c:pt>
                <c:pt idx="6">
                  <c:v>9.3452861184262284E-2</c:v>
                </c:pt>
              </c:numCache>
            </c:numRef>
          </c:val>
          <c:extLst>
            <c:ext xmlns:c16="http://schemas.microsoft.com/office/drawing/2014/chart" uri="{C3380CC4-5D6E-409C-BE32-E72D297353CC}">
              <c16:uniqueId val="{00000001-A543-4511-B16E-244BF93CEE99}"/>
            </c:ext>
          </c:extLst>
        </c:ser>
        <c:ser>
          <c:idx val="4"/>
          <c:order val="2"/>
          <c:tx>
            <c:strRef>
              <c:f>Zhrnutie!$A$53</c:f>
              <c:strCache>
                <c:ptCount val="1"/>
                <c:pt idx="0">
                  <c:v>Other temporary efects</c:v>
                </c:pt>
              </c:strCache>
            </c:strRef>
          </c:tx>
          <c:spPr>
            <a:solidFill>
              <a:schemeClr val="accent5"/>
            </a:solidFill>
            <a:ln>
              <a:noFill/>
            </a:ln>
            <a:effectLst/>
          </c:spPr>
          <c:invertIfNegative val="0"/>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Zhrnutie!$B$26:$H$26</c:f>
              <c:numCache>
                <c:formatCode>0.0</c:formatCode>
                <c:ptCount val="7"/>
                <c:pt idx="0">
                  <c:v>7.6005936427607113E-2</c:v>
                </c:pt>
                <c:pt idx="1">
                  <c:v>-0.40320542067236076</c:v>
                </c:pt>
                <c:pt idx="2">
                  <c:v>-0.13960485487442842</c:v>
                </c:pt>
                <c:pt idx="3">
                  <c:v>-8.302612454766034E-2</c:v>
                </c:pt>
                <c:pt idx="4">
                  <c:v>-7.6228577902236281E-3</c:v>
                </c:pt>
              </c:numCache>
            </c:numRef>
          </c:val>
          <c:extLst>
            <c:ext xmlns:c16="http://schemas.microsoft.com/office/drawing/2014/chart" uri="{C3380CC4-5D6E-409C-BE32-E72D297353CC}">
              <c16:uniqueId val="{00000002-A543-4511-B16E-244BF93CEE99}"/>
            </c:ext>
          </c:extLst>
        </c:ser>
        <c:ser>
          <c:idx val="2"/>
          <c:order val="3"/>
          <c:tx>
            <c:strRef>
              <c:f>Zhrnutie!$A$51</c:f>
              <c:strCache>
                <c:ptCount val="1"/>
                <c:pt idx="0">
                  <c:v>Temporary impact of COVID</c:v>
                </c:pt>
              </c:strCache>
            </c:strRef>
          </c:tx>
          <c:spPr>
            <a:solidFill>
              <a:schemeClr val="accent3"/>
            </a:solidFill>
            <a:ln>
              <a:noFill/>
            </a:ln>
            <a:effectLst/>
          </c:spPr>
          <c:invertIfNegative val="0"/>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Zhrnutie!$B$24:$H$24</c:f>
              <c:numCache>
                <c:formatCode>0.0</c:formatCode>
                <c:ptCount val="7"/>
                <c:pt idx="0">
                  <c:v>-1.8940371294204827</c:v>
                </c:pt>
                <c:pt idx="1">
                  <c:v>-2.9946289922265312</c:v>
                </c:pt>
                <c:pt idx="2">
                  <c:v>-0.63648121283756198</c:v>
                </c:pt>
                <c:pt idx="3">
                  <c:v>-0.12729029975160588</c:v>
                </c:pt>
              </c:numCache>
            </c:numRef>
          </c:val>
          <c:extLst>
            <c:ext xmlns:c16="http://schemas.microsoft.com/office/drawing/2014/chart" uri="{C3380CC4-5D6E-409C-BE32-E72D297353CC}">
              <c16:uniqueId val="{00000003-A543-4511-B16E-244BF93CEE99}"/>
            </c:ext>
          </c:extLst>
        </c:ser>
        <c:ser>
          <c:idx val="3"/>
          <c:order val="4"/>
          <c:tx>
            <c:strRef>
              <c:f>Zhrnutie!$A$52</c:f>
              <c:strCache>
                <c:ptCount val="1"/>
                <c:pt idx="0">
                  <c:v>Temporary measures related to energy prices</c:v>
                </c:pt>
              </c:strCache>
            </c:strRef>
          </c:tx>
          <c:spPr>
            <a:solidFill>
              <a:sysClr val="window" lastClr="FFFFFF">
                <a:lumMod val="85000"/>
              </a:sysClr>
            </a:solidFill>
            <a:ln>
              <a:noFill/>
            </a:ln>
            <a:effectLst/>
          </c:spPr>
          <c:invertIfNegative val="0"/>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Zhrnutie!$B$25:$H$25</c:f>
              <c:numCache>
                <c:formatCode>0.0</c:formatCode>
                <c:ptCount val="7"/>
                <c:pt idx="2">
                  <c:v>-1.515342434009688E-2</c:v>
                </c:pt>
                <c:pt idx="3">
                  <c:v>-1.6791457353443342</c:v>
                </c:pt>
                <c:pt idx="4">
                  <c:v>-0.41337133341223736</c:v>
                </c:pt>
              </c:numCache>
            </c:numRef>
          </c:val>
          <c:extLst>
            <c:ext xmlns:c16="http://schemas.microsoft.com/office/drawing/2014/chart" uri="{C3380CC4-5D6E-409C-BE32-E72D297353CC}">
              <c16:uniqueId val="{00000004-A543-4511-B16E-244BF93CEE99}"/>
            </c:ext>
          </c:extLst>
        </c:ser>
        <c:dLbls>
          <c:showLegendKey val="0"/>
          <c:showVal val="0"/>
          <c:showCatName val="0"/>
          <c:showSerName val="0"/>
          <c:showPercent val="0"/>
          <c:showBubbleSize val="0"/>
        </c:dLbls>
        <c:gapWidth val="150"/>
        <c:overlap val="100"/>
        <c:axId val="557539920"/>
        <c:axId val="561011080"/>
      </c:barChart>
      <c:lineChart>
        <c:grouping val="stacked"/>
        <c:varyColors val="0"/>
        <c:ser>
          <c:idx val="0"/>
          <c:order val="5"/>
          <c:tx>
            <c:strRef>
              <c:f>Zhrnutie!$A$49</c:f>
              <c:strCache>
                <c:ptCount val="1"/>
                <c:pt idx="0">
                  <c:v>General government balance</c:v>
                </c:pt>
              </c:strCache>
            </c:strRef>
          </c:tx>
          <c:spPr>
            <a:ln w="28575" cap="rnd">
              <a:solidFill>
                <a:sysClr val="windowText" lastClr="000000"/>
              </a:solidFill>
              <a:round/>
            </a:ln>
            <a:effectLst/>
          </c:spPr>
          <c:marker>
            <c:symbol val="circle"/>
            <c:size val="6"/>
            <c:spPr>
              <a:solidFill>
                <a:sysClr val="windowText" lastClr="000000"/>
              </a:solidFill>
              <a:ln w="9525">
                <a:solidFill>
                  <a:sysClr val="windowText" lastClr="000000"/>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Zhrnutie!$B$21:$H$21</c:f>
              <c:numCache>
                <c:formatCode>General</c:formatCode>
                <c:ptCount val="7"/>
                <c:pt idx="0">
                  <c:v>2020</c:v>
                </c:pt>
                <c:pt idx="1">
                  <c:v>2021</c:v>
                </c:pt>
                <c:pt idx="2">
                  <c:v>2022</c:v>
                </c:pt>
                <c:pt idx="3">
                  <c:v>2023</c:v>
                </c:pt>
                <c:pt idx="4">
                  <c:v>2024</c:v>
                </c:pt>
                <c:pt idx="5">
                  <c:v>2025</c:v>
                </c:pt>
                <c:pt idx="6">
                  <c:v>2026</c:v>
                </c:pt>
              </c:numCache>
            </c:numRef>
          </c:cat>
          <c:val>
            <c:numRef>
              <c:f>Zhrnutie!$B$22:$H$22</c:f>
              <c:numCache>
                <c:formatCode>0.0</c:formatCode>
                <c:ptCount val="7"/>
                <c:pt idx="0">
                  <c:v>-5.3004666678856216</c:v>
                </c:pt>
                <c:pt idx="1">
                  <c:v>-5.4305277949314608</c:v>
                </c:pt>
                <c:pt idx="2">
                  <c:v>-2.0206660422039167</c:v>
                </c:pt>
                <c:pt idx="3">
                  <c:v>-6.2003269254555224</c:v>
                </c:pt>
                <c:pt idx="4">
                  <c:v>-6.51</c:v>
                </c:pt>
                <c:pt idx="5">
                  <c:v>-6.9</c:v>
                </c:pt>
                <c:pt idx="6">
                  <c:v>-6.6</c:v>
                </c:pt>
              </c:numCache>
            </c:numRef>
          </c:val>
          <c:smooth val="0"/>
          <c:extLst>
            <c:ext xmlns:c16="http://schemas.microsoft.com/office/drawing/2014/chart" uri="{C3380CC4-5D6E-409C-BE32-E72D297353CC}">
              <c16:uniqueId val="{00000005-A543-4511-B16E-244BF93CEE99}"/>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t"/>
        <c:numFmt formatCode="General" sourceLinked="1"/>
        <c:majorTickMark val="none"/>
        <c:minorTickMark val="none"/>
        <c:tickLblPos val="high"/>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axMin"/>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57539920"/>
        <c:crosses val="autoZero"/>
        <c:crossBetween val="between"/>
        <c:majorUnit val="1"/>
      </c:valAx>
      <c:spPr>
        <a:noFill/>
        <a:ln>
          <a:noFill/>
        </a:ln>
        <a:effectLst/>
      </c:spPr>
    </c:plotArea>
    <c:legend>
      <c:legendPos val="b"/>
      <c:layout>
        <c:manualLayout>
          <c:xMode val="edge"/>
          <c:yMode val="edge"/>
          <c:x val="3.0951123487612836E-2"/>
          <c:y val="5.3649381910162788E-3"/>
          <c:w val="0.57268613298337712"/>
          <c:h val="0.307139651585002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1539126675313"/>
          <c:y val="3.1565424128078168E-2"/>
          <c:w val="0.8408531488687131"/>
          <c:h val="0.69644120662202547"/>
        </c:manualLayout>
      </c:layout>
      <c:areaChart>
        <c:grouping val="stacked"/>
        <c:varyColors val="0"/>
        <c:ser>
          <c:idx val="6"/>
          <c:order val="1"/>
          <c:tx>
            <c:strRef>
              <c:f>Zhrnutie!$AE$25</c:f>
              <c:strCache>
                <c:ptCount val="1"/>
                <c:pt idx="0">
                  <c:v>Net debt</c:v>
                </c:pt>
              </c:strCache>
            </c:strRef>
          </c:tx>
          <c:spPr>
            <a:solidFill>
              <a:srgbClr val="00589A"/>
            </a:solidFill>
            <a:ln>
              <a:noFill/>
            </a:ln>
            <a:effectLst/>
          </c:spPr>
          <c:cat>
            <c:numRef>
              <c:extLst>
                <c:ext xmlns:c15="http://schemas.microsoft.com/office/drawing/2012/chart" uri="{02D57815-91ED-43cb-92C2-25804820EDAC}">
                  <c15:fullRef>
                    <c15:sqref>Zhrnutie!$L$22:$AD$22</c15:sqref>
                  </c15:fullRef>
                </c:ext>
              </c:extLst>
              <c:f>Zhrnutie!$T$22:$AD$22</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Zhrnutie!$L$25:$AD$25</c15:sqref>
                  </c15:fullRef>
                </c:ext>
              </c:extLst>
              <c:f>Zhrnutie!$T$25:$AD$25</c:f>
              <c:numCache>
                <c:formatCode>0.0</c:formatCode>
                <c:ptCount val="11"/>
                <c:pt idx="0">
                  <c:v>46.928453271330902</c:v>
                </c:pt>
                <c:pt idx="1">
                  <c:v>45.741709297628958</c:v>
                </c:pt>
                <c:pt idx="2">
                  <c:v>43.330589179314359</c:v>
                </c:pt>
                <c:pt idx="3">
                  <c:v>43.084864561833889</c:v>
                </c:pt>
                <c:pt idx="4">
                  <c:v>48.882600351765404</c:v>
                </c:pt>
                <c:pt idx="5">
                  <c:v>49.640621506277924</c:v>
                </c:pt>
                <c:pt idx="6">
                  <c:v>47.683610070826276</c:v>
                </c:pt>
                <c:pt idx="7">
                  <c:v>49.656197887839099</c:v>
                </c:pt>
                <c:pt idx="8">
                  <c:v>53.491061063670841</c:v>
                </c:pt>
                <c:pt idx="9">
                  <c:v>57.195505049152025</c:v>
                </c:pt>
                <c:pt idx="10">
                  <c:v>61.916217163365253</c:v>
                </c:pt>
              </c:numCache>
            </c:numRef>
          </c:val>
          <c:extLst>
            <c:ext xmlns:c16="http://schemas.microsoft.com/office/drawing/2014/chart" uri="{C3380CC4-5D6E-409C-BE32-E72D297353CC}">
              <c16:uniqueId val="{00000000-DB8D-46F8-A782-9B42363AB392}"/>
            </c:ext>
          </c:extLst>
        </c:ser>
        <c:ser>
          <c:idx val="8"/>
          <c:order val="4"/>
          <c:tx>
            <c:strRef>
              <c:f>Zhrnutie!$AE$24</c:f>
              <c:strCache>
                <c:ptCount val="1"/>
                <c:pt idx="0">
                  <c:v>Liquid financial assets (LFA)</c:v>
                </c:pt>
              </c:strCache>
            </c:strRef>
          </c:tx>
          <c:spPr>
            <a:solidFill>
              <a:schemeClr val="accent1">
                <a:lumMod val="60000"/>
                <a:lumOff val="40000"/>
              </a:schemeClr>
            </a:solidFill>
            <a:ln w="25400">
              <a:noFill/>
            </a:ln>
            <a:effectLst/>
          </c:spPr>
          <c:cat>
            <c:numRef>
              <c:extLst>
                <c:ext xmlns:c15="http://schemas.microsoft.com/office/drawing/2012/chart" uri="{02D57815-91ED-43cb-92C2-25804820EDAC}">
                  <c15:fullRef>
                    <c15:sqref>Zhrnutie!$L$22:$AD$22</c15:sqref>
                  </c15:fullRef>
                </c:ext>
              </c:extLst>
              <c:f>Zhrnutie!$T$22:$AD$22</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Zhrnutie!$L$24:$AD$24</c15:sqref>
                  </c15:fullRef>
                </c:ext>
              </c:extLst>
              <c:f>Zhrnutie!$T$24:$AD$24</c:f>
              <c:numCache>
                <c:formatCode>0.0</c:formatCode>
                <c:ptCount val="11"/>
                <c:pt idx="0">
                  <c:v>5.3464461545574054</c:v>
                </c:pt>
                <c:pt idx="1">
                  <c:v>5.7198618583088301</c:v>
                </c:pt>
                <c:pt idx="2">
                  <c:v>6.0774616498550937</c:v>
                </c:pt>
                <c:pt idx="3">
                  <c:v>4.8936916416602427</c:v>
                </c:pt>
                <c:pt idx="4">
                  <c:v>9.9685270645670307</c:v>
                </c:pt>
                <c:pt idx="5">
                  <c:v>11.440544126155155</c:v>
                </c:pt>
                <c:pt idx="6">
                  <c:v>10.11991552679596</c:v>
                </c:pt>
                <c:pt idx="7">
                  <c:v>7.403802923600912</c:v>
                </c:pt>
                <c:pt idx="8">
                  <c:v>6.4735629709119156</c:v>
                </c:pt>
                <c:pt idx="9">
                  <c:v>5.4508549608353212</c:v>
                </c:pt>
                <c:pt idx="10">
                  <c:v>5.4885245380599272</c:v>
                </c:pt>
              </c:numCache>
            </c:numRef>
          </c:val>
          <c:extLst>
            <c:ext xmlns:c16="http://schemas.microsoft.com/office/drawing/2014/chart" uri="{C3380CC4-5D6E-409C-BE32-E72D297353CC}">
              <c16:uniqueId val="{00000001-DB8D-46F8-A782-9B42363AB392}"/>
            </c:ext>
          </c:extLst>
        </c:ser>
        <c:dLbls>
          <c:showLegendKey val="0"/>
          <c:showVal val="0"/>
          <c:showCatName val="0"/>
          <c:showSerName val="0"/>
          <c:showPercent val="0"/>
          <c:showBubbleSize val="0"/>
        </c:dLbls>
        <c:axId val="674649864"/>
        <c:axId val="674650256"/>
      </c:areaChart>
      <c:lineChart>
        <c:grouping val="standard"/>
        <c:varyColors val="0"/>
        <c:ser>
          <c:idx val="0"/>
          <c:order val="0"/>
          <c:tx>
            <c:strRef>
              <c:f>Zhrnutie!$AE$23</c:f>
              <c:strCache>
                <c:ptCount val="1"/>
                <c:pt idx="0">
                  <c:v>General government gross debt</c:v>
                </c:pt>
              </c:strCache>
            </c:strRef>
          </c:tx>
          <c:spPr>
            <a:ln w="19050" cap="rnd">
              <a:noFill/>
              <a:round/>
            </a:ln>
            <a:effectLst/>
          </c:spPr>
          <c:marker>
            <c:symbol val="circle"/>
            <c:size val="5"/>
            <c:spPr>
              <a:solidFill>
                <a:schemeClr val="tx1"/>
              </a:solidFill>
              <a:ln w="9525">
                <a:no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Zhrnutie!$L$22:$AD$22</c15:sqref>
                  </c15:fullRef>
                </c:ext>
              </c:extLst>
              <c:f>Zhrnutie!$T$22:$AD$22</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Zhrnutie!$L$23:$AD$23</c15:sqref>
                  </c15:fullRef>
                </c:ext>
              </c:extLst>
              <c:f>Zhrnutie!$T$23:$AD$23</c:f>
              <c:numCache>
                <c:formatCode>0.0</c:formatCode>
                <c:ptCount val="11"/>
                <c:pt idx="0">
                  <c:v>52.274899425888307</c:v>
                </c:pt>
                <c:pt idx="1">
                  <c:v>51.46157115593779</c:v>
                </c:pt>
                <c:pt idx="2">
                  <c:v>49.408050829169454</c:v>
                </c:pt>
                <c:pt idx="3">
                  <c:v>47.978556203494129</c:v>
                </c:pt>
                <c:pt idx="4">
                  <c:v>58.851127416332439</c:v>
                </c:pt>
                <c:pt idx="5">
                  <c:v>61.081165632433077</c:v>
                </c:pt>
                <c:pt idx="6">
                  <c:v>57.80352559762224</c:v>
                </c:pt>
                <c:pt idx="7">
                  <c:v>57.060000811440013</c:v>
                </c:pt>
                <c:pt idx="8">
                  <c:v>59.964624034582755</c:v>
                </c:pt>
                <c:pt idx="9">
                  <c:v>62.646360009987347</c:v>
                </c:pt>
                <c:pt idx="10">
                  <c:v>67.404741701425181</c:v>
                </c:pt>
              </c:numCache>
            </c:numRef>
          </c:val>
          <c:smooth val="0"/>
          <c:extLst>
            <c:ext xmlns:c16="http://schemas.microsoft.com/office/drawing/2014/chart" uri="{C3380CC4-5D6E-409C-BE32-E72D297353CC}">
              <c16:uniqueId val="{00000002-DB8D-46F8-A782-9B42363AB392}"/>
            </c:ext>
          </c:extLst>
        </c:ser>
        <c:ser>
          <c:idx val="1"/>
          <c:order val="2"/>
          <c:tx>
            <c:v>Upper and lower sanction bands of gross debt</c:v>
          </c:tx>
          <c:spPr>
            <a:ln w="19050" cap="rnd">
              <a:solidFill>
                <a:srgbClr val="FF0000"/>
              </a:solidFill>
              <a:prstDash val="sysDot"/>
              <a:round/>
            </a:ln>
            <a:effectLst/>
          </c:spPr>
          <c:marker>
            <c:symbol val="none"/>
          </c:marker>
          <c:cat>
            <c:numRef>
              <c:extLst>
                <c:ext xmlns:c15="http://schemas.microsoft.com/office/drawing/2012/chart" uri="{02D57815-91ED-43cb-92C2-25804820EDAC}">
                  <c15:fullRef>
                    <c15:sqref>Zhrnutie!$L$22:$AD$22</c15:sqref>
                  </c15:fullRef>
                </c:ext>
              </c:extLst>
              <c:f>Zhrnutie!$T$22:$AD$22</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Zhrnutie!$L$26:$AD$26</c15:sqref>
                  </c15:fullRef>
                </c:ext>
              </c:extLst>
              <c:f>Zhrnutie!$T$26:$AD$26</c:f>
              <c:numCache>
                <c:formatCode>0</c:formatCode>
                <c:ptCount val="11"/>
                <c:pt idx="0" formatCode="General">
                  <c:v>60</c:v>
                </c:pt>
                <c:pt idx="1" formatCode="General">
                  <c:v>60</c:v>
                </c:pt>
                <c:pt idx="2" formatCode="General">
                  <c:v>59</c:v>
                </c:pt>
                <c:pt idx="3" formatCode="General">
                  <c:v>58</c:v>
                </c:pt>
                <c:pt idx="4" formatCode="General">
                  <c:v>57</c:v>
                </c:pt>
                <c:pt idx="5" formatCode="General">
                  <c:v>56</c:v>
                </c:pt>
                <c:pt idx="6" formatCode="General">
                  <c:v>55</c:v>
                </c:pt>
                <c:pt idx="7" formatCode="General">
                  <c:v>54</c:v>
                </c:pt>
                <c:pt idx="8" formatCode="General">
                  <c:v>53</c:v>
                </c:pt>
                <c:pt idx="9" formatCode="General">
                  <c:v>52</c:v>
                </c:pt>
                <c:pt idx="10" formatCode="General">
                  <c:v>51</c:v>
                </c:pt>
              </c:numCache>
            </c:numRef>
          </c:val>
          <c:smooth val="0"/>
          <c:extLst>
            <c:ext xmlns:c16="http://schemas.microsoft.com/office/drawing/2014/chart" uri="{C3380CC4-5D6E-409C-BE32-E72D297353CC}">
              <c16:uniqueId val="{00000003-DB8D-46F8-A782-9B42363AB392}"/>
            </c:ext>
          </c:extLst>
        </c:ser>
        <c:ser>
          <c:idx val="2"/>
          <c:order val="3"/>
          <c:tx>
            <c:strRef>
              <c:f>Zhrnutie!$AE$27</c:f>
              <c:strCache>
                <c:ptCount val="1"/>
                <c:pt idx="0">
                  <c:v>Lower sanction band</c:v>
                </c:pt>
              </c:strCache>
            </c:strRef>
          </c:tx>
          <c:spPr>
            <a:ln w="19050" cap="rnd">
              <a:solidFill>
                <a:srgbClr val="FF0000"/>
              </a:solidFill>
              <a:prstDash val="sysDot"/>
              <a:round/>
            </a:ln>
            <a:effectLst/>
          </c:spPr>
          <c:marker>
            <c:symbol val="none"/>
          </c:marker>
          <c:cat>
            <c:numRef>
              <c:extLst>
                <c:ext xmlns:c15="http://schemas.microsoft.com/office/drawing/2012/chart" uri="{02D57815-91ED-43cb-92C2-25804820EDAC}">
                  <c15:fullRef>
                    <c15:sqref>Zhrnutie!$L$22:$AD$22</c15:sqref>
                  </c15:fullRef>
                </c:ext>
              </c:extLst>
              <c:f>Zhrnutie!$T$22:$AD$22</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Zhrnutie!$L$27:$AD$27</c15:sqref>
                  </c15:fullRef>
                </c:ext>
              </c:extLst>
              <c:f>Zhrnutie!$T$27:$AD$27</c:f>
              <c:numCache>
                <c:formatCode>0</c:formatCode>
                <c:ptCount val="11"/>
                <c:pt idx="0" formatCode="General">
                  <c:v>50</c:v>
                </c:pt>
                <c:pt idx="1" formatCode="General">
                  <c:v>50</c:v>
                </c:pt>
                <c:pt idx="2" formatCode="General">
                  <c:v>49</c:v>
                </c:pt>
                <c:pt idx="3" formatCode="General">
                  <c:v>48</c:v>
                </c:pt>
                <c:pt idx="4" formatCode="General">
                  <c:v>47</c:v>
                </c:pt>
                <c:pt idx="5" formatCode="General">
                  <c:v>46</c:v>
                </c:pt>
                <c:pt idx="6" formatCode="General">
                  <c:v>45</c:v>
                </c:pt>
                <c:pt idx="7" formatCode="General">
                  <c:v>44</c:v>
                </c:pt>
                <c:pt idx="8" formatCode="General">
                  <c:v>43</c:v>
                </c:pt>
                <c:pt idx="9" formatCode="General">
                  <c:v>42</c:v>
                </c:pt>
                <c:pt idx="10" formatCode="General">
                  <c:v>41</c:v>
                </c:pt>
              </c:numCache>
            </c:numRef>
          </c:val>
          <c:smooth val="0"/>
          <c:extLst>
            <c:ext xmlns:c16="http://schemas.microsoft.com/office/drawing/2014/chart" uri="{C3380CC4-5D6E-409C-BE32-E72D297353CC}">
              <c16:uniqueId val="{00000004-DB8D-46F8-A782-9B42363AB392}"/>
            </c:ext>
          </c:extLst>
        </c:ser>
        <c:dLbls>
          <c:showLegendKey val="0"/>
          <c:showVal val="0"/>
          <c:showCatName val="0"/>
          <c:showSerName val="0"/>
          <c:showPercent val="0"/>
          <c:showBubbleSize val="0"/>
        </c:dLbls>
        <c:marker val="1"/>
        <c:smooth val="0"/>
        <c:axId val="674649864"/>
        <c:axId val="674650256"/>
      </c:lineChart>
      <c:catAx>
        <c:axId val="674649864"/>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4650256"/>
        <c:crosses val="autoZero"/>
        <c:auto val="1"/>
        <c:lblAlgn val="ctr"/>
        <c:lblOffset val="100"/>
        <c:noMultiLvlLbl val="0"/>
      </c:catAx>
      <c:valAx>
        <c:axId val="674650256"/>
        <c:scaling>
          <c:orientation val="minMax"/>
          <c:max val="70"/>
          <c:min val="30"/>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4649864"/>
        <c:crosses val="autoZero"/>
        <c:crossBetween val="between"/>
        <c:majorUnit val="10"/>
      </c:valAx>
      <c:spPr>
        <a:noFill/>
        <a:ln>
          <a:noFill/>
        </a:ln>
        <a:effectLst/>
      </c:spPr>
    </c:plotArea>
    <c:legend>
      <c:legendPos val="t"/>
      <c:legendEntry>
        <c:idx val="4"/>
        <c:delete val="1"/>
      </c:legendEntry>
      <c:layout>
        <c:manualLayout>
          <c:xMode val="edge"/>
          <c:yMode val="edge"/>
          <c:x val="8.701651919101562E-2"/>
          <c:y val="0.84125656842964536"/>
          <c:w val="0.82596696161796879"/>
          <c:h val="9.8693889445888222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10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9204858453649E-2"/>
          <c:y val="9.8130646339039729E-2"/>
          <c:w val="0.856006314209244"/>
          <c:h val="0.68856697524822119"/>
        </c:manualLayout>
      </c:layout>
      <c:lineChart>
        <c:grouping val="standard"/>
        <c:varyColors val="0"/>
        <c:ser>
          <c:idx val="3"/>
          <c:order val="0"/>
          <c:tx>
            <c:strRef>
              <c:f>'Graf 1+2'!$D$4</c:f>
              <c:strCache>
                <c:ptCount val="1"/>
                <c:pt idx="0">
                  <c:v>Ciele z Programu stability</c:v>
                </c:pt>
              </c:strCache>
            </c:strRef>
          </c:tx>
          <c:spPr>
            <a:ln w="25400" cap="rnd">
              <a:noFill/>
              <a:round/>
            </a:ln>
            <a:effectLst/>
          </c:spPr>
          <c:marker>
            <c:symbol val="diamond"/>
            <c:size val="6"/>
            <c:spPr>
              <a:solidFill>
                <a:srgbClr val="A6A6A6"/>
              </a:solidFill>
              <a:ln w="9525">
                <a:noFill/>
              </a:ln>
              <a:effectLst/>
            </c:spPr>
          </c:marker>
          <c:dPt>
            <c:idx val="0"/>
            <c:marker>
              <c:symbol val="diamond"/>
              <c:size val="6"/>
              <c:spPr>
                <a:solidFill>
                  <a:srgbClr val="A6A6A6">
                    <a:alpha val="0"/>
                  </a:srgbClr>
                </a:solidFill>
                <a:ln w="9525">
                  <a:noFill/>
                </a:ln>
                <a:effectLst/>
              </c:spPr>
            </c:marker>
            <c:bubble3D val="0"/>
            <c:extLst>
              <c:ext xmlns:c16="http://schemas.microsoft.com/office/drawing/2014/chart" uri="{C3380CC4-5D6E-409C-BE32-E72D297353CC}">
                <c16:uniqueId val="{00000001-0191-4D6A-8E11-6652AE11A3E0}"/>
              </c:ext>
            </c:extLst>
          </c:dPt>
          <c:dPt>
            <c:idx val="1"/>
            <c:marker>
              <c:symbol val="diamond"/>
              <c:size val="6"/>
              <c:spPr>
                <a:solidFill>
                  <a:srgbClr val="A6A6A6">
                    <a:alpha val="0"/>
                  </a:srgbClr>
                </a:solidFill>
                <a:ln w="9525">
                  <a:noFill/>
                </a:ln>
                <a:effectLst/>
              </c:spPr>
            </c:marker>
            <c:bubble3D val="0"/>
            <c:extLst>
              <c:ext xmlns:c16="http://schemas.microsoft.com/office/drawing/2014/chart" uri="{C3380CC4-5D6E-409C-BE32-E72D297353CC}">
                <c16:uniqueId val="{00000002-0191-4D6A-8E11-6652AE11A3E0}"/>
              </c:ext>
            </c:extLst>
          </c:dPt>
          <c:dLbls>
            <c:dLbl>
              <c:idx val="0"/>
              <c:delete val="1"/>
              <c:extLst>
                <c:ext xmlns:c15="http://schemas.microsoft.com/office/drawing/2012/chart" uri="{CE6537A1-D6FC-4f65-9D91-7224C49458BB}"/>
                <c:ext xmlns:c16="http://schemas.microsoft.com/office/drawing/2014/chart" uri="{C3380CC4-5D6E-409C-BE32-E72D297353CC}">
                  <c16:uniqueId val="{00000001-0191-4D6A-8E11-6652AE11A3E0}"/>
                </c:ext>
              </c:extLst>
            </c:dLbl>
            <c:dLbl>
              <c:idx val="1"/>
              <c:delete val="1"/>
              <c:extLst>
                <c:ext xmlns:c15="http://schemas.microsoft.com/office/drawing/2012/chart" uri="{CE6537A1-D6FC-4f65-9D91-7224C49458BB}"/>
                <c:ext xmlns:c16="http://schemas.microsoft.com/office/drawing/2014/chart" uri="{C3380CC4-5D6E-409C-BE32-E72D297353CC}">
                  <c16:uniqueId val="{00000002-0191-4D6A-8E11-6652AE11A3E0}"/>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91-4D6A-8E11-6652AE11A3E0}"/>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91-4D6A-8E11-6652AE11A3E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A6A6A6"/>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1+2'!$E$3:$J$3</c:f>
              <c:numCache>
                <c:formatCode>General</c:formatCode>
                <c:ptCount val="6"/>
                <c:pt idx="0">
                  <c:v>2022</c:v>
                </c:pt>
                <c:pt idx="1">
                  <c:v>2023</c:v>
                </c:pt>
                <c:pt idx="2">
                  <c:v>2024</c:v>
                </c:pt>
                <c:pt idx="3">
                  <c:v>2025</c:v>
                </c:pt>
                <c:pt idx="4">
                  <c:v>2026</c:v>
                </c:pt>
                <c:pt idx="5">
                  <c:v>2027</c:v>
                </c:pt>
              </c:numCache>
            </c:numRef>
          </c:cat>
          <c:val>
            <c:numRef>
              <c:f>'Graf 1+2'!$E$4:$J$4</c:f>
              <c:numCache>
                <c:formatCode>0.0</c:formatCode>
                <c:ptCount val="6"/>
                <c:pt idx="0" formatCode="0">
                  <c:v>2</c:v>
                </c:pt>
                <c:pt idx="1">
                  <c:v>6.53</c:v>
                </c:pt>
                <c:pt idx="2" formatCode="General">
                  <c:v>3.9</c:v>
                </c:pt>
                <c:pt idx="3" formatCode="General">
                  <c:v>3.2</c:v>
                </c:pt>
                <c:pt idx="4" formatCode="General">
                  <c:v>2.2000000000000002</c:v>
                </c:pt>
              </c:numCache>
            </c:numRef>
          </c:val>
          <c:smooth val="0"/>
          <c:extLst>
            <c:ext xmlns:c16="http://schemas.microsoft.com/office/drawing/2014/chart" uri="{C3380CC4-5D6E-409C-BE32-E72D297353CC}">
              <c16:uniqueId val="{00000000-914A-4770-81A4-B4D12A5B2153}"/>
            </c:ext>
          </c:extLst>
        </c:ser>
        <c:ser>
          <c:idx val="1"/>
          <c:order val="1"/>
          <c:tx>
            <c:strRef>
              <c:f>'Graf 1+2'!$D$5</c:f>
              <c:strCache>
                <c:ptCount val="1"/>
                <c:pt idx="0">
                  <c:v>Odporúčané ciele</c:v>
                </c:pt>
              </c:strCache>
            </c:strRef>
          </c:tx>
          <c:spPr>
            <a:ln w="25400" cap="rnd">
              <a:solidFill>
                <a:srgbClr val="2C9ADC"/>
              </a:solidFill>
              <a:round/>
            </a:ln>
            <a:effectLst/>
          </c:spPr>
          <c:marker>
            <c:symbol val="circle"/>
            <c:size val="5"/>
            <c:spPr>
              <a:solidFill>
                <a:srgbClr val="2C9ADC"/>
              </a:solidFill>
              <a:ln w="9525">
                <a:noFill/>
              </a:ln>
              <a:effectLst/>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91-4D6A-8E11-6652AE11A3E0}"/>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91-4D6A-8E11-6652AE11A3E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91-4D6A-8E11-6652AE11A3E0}"/>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91-4D6A-8E11-6652AE11A3E0}"/>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2C9ADC"/>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1+2'!$E$3:$J$3</c:f>
              <c:numCache>
                <c:formatCode>General</c:formatCode>
                <c:ptCount val="6"/>
                <c:pt idx="0">
                  <c:v>2022</c:v>
                </c:pt>
                <c:pt idx="1">
                  <c:v>2023</c:v>
                </c:pt>
                <c:pt idx="2">
                  <c:v>2024</c:v>
                </c:pt>
                <c:pt idx="3">
                  <c:v>2025</c:v>
                </c:pt>
                <c:pt idx="4">
                  <c:v>2026</c:v>
                </c:pt>
                <c:pt idx="5">
                  <c:v>2027</c:v>
                </c:pt>
              </c:numCache>
            </c:numRef>
          </c:cat>
          <c:val>
            <c:numRef>
              <c:f>'Graf 1+2'!$E$5:$J$5</c:f>
              <c:numCache>
                <c:formatCode>0.0</c:formatCode>
                <c:ptCount val="6"/>
                <c:pt idx="0">
                  <c:v>2</c:v>
                </c:pt>
                <c:pt idx="1">
                  <c:v>6.53</c:v>
                </c:pt>
                <c:pt idx="2">
                  <c:v>4.5</c:v>
                </c:pt>
                <c:pt idx="3">
                  <c:v>2.6</c:v>
                </c:pt>
                <c:pt idx="4">
                  <c:v>2.2000000000000002</c:v>
                </c:pt>
                <c:pt idx="5" formatCode="General">
                  <c:v>1.7</c:v>
                </c:pt>
              </c:numCache>
            </c:numRef>
          </c:val>
          <c:smooth val="0"/>
          <c:extLst>
            <c:ext xmlns:c16="http://schemas.microsoft.com/office/drawing/2014/chart" uri="{C3380CC4-5D6E-409C-BE32-E72D297353CC}">
              <c16:uniqueId val="{00000001-914A-4770-81A4-B4D12A5B2153}"/>
            </c:ext>
          </c:extLst>
        </c:ser>
        <c:dLbls>
          <c:showLegendKey val="0"/>
          <c:showVal val="0"/>
          <c:showCatName val="0"/>
          <c:showSerName val="0"/>
          <c:showPercent val="0"/>
          <c:showBubbleSize val="0"/>
        </c:dLbls>
        <c:marker val="1"/>
        <c:smooth val="0"/>
        <c:axId val="569142656"/>
        <c:axId val="569140032"/>
      </c:lineChart>
      <c:catAx>
        <c:axId val="569142656"/>
        <c:scaling>
          <c:orientation val="minMax"/>
        </c:scaling>
        <c:delete val="0"/>
        <c:axPos val="b"/>
        <c:numFmt formatCode="General" sourceLinked="1"/>
        <c:majorTickMark val="none"/>
        <c:minorTickMark val="none"/>
        <c:tickLblPos val="high"/>
        <c:spPr>
          <a:noFill/>
          <a:ln w="12700" cap="flat" cmpd="sng" algn="ctr">
            <a:solidFill>
              <a:srgbClr val="686767"/>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569140032"/>
        <c:crosses val="autoZero"/>
        <c:auto val="1"/>
        <c:lblAlgn val="ctr"/>
        <c:lblOffset val="100"/>
        <c:noMultiLvlLbl val="0"/>
      </c:catAx>
      <c:valAx>
        <c:axId val="569140032"/>
        <c:scaling>
          <c:orientation val="minMax"/>
          <c:max val="9"/>
          <c:min val="0"/>
        </c:scaling>
        <c:delete val="0"/>
        <c:axPos val="l"/>
        <c:majorGridlines>
          <c:spPr>
            <a:ln w="3175" cap="flat" cmpd="sng" algn="ctr">
              <a:solidFill>
                <a:srgbClr val="686767">
                  <a:alpha val="25000"/>
                </a:srgbClr>
              </a:solidFill>
              <a:prstDash val="sysDot"/>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569142656"/>
        <c:crosses val="autoZero"/>
        <c:crossBetween val="between"/>
        <c:majorUnit val="2"/>
      </c:valAx>
      <c:spPr>
        <a:noFill/>
        <a:ln>
          <a:noFill/>
        </a:ln>
        <a:effectLst/>
      </c:spPr>
    </c:plotArea>
    <c:legend>
      <c:legendPos val="b"/>
      <c:layout>
        <c:manualLayout>
          <c:xMode val="edge"/>
          <c:yMode val="edge"/>
          <c:x val="0"/>
          <c:y val="0.8288629952606742"/>
          <c:w val="0.98427665370205697"/>
          <c:h val="0.1711370047393258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7.3875106928999165E-2"/>
          <c:w val="0.88681971843441276"/>
          <c:h val="0.78461999933342963"/>
        </c:manualLayout>
      </c:layout>
      <c:barChart>
        <c:barDir val="col"/>
        <c:grouping val="clustered"/>
        <c:varyColors val="0"/>
        <c:ser>
          <c:idx val="0"/>
          <c:order val="0"/>
          <c:tx>
            <c:strRef>
              <c:f>'Graf 1+2'!$M$4</c:f>
              <c:strCache>
                <c:ptCount val="1"/>
                <c:pt idx="0">
                  <c:v>Potreba opatrení</c:v>
                </c:pt>
              </c:strCache>
            </c:strRef>
          </c:tx>
          <c:spPr>
            <a:solidFill>
              <a:srgbClr val="2C9A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1+2'!$N$3:$P$3</c:f>
              <c:numCache>
                <c:formatCode>General</c:formatCode>
                <c:ptCount val="3"/>
                <c:pt idx="0">
                  <c:v>2024</c:v>
                </c:pt>
                <c:pt idx="1">
                  <c:v>2025</c:v>
                </c:pt>
                <c:pt idx="2">
                  <c:v>2026</c:v>
                </c:pt>
              </c:numCache>
            </c:numRef>
          </c:cat>
          <c:val>
            <c:numRef>
              <c:f>'Graf 1+2'!$N$4:$P$4</c:f>
              <c:numCache>
                <c:formatCode>General</c:formatCode>
                <c:ptCount val="3"/>
                <c:pt idx="0">
                  <c:v>2.1</c:v>
                </c:pt>
                <c:pt idx="1">
                  <c:v>4.4000000000000004</c:v>
                </c:pt>
                <c:pt idx="2">
                  <c:v>4.3999999999999995</c:v>
                </c:pt>
              </c:numCache>
            </c:numRef>
          </c:val>
          <c:extLst>
            <c:ext xmlns:c16="http://schemas.microsoft.com/office/drawing/2014/chart" uri="{C3380CC4-5D6E-409C-BE32-E72D297353CC}">
              <c16:uniqueId val="{00000000-B9CB-40A3-8C88-DE520EAE1952}"/>
            </c:ext>
          </c:extLst>
        </c:ser>
        <c:dLbls>
          <c:showLegendKey val="0"/>
          <c:showVal val="0"/>
          <c:showCatName val="0"/>
          <c:showSerName val="0"/>
          <c:showPercent val="0"/>
          <c:showBubbleSize val="0"/>
        </c:dLbls>
        <c:gapWidth val="150"/>
        <c:axId val="557539920"/>
        <c:axId val="561011080"/>
      </c:barChart>
      <c:catAx>
        <c:axId val="557539920"/>
        <c:scaling>
          <c:orientation val="minMax"/>
        </c:scaling>
        <c:delete val="0"/>
        <c:axPos val="b"/>
        <c:numFmt formatCode="General" sourceLinked="1"/>
        <c:majorTickMark val="none"/>
        <c:minorTickMark val="none"/>
        <c:tickLblPos val="nextTo"/>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max val="5"/>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9204858453649E-2"/>
          <c:y val="9.8130646339039729E-2"/>
          <c:w val="0.856006314209244"/>
          <c:h val="0.68856697524822119"/>
        </c:manualLayout>
      </c:layout>
      <c:lineChart>
        <c:grouping val="standard"/>
        <c:varyColors val="0"/>
        <c:ser>
          <c:idx val="3"/>
          <c:order val="0"/>
          <c:tx>
            <c:strRef>
              <c:f>'Graf 1+2'!$D$21</c:f>
              <c:strCache>
                <c:ptCount val="1"/>
                <c:pt idx="0">
                  <c:v>Targets from the Stability Program</c:v>
                </c:pt>
              </c:strCache>
            </c:strRef>
          </c:tx>
          <c:spPr>
            <a:ln w="25400" cap="rnd">
              <a:noFill/>
              <a:round/>
            </a:ln>
            <a:effectLst/>
          </c:spPr>
          <c:marker>
            <c:symbol val="diamond"/>
            <c:size val="6"/>
            <c:spPr>
              <a:solidFill>
                <a:srgbClr val="A6A6A6"/>
              </a:solidFill>
              <a:ln w="9525">
                <a:noFill/>
              </a:ln>
              <a:effectLst/>
            </c:spPr>
          </c:marker>
          <c:dPt>
            <c:idx val="0"/>
            <c:marker>
              <c:symbol val="diamond"/>
              <c:size val="6"/>
              <c:spPr>
                <a:solidFill>
                  <a:srgbClr val="A6A6A6">
                    <a:alpha val="0"/>
                  </a:srgbClr>
                </a:solidFill>
                <a:ln w="9525">
                  <a:noFill/>
                </a:ln>
                <a:effectLst/>
              </c:spPr>
            </c:marker>
            <c:bubble3D val="0"/>
            <c:extLst>
              <c:ext xmlns:c16="http://schemas.microsoft.com/office/drawing/2014/chart" uri="{C3380CC4-5D6E-409C-BE32-E72D297353CC}">
                <c16:uniqueId val="{00000000-28BB-4586-9AEA-824CA03B3887}"/>
              </c:ext>
            </c:extLst>
          </c:dPt>
          <c:dPt>
            <c:idx val="1"/>
            <c:marker>
              <c:symbol val="diamond"/>
              <c:size val="6"/>
              <c:spPr>
                <a:solidFill>
                  <a:srgbClr val="A6A6A6">
                    <a:alpha val="0"/>
                  </a:srgbClr>
                </a:solidFill>
                <a:ln w="9525">
                  <a:noFill/>
                </a:ln>
                <a:effectLst/>
              </c:spPr>
            </c:marker>
            <c:bubble3D val="0"/>
            <c:extLst>
              <c:ext xmlns:c16="http://schemas.microsoft.com/office/drawing/2014/chart" uri="{C3380CC4-5D6E-409C-BE32-E72D297353CC}">
                <c16:uniqueId val="{00000001-28BB-4586-9AEA-824CA03B3887}"/>
              </c:ext>
            </c:extLst>
          </c:dPt>
          <c:dLbls>
            <c:dLbl>
              <c:idx val="0"/>
              <c:delete val="1"/>
              <c:extLst>
                <c:ext xmlns:c15="http://schemas.microsoft.com/office/drawing/2012/chart" uri="{CE6537A1-D6FC-4f65-9D91-7224C49458BB}"/>
                <c:ext xmlns:c16="http://schemas.microsoft.com/office/drawing/2014/chart" uri="{C3380CC4-5D6E-409C-BE32-E72D297353CC}">
                  <c16:uniqueId val="{00000000-28BB-4586-9AEA-824CA03B3887}"/>
                </c:ext>
              </c:extLst>
            </c:dLbl>
            <c:dLbl>
              <c:idx val="1"/>
              <c:delete val="1"/>
              <c:extLst>
                <c:ext xmlns:c15="http://schemas.microsoft.com/office/drawing/2012/chart" uri="{CE6537A1-D6FC-4f65-9D91-7224C49458BB}"/>
                <c:ext xmlns:c16="http://schemas.microsoft.com/office/drawing/2014/chart" uri="{C3380CC4-5D6E-409C-BE32-E72D297353CC}">
                  <c16:uniqueId val="{00000001-28BB-4586-9AEA-824CA03B3887}"/>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BB-4586-9AEA-824CA03B3887}"/>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BB-4586-9AEA-824CA03B388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A6A6A6"/>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1+2'!$E$20:$J$20</c:f>
              <c:numCache>
                <c:formatCode>General</c:formatCode>
                <c:ptCount val="6"/>
                <c:pt idx="0">
                  <c:v>2022</c:v>
                </c:pt>
                <c:pt idx="1">
                  <c:v>2023</c:v>
                </c:pt>
                <c:pt idx="2">
                  <c:v>2024</c:v>
                </c:pt>
                <c:pt idx="3">
                  <c:v>2025</c:v>
                </c:pt>
                <c:pt idx="4">
                  <c:v>2026</c:v>
                </c:pt>
                <c:pt idx="5">
                  <c:v>2027</c:v>
                </c:pt>
              </c:numCache>
            </c:numRef>
          </c:cat>
          <c:val>
            <c:numRef>
              <c:f>'Graf 1+2'!$E$21:$J$21</c:f>
              <c:numCache>
                <c:formatCode>0.0</c:formatCode>
                <c:ptCount val="6"/>
                <c:pt idx="0" formatCode="General">
                  <c:v>2</c:v>
                </c:pt>
                <c:pt idx="1">
                  <c:v>6.53</c:v>
                </c:pt>
                <c:pt idx="2" formatCode="General">
                  <c:v>3.9</c:v>
                </c:pt>
                <c:pt idx="3" formatCode="General">
                  <c:v>3.2</c:v>
                </c:pt>
                <c:pt idx="4" formatCode="General">
                  <c:v>2.2000000000000002</c:v>
                </c:pt>
              </c:numCache>
            </c:numRef>
          </c:val>
          <c:smooth val="0"/>
          <c:extLst>
            <c:ext xmlns:c16="http://schemas.microsoft.com/office/drawing/2014/chart" uri="{C3380CC4-5D6E-409C-BE32-E72D297353CC}">
              <c16:uniqueId val="{00000004-28BB-4586-9AEA-824CA03B3887}"/>
            </c:ext>
          </c:extLst>
        </c:ser>
        <c:ser>
          <c:idx val="1"/>
          <c:order val="1"/>
          <c:tx>
            <c:strRef>
              <c:f>'Graf 1+2'!$D$22</c:f>
              <c:strCache>
                <c:ptCount val="1"/>
                <c:pt idx="0">
                  <c:v>Recommended targets</c:v>
                </c:pt>
              </c:strCache>
            </c:strRef>
          </c:tx>
          <c:spPr>
            <a:ln w="25400" cap="rnd">
              <a:solidFill>
                <a:srgbClr val="2C9ADC"/>
              </a:solidFill>
              <a:round/>
            </a:ln>
            <a:effectLst/>
          </c:spPr>
          <c:marker>
            <c:symbol val="circle"/>
            <c:size val="5"/>
            <c:spPr>
              <a:solidFill>
                <a:srgbClr val="2C9ADC"/>
              </a:solidFill>
              <a:ln w="9525">
                <a:noFill/>
              </a:ln>
              <a:effectLst/>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BB-4586-9AEA-824CA03B3887}"/>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BB-4586-9AEA-824CA03B3887}"/>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BB-4586-9AEA-824CA03B388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BB-4586-9AEA-824CA03B3887}"/>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2C9ADC"/>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1+2'!$E$20:$J$20</c:f>
              <c:numCache>
                <c:formatCode>General</c:formatCode>
                <c:ptCount val="6"/>
                <c:pt idx="0">
                  <c:v>2022</c:v>
                </c:pt>
                <c:pt idx="1">
                  <c:v>2023</c:v>
                </c:pt>
                <c:pt idx="2">
                  <c:v>2024</c:v>
                </c:pt>
                <c:pt idx="3">
                  <c:v>2025</c:v>
                </c:pt>
                <c:pt idx="4">
                  <c:v>2026</c:v>
                </c:pt>
                <c:pt idx="5">
                  <c:v>2027</c:v>
                </c:pt>
              </c:numCache>
            </c:numRef>
          </c:cat>
          <c:val>
            <c:numRef>
              <c:f>'Graf 1+2'!$E$22:$J$22</c:f>
              <c:numCache>
                <c:formatCode>0.0</c:formatCode>
                <c:ptCount val="6"/>
                <c:pt idx="0">
                  <c:v>2</c:v>
                </c:pt>
                <c:pt idx="1">
                  <c:v>6.53</c:v>
                </c:pt>
                <c:pt idx="2">
                  <c:v>4.5</c:v>
                </c:pt>
                <c:pt idx="3">
                  <c:v>2.6</c:v>
                </c:pt>
                <c:pt idx="4">
                  <c:v>2.2000000000000002</c:v>
                </c:pt>
                <c:pt idx="5" formatCode="General">
                  <c:v>1.7</c:v>
                </c:pt>
              </c:numCache>
            </c:numRef>
          </c:val>
          <c:smooth val="0"/>
          <c:extLst>
            <c:ext xmlns:c16="http://schemas.microsoft.com/office/drawing/2014/chart" uri="{C3380CC4-5D6E-409C-BE32-E72D297353CC}">
              <c16:uniqueId val="{00000009-28BB-4586-9AEA-824CA03B3887}"/>
            </c:ext>
          </c:extLst>
        </c:ser>
        <c:dLbls>
          <c:showLegendKey val="0"/>
          <c:showVal val="0"/>
          <c:showCatName val="0"/>
          <c:showSerName val="0"/>
          <c:showPercent val="0"/>
          <c:showBubbleSize val="0"/>
        </c:dLbls>
        <c:marker val="1"/>
        <c:smooth val="0"/>
        <c:axId val="569142656"/>
        <c:axId val="569140032"/>
      </c:lineChart>
      <c:catAx>
        <c:axId val="569142656"/>
        <c:scaling>
          <c:orientation val="minMax"/>
        </c:scaling>
        <c:delete val="0"/>
        <c:axPos val="b"/>
        <c:numFmt formatCode="General" sourceLinked="1"/>
        <c:majorTickMark val="none"/>
        <c:minorTickMark val="none"/>
        <c:tickLblPos val="high"/>
        <c:spPr>
          <a:noFill/>
          <a:ln w="12700" cap="flat" cmpd="sng" algn="ctr">
            <a:solidFill>
              <a:srgbClr val="686767"/>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569140032"/>
        <c:crosses val="autoZero"/>
        <c:auto val="1"/>
        <c:lblAlgn val="ctr"/>
        <c:lblOffset val="100"/>
        <c:noMultiLvlLbl val="0"/>
      </c:catAx>
      <c:valAx>
        <c:axId val="569140032"/>
        <c:scaling>
          <c:orientation val="minMax"/>
          <c:max val="9"/>
          <c:min val="0"/>
        </c:scaling>
        <c:delete val="0"/>
        <c:axPos val="l"/>
        <c:majorGridlines>
          <c:spPr>
            <a:ln w="3175" cap="flat" cmpd="sng" algn="ctr">
              <a:solidFill>
                <a:srgbClr val="686767">
                  <a:alpha val="25000"/>
                </a:srgbClr>
              </a:solidFill>
              <a:prstDash val="sysDot"/>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569142656"/>
        <c:crosses val="autoZero"/>
        <c:crossBetween val="between"/>
        <c:majorUnit val="2"/>
      </c:valAx>
      <c:spPr>
        <a:noFill/>
        <a:ln>
          <a:noFill/>
        </a:ln>
        <a:effectLst/>
      </c:spPr>
    </c:plotArea>
    <c:legend>
      <c:legendPos val="b"/>
      <c:layout>
        <c:manualLayout>
          <c:xMode val="edge"/>
          <c:yMode val="edge"/>
          <c:x val="0"/>
          <c:y val="0.8288629952606742"/>
          <c:w val="0.98427665370205697"/>
          <c:h val="0.1711370047393258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7.3875106928999165E-2"/>
          <c:w val="0.88681971843441276"/>
          <c:h val="0.78461999933342963"/>
        </c:manualLayout>
      </c:layout>
      <c:barChart>
        <c:barDir val="col"/>
        <c:grouping val="clustered"/>
        <c:varyColors val="0"/>
        <c:ser>
          <c:idx val="0"/>
          <c:order val="0"/>
          <c:tx>
            <c:strRef>
              <c:f>'Graf 1+2'!$M$21</c:f>
              <c:strCache>
                <c:ptCount val="1"/>
                <c:pt idx="0">
                  <c:v>Necessary measures</c:v>
                </c:pt>
              </c:strCache>
            </c:strRef>
          </c:tx>
          <c:spPr>
            <a:solidFill>
              <a:srgbClr val="2C9A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1+2'!$N$20:$P$20</c:f>
              <c:numCache>
                <c:formatCode>General</c:formatCode>
                <c:ptCount val="3"/>
                <c:pt idx="0">
                  <c:v>2024</c:v>
                </c:pt>
                <c:pt idx="1">
                  <c:v>2025</c:v>
                </c:pt>
                <c:pt idx="2">
                  <c:v>2026</c:v>
                </c:pt>
              </c:numCache>
            </c:numRef>
          </c:cat>
          <c:val>
            <c:numRef>
              <c:f>'Graf 1+2'!$N$21:$P$21</c:f>
              <c:numCache>
                <c:formatCode>General</c:formatCode>
                <c:ptCount val="3"/>
                <c:pt idx="0">
                  <c:v>2.1</c:v>
                </c:pt>
                <c:pt idx="1">
                  <c:v>4.4000000000000004</c:v>
                </c:pt>
                <c:pt idx="2">
                  <c:v>4.3999999999999995</c:v>
                </c:pt>
              </c:numCache>
            </c:numRef>
          </c:val>
          <c:extLst>
            <c:ext xmlns:c16="http://schemas.microsoft.com/office/drawing/2014/chart" uri="{C3380CC4-5D6E-409C-BE32-E72D297353CC}">
              <c16:uniqueId val="{00000000-7D6D-416D-94D7-3D1F6FFA28CC}"/>
            </c:ext>
          </c:extLst>
        </c:ser>
        <c:dLbls>
          <c:showLegendKey val="0"/>
          <c:showVal val="0"/>
          <c:showCatName val="0"/>
          <c:showSerName val="0"/>
          <c:showPercent val="0"/>
          <c:showBubbleSize val="0"/>
        </c:dLbls>
        <c:gapWidth val="150"/>
        <c:axId val="557539920"/>
        <c:axId val="561011080"/>
      </c:barChart>
      <c:catAx>
        <c:axId val="557539920"/>
        <c:scaling>
          <c:orientation val="minMax"/>
        </c:scaling>
        <c:delete val="0"/>
        <c:axPos val="b"/>
        <c:numFmt formatCode="General" sourceLinked="1"/>
        <c:majorTickMark val="none"/>
        <c:minorTickMark val="none"/>
        <c:tickLblPos val="nextTo"/>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max val="5"/>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7.3875106928999165E-2"/>
          <c:w val="0.88681971843441276"/>
          <c:h val="0.75016799655868638"/>
        </c:manualLayout>
      </c:layout>
      <c:lineChart>
        <c:grouping val="standard"/>
        <c:varyColors val="0"/>
        <c:ser>
          <c:idx val="0"/>
          <c:order val="0"/>
          <c:tx>
            <c:strRef>
              <c:f>'Graf 4+5'!$C$6</c:f>
              <c:strCache>
                <c:ptCount val="1"/>
                <c:pt idx="0">
                  <c:v>Nominal balance</c:v>
                </c:pt>
              </c:strCache>
            </c:strRef>
          </c:tx>
          <c:spPr>
            <a:ln w="28575" cap="rnd">
              <a:solidFill>
                <a:srgbClr val="2D9ADC"/>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84F7-4CDE-914F-EF3739740DC5}"/>
                </c:ext>
              </c:extLst>
            </c:dLbl>
            <c:dLbl>
              <c:idx val="1"/>
              <c:layout>
                <c:manualLayout>
                  <c:x val="-4.4987163443234897E-2"/>
                  <c:y val="4.0173460806616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37-4ED7-AB6D-31399CAFCC41}"/>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37-4ED7-AB6D-31399CAFCC41}"/>
                </c:ext>
              </c:extLst>
            </c:dLbl>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37-4ED7-AB6D-31399CAFCC41}"/>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37-4ED7-AB6D-31399CAFCC41}"/>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37-4ED7-AB6D-31399CAFCC41}"/>
                </c:ext>
              </c:extLst>
            </c:dLbl>
            <c:dLbl>
              <c:idx val="1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37-4ED7-AB6D-31399CAFCC41}"/>
                </c:ext>
              </c:extLst>
            </c:dLbl>
            <c:dLbl>
              <c:idx val="1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37-4ED7-AB6D-31399CAFCC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4+5'!$D$5:$S$5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'Graf 4+5'!$D$6:$S$6</c:f>
              <c:numCache>
                <c:formatCode>#\ ##0.0</c:formatCode>
                <c:ptCount val="16"/>
                <c:pt idx="0">
                  <c:v>-2.5234210889800117</c:v>
                </c:pt>
                <c:pt idx="1">
                  <c:v>-8.1493356813289886</c:v>
                </c:pt>
                <c:pt idx="2">
                  <c:v>-7.5026077807900462</c:v>
                </c:pt>
                <c:pt idx="3">
                  <c:v>-4.322085277808231</c:v>
                </c:pt>
                <c:pt idx="4">
                  <c:v>-4.3689696372631763</c:v>
                </c:pt>
                <c:pt idx="5">
                  <c:v>-2.8885857040668763</c:v>
                </c:pt>
                <c:pt idx="6">
                  <c:v>-3.1147163639601265</c:v>
                </c:pt>
                <c:pt idx="7">
                  <c:v>-2.6729622355616662</c:v>
                </c:pt>
                <c:pt idx="8">
                  <c:v>-2.582412289630224</c:v>
                </c:pt>
                <c:pt idx="9">
                  <c:v>-0.98226653015622056</c:v>
                </c:pt>
                <c:pt idx="10">
                  <c:v>-1.0109230637371953</c:v>
                </c:pt>
                <c:pt idx="11">
                  <c:v>-1.218992674762408</c:v>
                </c:pt>
                <c:pt idx="12">
                  <c:v>-5.3004666678856216</c:v>
                </c:pt>
                <c:pt idx="13">
                  <c:v>-5.4305277949314608</c:v>
                </c:pt>
                <c:pt idx="14">
                  <c:v>-2.02</c:v>
                </c:pt>
                <c:pt idx="15">
                  <c:v>-6.2</c:v>
                </c:pt>
              </c:numCache>
            </c:numRef>
          </c:val>
          <c:smooth val="0"/>
          <c:extLst>
            <c:ext xmlns:c16="http://schemas.microsoft.com/office/drawing/2014/chart" uri="{C3380CC4-5D6E-409C-BE32-E72D297353CC}">
              <c16:uniqueId val="{00000001-84F7-4CDE-914F-EF3739740DC5}"/>
            </c:ext>
          </c:extLst>
        </c:ser>
        <c:ser>
          <c:idx val="1"/>
          <c:order val="1"/>
          <c:tx>
            <c:strRef>
              <c:f>'Graf 4+5'!$C$7</c:f>
              <c:strCache>
                <c:ptCount val="1"/>
                <c:pt idx="0">
                  <c:v>Nominal balance at budgeting</c:v>
                </c:pt>
              </c:strCache>
            </c:strRef>
          </c:tx>
          <c:spPr>
            <a:ln w="28575" cap="rnd">
              <a:noFill/>
              <a:prstDash val="sysDash"/>
              <a:round/>
            </a:ln>
            <a:effectLst/>
          </c:spPr>
          <c:marker>
            <c:symbol val="circle"/>
            <c:size val="7"/>
            <c:spPr>
              <a:solidFill>
                <a:sysClr val="windowText" lastClr="000000"/>
              </a:solidFill>
              <a:ln w="9525">
                <a:solidFill>
                  <a:sysClr val="windowText" lastClr="000000"/>
                </a:solidFill>
              </a:ln>
              <a:effectLst/>
            </c:spPr>
          </c:marker>
          <c:dLbls>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4+5'!$D$5:$S$5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'Graf 4+5'!$D$7:$S$7</c:f>
              <c:numCache>
                <c:formatCode>General</c:formatCode>
                <c:ptCount val="16"/>
                <c:pt idx="15" formatCode="#\ ##0.0">
                  <c:v>-6.44</c:v>
                </c:pt>
              </c:numCache>
            </c:numRef>
          </c:val>
          <c:smooth val="0"/>
          <c:extLst>
            <c:ext xmlns:c16="http://schemas.microsoft.com/office/drawing/2014/chart" uri="{C3380CC4-5D6E-409C-BE32-E72D297353CC}">
              <c16:uniqueId val="{00000002-84F7-4CDE-914F-EF3739740DC5}"/>
            </c:ext>
          </c:extLst>
        </c:ser>
        <c:dLbls>
          <c:showLegendKey val="0"/>
          <c:showVal val="0"/>
          <c:showCatName val="0"/>
          <c:showSerName val="0"/>
          <c:showPercent val="0"/>
          <c:showBubbleSize val="0"/>
        </c:dLbls>
        <c:smooth val="0"/>
        <c:axId val="557539920"/>
        <c:axId val="561011080"/>
      </c:lineChart>
      <c:catAx>
        <c:axId val="557539920"/>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spcFirstLastPara="1" vertOverflow="ellipsis" wrap="square" anchor="b" anchorCtr="0"/>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max val="-0.5"/>
          <c:min val="-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57539920"/>
        <c:crosses val="autoZero"/>
        <c:crossBetween val="between"/>
        <c:majorUnit val="2"/>
      </c:valAx>
      <c:spPr>
        <a:noFill/>
        <a:ln>
          <a:noFill/>
        </a:ln>
        <a:effectLst/>
      </c:spPr>
    </c:plotArea>
    <c:legend>
      <c:legendPos val="b"/>
      <c:layout>
        <c:manualLayout>
          <c:xMode val="edge"/>
          <c:yMode val="edge"/>
          <c:x val="0.32856946271131365"/>
          <c:y val="0.44795439484423016"/>
          <c:w val="0.43530356104965617"/>
          <c:h val="0.271378217200851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40000"/>
                <a:lumOff val="60000"/>
              </a:schemeClr>
            </a:solidFill>
            <a:ln>
              <a:noFill/>
            </a:ln>
            <a:effectLst/>
          </c:spPr>
          <c:invertIfNegative val="0"/>
          <c:dPt>
            <c:idx val="0"/>
            <c:invertIfNegative val="0"/>
            <c:bubble3D val="0"/>
            <c:spPr>
              <a:solidFill>
                <a:srgbClr val="686767"/>
              </a:solidFill>
              <a:ln w="19050">
                <a:solidFill>
                  <a:sysClr val="windowText" lastClr="000000"/>
                </a:solidFill>
              </a:ln>
              <a:effectLst/>
            </c:spPr>
            <c:extLst>
              <c:ext xmlns:c16="http://schemas.microsoft.com/office/drawing/2014/chart" uri="{C3380CC4-5D6E-409C-BE32-E72D297353CC}">
                <c16:uniqueId val="{00000001-3CD1-462A-A565-1A3E023095C7}"/>
              </c:ext>
            </c:extLst>
          </c:dPt>
          <c:dPt>
            <c:idx val="1"/>
            <c:invertIfNegative val="0"/>
            <c:bubble3D val="0"/>
            <c:spPr>
              <a:solidFill>
                <a:schemeClr val="bg1">
                  <a:lumMod val="75000"/>
                </a:schemeClr>
              </a:solidFill>
              <a:ln>
                <a:noFill/>
              </a:ln>
              <a:effectLst/>
            </c:spPr>
            <c:extLst>
              <c:ext xmlns:c16="http://schemas.microsoft.com/office/drawing/2014/chart" uri="{C3380CC4-5D6E-409C-BE32-E72D297353CC}">
                <c16:uniqueId val="{00000003-3CD1-462A-A565-1A3E023095C7}"/>
              </c:ext>
            </c:extLst>
          </c:dPt>
          <c:dPt>
            <c:idx val="2"/>
            <c:invertIfNegative val="0"/>
            <c:bubble3D val="0"/>
            <c:spPr>
              <a:solidFill>
                <a:schemeClr val="accent1">
                  <a:lumMod val="40000"/>
                  <a:lumOff val="60000"/>
                </a:schemeClr>
              </a:solidFill>
              <a:ln w="19050">
                <a:solidFill>
                  <a:sysClr val="windowText" lastClr="000000"/>
                </a:solidFill>
              </a:ln>
              <a:effectLst/>
            </c:spPr>
            <c:extLst>
              <c:ext xmlns:c16="http://schemas.microsoft.com/office/drawing/2014/chart" uri="{C3380CC4-5D6E-409C-BE32-E72D297353CC}">
                <c16:uniqueId val="{00000006-D68C-4875-8EF3-57E68FD7ED0E}"/>
              </c:ext>
            </c:extLst>
          </c:dPt>
          <c:dPt>
            <c:idx val="3"/>
            <c:invertIfNegative val="0"/>
            <c:bubble3D val="0"/>
            <c:spPr>
              <a:solidFill>
                <a:schemeClr val="accent1"/>
              </a:solidFill>
              <a:ln>
                <a:solidFill>
                  <a:sysClr val="windowText" lastClr="000000"/>
                </a:solidFill>
              </a:ln>
              <a:effectLst/>
            </c:spPr>
            <c:extLst>
              <c:ext xmlns:c16="http://schemas.microsoft.com/office/drawing/2014/chart" uri="{C3380CC4-5D6E-409C-BE32-E72D297353CC}">
                <c16:uniqueId val="{00000005-3CD1-462A-A565-1A3E023095C7}"/>
              </c:ext>
            </c:extLst>
          </c:dPt>
          <c:dLbls>
            <c:dLbl>
              <c:idx val="0"/>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extLst>
                <c:ext xmlns:c16="http://schemas.microsoft.com/office/drawing/2014/chart" uri="{C3380CC4-5D6E-409C-BE32-E72D297353CC}">
                  <c16:uniqueId val="{00000001-3CD1-462A-A565-1A3E023095C7}"/>
                </c:ext>
              </c:extLst>
            </c:dLbl>
            <c:dLbl>
              <c:idx val="2"/>
              <c:spPr>
                <a:no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extLst>
                <c:ext xmlns:c16="http://schemas.microsoft.com/office/drawing/2014/chart" uri="{C3380CC4-5D6E-409C-BE32-E72D297353CC}">
                  <c16:uniqueId val="{00000006-D68C-4875-8EF3-57E68FD7ED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4+5'!$C$28:$C$37</c:f>
              <c:strCache>
                <c:ptCount val="10"/>
                <c:pt idx="0">
                  <c:v>Total revenue</c:v>
                </c:pt>
                <c:pt idx="1">
                  <c:v>Tax revenue forecasted by the Committee</c:v>
                </c:pt>
                <c:pt idx="2">
                  <c:v>Total expenses</c:v>
                </c:pt>
                <c:pt idx="3">
                  <c:v>Wages and salaries</c:v>
                </c:pt>
                <c:pt idx="4">
                  <c:v>Intermediate consumption</c:v>
                </c:pt>
                <c:pt idx="5">
                  <c:v>Interest expenses</c:v>
                </c:pt>
                <c:pt idx="6">
                  <c:v>Social transfers outside the health sector</c:v>
                </c:pt>
                <c:pt idx="7">
                  <c:v>Health expenditure</c:v>
                </c:pt>
                <c:pt idx="8">
                  <c:v>Other current transfers</c:v>
                </c:pt>
                <c:pt idx="9">
                  <c:v>Capital expenditure without EU resources</c:v>
                </c:pt>
              </c:strCache>
            </c:strRef>
          </c:cat>
          <c:val>
            <c:numRef>
              <c:f>'Graf 4+5'!$D$28:$D$37</c:f>
              <c:numCache>
                <c:formatCode>0.0</c:formatCode>
                <c:ptCount val="10"/>
                <c:pt idx="0">
                  <c:v>19.042036861686729</c:v>
                </c:pt>
                <c:pt idx="1">
                  <c:v>9.1</c:v>
                </c:pt>
                <c:pt idx="2">
                  <c:v>29.644509462259663</c:v>
                </c:pt>
                <c:pt idx="3">
                  <c:v>8.2473128134700602</c:v>
                </c:pt>
                <c:pt idx="4">
                  <c:v>42.952186904027457</c:v>
                </c:pt>
                <c:pt idx="5">
                  <c:v>-4.2342154027434873</c:v>
                </c:pt>
                <c:pt idx="6">
                  <c:v>20.642091140240481</c:v>
                </c:pt>
                <c:pt idx="7">
                  <c:v>28.529012846430845</c:v>
                </c:pt>
                <c:pt idx="8">
                  <c:v>21.20516299792321</c:v>
                </c:pt>
                <c:pt idx="9">
                  <c:v>50.594705547684612</c:v>
                </c:pt>
              </c:numCache>
            </c:numRef>
          </c:val>
          <c:extLst>
            <c:ext xmlns:c16="http://schemas.microsoft.com/office/drawing/2014/chart" uri="{C3380CC4-5D6E-409C-BE32-E72D297353CC}">
              <c16:uniqueId val="{00000006-3CD1-462A-A565-1A3E023095C7}"/>
            </c:ext>
          </c:extLst>
        </c:ser>
        <c:dLbls>
          <c:showLegendKey val="0"/>
          <c:showVal val="0"/>
          <c:showCatName val="0"/>
          <c:showSerName val="0"/>
          <c:showPercent val="0"/>
          <c:showBubbleSize val="0"/>
        </c:dLbls>
        <c:gapWidth val="182"/>
        <c:axId val="465971872"/>
        <c:axId val="465973512"/>
      </c:barChart>
      <c:catAx>
        <c:axId val="465971872"/>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465973512"/>
        <c:crosses val="autoZero"/>
        <c:auto val="1"/>
        <c:lblAlgn val="ctr"/>
        <c:lblOffset val="100"/>
        <c:noMultiLvlLbl val="0"/>
      </c:catAx>
      <c:valAx>
        <c:axId val="465973512"/>
        <c:scaling>
          <c:orientation val="minMax"/>
          <c:max val="55"/>
          <c:min val="-10"/>
        </c:scaling>
        <c:delete val="0"/>
        <c:axPos val="l"/>
        <c:majorGridlines>
          <c:spPr>
            <a:ln w="3175" cap="flat" cmpd="sng" algn="ctr">
              <a:solidFill>
                <a:srgbClr val="686767">
                  <a:alpha val="25000"/>
                </a:srgb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465971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40000"/>
                <a:lumOff val="60000"/>
              </a:schemeClr>
            </a:solidFill>
            <a:ln>
              <a:noFill/>
            </a:ln>
            <a:effectLst/>
          </c:spPr>
          <c:invertIfNegative val="0"/>
          <c:dPt>
            <c:idx val="0"/>
            <c:invertIfNegative val="0"/>
            <c:bubble3D val="0"/>
            <c:spPr>
              <a:solidFill>
                <a:srgbClr val="686767"/>
              </a:solidFill>
              <a:ln w="19050">
                <a:solidFill>
                  <a:sysClr val="windowText" lastClr="000000"/>
                </a:solidFill>
              </a:ln>
              <a:effectLst/>
            </c:spPr>
            <c:extLst>
              <c:ext xmlns:c16="http://schemas.microsoft.com/office/drawing/2014/chart" uri="{C3380CC4-5D6E-409C-BE32-E72D297353CC}">
                <c16:uniqueId val="{00000001-437F-42A1-A950-78DE2705EAFC}"/>
              </c:ext>
            </c:extLst>
          </c:dPt>
          <c:dPt>
            <c:idx val="1"/>
            <c:invertIfNegative val="0"/>
            <c:bubble3D val="0"/>
            <c:spPr>
              <a:solidFill>
                <a:schemeClr val="bg1">
                  <a:lumMod val="75000"/>
                </a:schemeClr>
              </a:solidFill>
              <a:ln>
                <a:noFill/>
              </a:ln>
              <a:effectLst/>
            </c:spPr>
            <c:extLst>
              <c:ext xmlns:c16="http://schemas.microsoft.com/office/drawing/2014/chart" uri="{C3380CC4-5D6E-409C-BE32-E72D297353CC}">
                <c16:uniqueId val="{00000003-437F-42A1-A950-78DE2705EAFC}"/>
              </c:ext>
            </c:extLst>
          </c:dPt>
          <c:dPt>
            <c:idx val="2"/>
            <c:invertIfNegative val="0"/>
            <c:bubble3D val="0"/>
            <c:spPr>
              <a:solidFill>
                <a:schemeClr val="accent1">
                  <a:lumMod val="40000"/>
                  <a:lumOff val="60000"/>
                </a:schemeClr>
              </a:solidFill>
              <a:ln w="19050">
                <a:solidFill>
                  <a:sysClr val="windowText" lastClr="000000"/>
                </a:solidFill>
              </a:ln>
              <a:effectLst/>
            </c:spPr>
            <c:extLst>
              <c:ext xmlns:c16="http://schemas.microsoft.com/office/drawing/2014/chart" uri="{C3380CC4-5D6E-409C-BE32-E72D297353CC}">
                <c16:uniqueId val="{00000006-C84E-41F2-A203-024DB88AA617}"/>
              </c:ext>
            </c:extLst>
          </c:dPt>
          <c:dPt>
            <c:idx val="3"/>
            <c:invertIfNegative val="0"/>
            <c:bubble3D val="0"/>
            <c:spPr>
              <a:solidFill>
                <a:schemeClr val="accent1"/>
              </a:solidFill>
              <a:ln>
                <a:solidFill>
                  <a:sysClr val="windowText" lastClr="000000"/>
                </a:solidFill>
              </a:ln>
              <a:effectLst/>
            </c:spPr>
            <c:extLst>
              <c:ext xmlns:c16="http://schemas.microsoft.com/office/drawing/2014/chart" uri="{C3380CC4-5D6E-409C-BE32-E72D297353CC}">
                <c16:uniqueId val="{00000005-437F-42A1-A950-78DE2705EAFC}"/>
              </c:ext>
            </c:extLst>
          </c:dPt>
          <c:dLbls>
            <c:dLbl>
              <c:idx val="0"/>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extLst>
                <c:ext xmlns:c16="http://schemas.microsoft.com/office/drawing/2014/chart" uri="{C3380CC4-5D6E-409C-BE32-E72D297353CC}">
                  <c16:uniqueId val="{00000001-437F-42A1-A950-78DE2705EAFC}"/>
                </c:ext>
              </c:extLst>
            </c:dLbl>
            <c:dLbl>
              <c:idx val="2"/>
              <c:spPr>
                <a:no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extLst>
                <c:ext xmlns:c16="http://schemas.microsoft.com/office/drawing/2014/chart" uri="{C3380CC4-5D6E-409C-BE32-E72D297353CC}">
                  <c16:uniqueId val="{00000006-C84E-41F2-A203-024DB88AA6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4+5'!$B$28:$B$37</c:f>
              <c:strCache>
                <c:ptCount val="10"/>
                <c:pt idx="0">
                  <c:v>Celkové príjmy</c:v>
                </c:pt>
                <c:pt idx="1">
                  <c:v>Daňovo odvodové príjmy prognózované Výborom</c:v>
                </c:pt>
                <c:pt idx="2">
                  <c:v>Celkové výdavky</c:v>
                </c:pt>
                <c:pt idx="3">
                  <c:v>Mzdy a platy</c:v>
                </c:pt>
                <c:pt idx="4">
                  <c:v>Medzispotreba</c:v>
                </c:pt>
                <c:pt idx="5">
                  <c:v>Úrokové náklady</c:v>
                </c:pt>
                <c:pt idx="6">
                  <c:v>Sociálne transfery mimo zdravotníctva</c:v>
                </c:pt>
                <c:pt idx="7">
                  <c:v>Výdavky na zdravotníctvo</c:v>
                </c:pt>
                <c:pt idx="8">
                  <c:v>Ostatné bežné transfery</c:v>
                </c:pt>
                <c:pt idx="9">
                  <c:v>Kapitálové výdavky bez EU zdrojov</c:v>
                </c:pt>
              </c:strCache>
            </c:strRef>
          </c:cat>
          <c:val>
            <c:numRef>
              <c:f>'Graf 4+5'!$D$28:$D$37</c:f>
              <c:numCache>
                <c:formatCode>0.0</c:formatCode>
                <c:ptCount val="10"/>
                <c:pt idx="0">
                  <c:v>19.042036861686729</c:v>
                </c:pt>
                <c:pt idx="1">
                  <c:v>9.1</c:v>
                </c:pt>
                <c:pt idx="2">
                  <c:v>29.644509462259663</c:v>
                </c:pt>
                <c:pt idx="3">
                  <c:v>8.2473128134700602</c:v>
                </c:pt>
                <c:pt idx="4">
                  <c:v>42.952186904027457</c:v>
                </c:pt>
                <c:pt idx="5">
                  <c:v>-4.2342154027434873</c:v>
                </c:pt>
                <c:pt idx="6">
                  <c:v>20.642091140240481</c:v>
                </c:pt>
                <c:pt idx="7">
                  <c:v>28.529012846430845</c:v>
                </c:pt>
                <c:pt idx="8">
                  <c:v>21.20516299792321</c:v>
                </c:pt>
                <c:pt idx="9">
                  <c:v>50.594705547684612</c:v>
                </c:pt>
              </c:numCache>
            </c:numRef>
          </c:val>
          <c:extLst>
            <c:ext xmlns:c16="http://schemas.microsoft.com/office/drawing/2014/chart" uri="{C3380CC4-5D6E-409C-BE32-E72D297353CC}">
              <c16:uniqueId val="{00000006-437F-42A1-A950-78DE2705EAFC}"/>
            </c:ext>
          </c:extLst>
        </c:ser>
        <c:dLbls>
          <c:showLegendKey val="0"/>
          <c:showVal val="0"/>
          <c:showCatName val="0"/>
          <c:showSerName val="0"/>
          <c:showPercent val="0"/>
          <c:showBubbleSize val="0"/>
        </c:dLbls>
        <c:gapWidth val="182"/>
        <c:axId val="465971872"/>
        <c:axId val="465973512"/>
      </c:barChart>
      <c:catAx>
        <c:axId val="465971872"/>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465973512"/>
        <c:crosses val="autoZero"/>
        <c:auto val="1"/>
        <c:lblAlgn val="ctr"/>
        <c:lblOffset val="100"/>
        <c:noMultiLvlLbl val="0"/>
      </c:catAx>
      <c:valAx>
        <c:axId val="465973512"/>
        <c:scaling>
          <c:orientation val="minMax"/>
          <c:max val="55"/>
          <c:min val="-10"/>
        </c:scaling>
        <c:delete val="0"/>
        <c:axPos val="l"/>
        <c:majorGridlines>
          <c:spPr>
            <a:ln w="3175" cap="flat" cmpd="sng" algn="ctr">
              <a:solidFill>
                <a:srgbClr val="686767">
                  <a:alpha val="25000"/>
                </a:srgb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465971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7.3875106928999165E-2"/>
          <c:w val="0.88681971843441276"/>
          <c:h val="0.75016799655868638"/>
        </c:manualLayout>
      </c:layout>
      <c:lineChart>
        <c:grouping val="standard"/>
        <c:varyColors val="0"/>
        <c:ser>
          <c:idx val="0"/>
          <c:order val="0"/>
          <c:tx>
            <c:strRef>
              <c:f>'Graf 4+5'!$B$6</c:f>
              <c:strCache>
                <c:ptCount val="1"/>
                <c:pt idx="0">
                  <c:v>Nominálne saldo</c:v>
                </c:pt>
              </c:strCache>
            </c:strRef>
          </c:tx>
          <c:spPr>
            <a:ln w="28575" cap="rnd">
              <a:solidFill>
                <a:srgbClr val="2D9ADC"/>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DDD-4A1A-8AE3-ED8305730D87}"/>
                </c:ext>
              </c:extLst>
            </c:dLbl>
            <c:dLbl>
              <c:idx val="1"/>
              <c:layout>
                <c:manualLayout>
                  <c:x val="-4.4987163443234897E-2"/>
                  <c:y val="4.0173460806616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DD-4A1A-8AE3-ED8305730D8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DD-4A1A-8AE3-ED8305730D87}"/>
                </c:ext>
              </c:extLst>
            </c:dLbl>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DD-4A1A-8AE3-ED8305730D87}"/>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DD-4A1A-8AE3-ED8305730D87}"/>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DD-4A1A-8AE3-ED8305730D87}"/>
                </c:ext>
              </c:extLst>
            </c:dLbl>
            <c:dLbl>
              <c:idx val="1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DD-4A1A-8AE3-ED8305730D87}"/>
                </c:ext>
              </c:extLst>
            </c:dLbl>
            <c:dLbl>
              <c:idx val="1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DD-4A1A-8AE3-ED8305730D8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4+5'!$D$5:$S$5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'Graf 4+5'!$D$6:$S$6</c:f>
              <c:numCache>
                <c:formatCode>#\ ##0.0</c:formatCode>
                <c:ptCount val="16"/>
                <c:pt idx="0">
                  <c:v>-2.5234210889800117</c:v>
                </c:pt>
                <c:pt idx="1">
                  <c:v>-8.1493356813289886</c:v>
                </c:pt>
                <c:pt idx="2">
                  <c:v>-7.5026077807900462</c:v>
                </c:pt>
                <c:pt idx="3">
                  <c:v>-4.322085277808231</c:v>
                </c:pt>
                <c:pt idx="4">
                  <c:v>-4.3689696372631763</c:v>
                </c:pt>
                <c:pt idx="5">
                  <c:v>-2.8885857040668763</c:v>
                </c:pt>
                <c:pt idx="6">
                  <c:v>-3.1147163639601265</c:v>
                </c:pt>
                <c:pt idx="7">
                  <c:v>-2.6729622355616662</c:v>
                </c:pt>
                <c:pt idx="8">
                  <c:v>-2.582412289630224</c:v>
                </c:pt>
                <c:pt idx="9">
                  <c:v>-0.98226653015622056</c:v>
                </c:pt>
                <c:pt idx="10">
                  <c:v>-1.0109230637371953</c:v>
                </c:pt>
                <c:pt idx="11">
                  <c:v>-1.218992674762408</c:v>
                </c:pt>
                <c:pt idx="12">
                  <c:v>-5.3004666678856216</c:v>
                </c:pt>
                <c:pt idx="13">
                  <c:v>-5.4305277949314608</c:v>
                </c:pt>
                <c:pt idx="14">
                  <c:v>-2.02</c:v>
                </c:pt>
                <c:pt idx="15">
                  <c:v>-6.2</c:v>
                </c:pt>
              </c:numCache>
            </c:numRef>
          </c:val>
          <c:smooth val="0"/>
          <c:extLst>
            <c:ext xmlns:c16="http://schemas.microsoft.com/office/drawing/2014/chart" uri="{C3380CC4-5D6E-409C-BE32-E72D297353CC}">
              <c16:uniqueId val="{00000008-0DDD-4A1A-8AE3-ED8305730D87}"/>
            </c:ext>
          </c:extLst>
        </c:ser>
        <c:ser>
          <c:idx val="1"/>
          <c:order val="1"/>
          <c:tx>
            <c:strRef>
              <c:f>'Graf 4+5'!$B$7</c:f>
              <c:strCache>
                <c:ptCount val="1"/>
                <c:pt idx="0">
                  <c:v>Nominálny cieľ pri zostavovaní rozpočtu</c:v>
                </c:pt>
              </c:strCache>
            </c:strRef>
          </c:tx>
          <c:spPr>
            <a:ln w="28575" cap="rnd">
              <a:noFill/>
              <a:prstDash val="sysDash"/>
              <a:round/>
            </a:ln>
            <a:effectLst/>
          </c:spPr>
          <c:marker>
            <c:symbol val="circle"/>
            <c:size val="7"/>
            <c:spPr>
              <a:solidFill>
                <a:sysClr val="windowText" lastClr="000000"/>
              </a:solidFill>
              <a:ln w="9525">
                <a:solidFill>
                  <a:sysClr val="windowText" lastClr="000000"/>
                </a:solidFill>
              </a:ln>
              <a:effectLst/>
            </c:spPr>
          </c:marker>
          <c:dLbls>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4+5'!$D$5:$S$5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'Graf 4+5'!$D$7:$S$7</c:f>
              <c:numCache>
                <c:formatCode>General</c:formatCode>
                <c:ptCount val="16"/>
                <c:pt idx="15" formatCode="#\ ##0.0">
                  <c:v>-6.44</c:v>
                </c:pt>
              </c:numCache>
            </c:numRef>
          </c:val>
          <c:smooth val="0"/>
          <c:extLst>
            <c:ext xmlns:c16="http://schemas.microsoft.com/office/drawing/2014/chart" uri="{C3380CC4-5D6E-409C-BE32-E72D297353CC}">
              <c16:uniqueId val="{00000009-0DDD-4A1A-8AE3-ED8305730D87}"/>
            </c:ext>
          </c:extLst>
        </c:ser>
        <c:dLbls>
          <c:showLegendKey val="0"/>
          <c:showVal val="0"/>
          <c:showCatName val="0"/>
          <c:showSerName val="0"/>
          <c:showPercent val="0"/>
          <c:showBubbleSize val="0"/>
        </c:dLbls>
        <c:smooth val="0"/>
        <c:axId val="557539920"/>
        <c:axId val="561011080"/>
      </c:lineChart>
      <c:catAx>
        <c:axId val="557539920"/>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spcFirstLastPara="1" vertOverflow="ellipsis" wrap="square" anchor="b" anchorCtr="0"/>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max val="-0.5"/>
          <c:min val="-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57539920"/>
        <c:crosses val="autoZero"/>
        <c:crossBetween val="between"/>
        <c:majorUnit val="2"/>
      </c:valAx>
      <c:spPr>
        <a:noFill/>
        <a:ln>
          <a:noFill/>
        </a:ln>
        <a:effectLst/>
      </c:spPr>
    </c:plotArea>
    <c:legend>
      <c:legendPos val="b"/>
      <c:layout>
        <c:manualLayout>
          <c:xMode val="edge"/>
          <c:yMode val="edge"/>
          <c:x val="0.33140195807951461"/>
          <c:y val="0.47748458578287944"/>
          <c:w val="0.43530356104965617"/>
          <c:h val="0.271378217200851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'Graf 6'!$C$5</c:f>
              <c:strCache>
                <c:ptCount val="1"/>
                <c:pt idx="0">
                  <c:v>Daň z príjmov fyzických osôb</c:v>
                </c:pt>
              </c:strCache>
            </c:strRef>
          </c:tx>
          <c:spPr>
            <a:solidFill>
              <a:srgbClr val="2C9AD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6'!$D$4</c:f>
              <c:numCache>
                <c:formatCode>General</c:formatCode>
                <c:ptCount val="1"/>
                <c:pt idx="0">
                  <c:v>2023</c:v>
                </c:pt>
              </c:numCache>
            </c:numRef>
          </c:cat>
          <c:val>
            <c:numRef>
              <c:f>'Graf 6'!$D$5</c:f>
              <c:numCache>
                <c:formatCode>0.0</c:formatCode>
                <c:ptCount val="1"/>
                <c:pt idx="0">
                  <c:v>1.3589355629070765</c:v>
                </c:pt>
              </c:numCache>
            </c:numRef>
          </c:val>
          <c:extLst>
            <c:ext xmlns:c16="http://schemas.microsoft.com/office/drawing/2014/chart" uri="{C3380CC4-5D6E-409C-BE32-E72D297353CC}">
              <c16:uniqueId val="{00000000-6481-4614-8B2F-398EC727DE99}"/>
            </c:ext>
          </c:extLst>
        </c:ser>
        <c:ser>
          <c:idx val="1"/>
          <c:order val="1"/>
          <c:tx>
            <c:strRef>
              <c:f>'Graf 6'!$C$6</c:f>
              <c:strCache>
                <c:ptCount val="1"/>
                <c:pt idx="0">
                  <c:v>Korporátna daň</c:v>
                </c:pt>
              </c:strCache>
            </c:strRef>
          </c:tx>
          <c:spPr>
            <a:solidFill>
              <a:sysClr val="window" lastClr="FFFFFF">
                <a:lumMod val="75000"/>
              </a:sysClr>
            </a:solidFill>
            <a:ln>
              <a:noFill/>
            </a:ln>
            <a:effectLst/>
          </c:spPr>
          <c:invertIfNegative val="0"/>
          <c:cat>
            <c:numRef>
              <c:f>'Graf 6'!$D$4</c:f>
              <c:numCache>
                <c:formatCode>General</c:formatCode>
                <c:ptCount val="1"/>
                <c:pt idx="0">
                  <c:v>2023</c:v>
                </c:pt>
              </c:numCache>
            </c:numRef>
          </c:cat>
          <c:val>
            <c:numRef>
              <c:f>'Graf 6'!$D$6</c:f>
              <c:numCache>
                <c:formatCode>0.0</c:formatCode>
                <c:ptCount val="1"/>
                <c:pt idx="0">
                  <c:v>0.87919599737988097</c:v>
                </c:pt>
              </c:numCache>
            </c:numRef>
          </c:val>
          <c:extLst>
            <c:ext xmlns:c16="http://schemas.microsoft.com/office/drawing/2014/chart" uri="{C3380CC4-5D6E-409C-BE32-E72D297353CC}">
              <c16:uniqueId val="{00000001-6481-4614-8B2F-398EC727DE99}"/>
            </c:ext>
          </c:extLst>
        </c:ser>
        <c:ser>
          <c:idx val="2"/>
          <c:order val="2"/>
          <c:tx>
            <c:strRef>
              <c:f>'Graf 6'!$C$7</c:f>
              <c:strCache>
                <c:ptCount val="1"/>
                <c:pt idx="0">
                  <c:v>DPH</c:v>
                </c:pt>
              </c:strCache>
            </c:strRef>
          </c:tx>
          <c:spPr>
            <a:solidFill>
              <a:srgbClr val="1F497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6'!$D$4</c:f>
              <c:numCache>
                <c:formatCode>General</c:formatCode>
                <c:ptCount val="1"/>
                <c:pt idx="0">
                  <c:v>2023</c:v>
                </c:pt>
              </c:numCache>
            </c:numRef>
          </c:cat>
          <c:val>
            <c:numRef>
              <c:f>'Graf 6'!$D$7</c:f>
              <c:numCache>
                <c:formatCode>0.0</c:formatCode>
                <c:ptCount val="1"/>
                <c:pt idx="0">
                  <c:v>2.9788136761657023</c:v>
                </c:pt>
              </c:numCache>
            </c:numRef>
          </c:val>
          <c:extLst>
            <c:ext xmlns:c16="http://schemas.microsoft.com/office/drawing/2014/chart" uri="{C3380CC4-5D6E-409C-BE32-E72D297353CC}">
              <c16:uniqueId val="{00000002-6481-4614-8B2F-398EC727DE99}"/>
            </c:ext>
          </c:extLst>
        </c:ser>
        <c:ser>
          <c:idx val="4"/>
          <c:order val="3"/>
          <c:tx>
            <c:strRef>
              <c:f>'Graf 6'!$C$9</c:f>
              <c:strCache>
                <c:ptCount val="1"/>
                <c:pt idx="0">
                  <c:v>Sociálne a zdravotné odvody</c:v>
                </c:pt>
              </c:strCache>
            </c:strRef>
          </c:tx>
          <c:spPr>
            <a:solidFill>
              <a:srgbClr val="1F497D">
                <a:lumMod val="60000"/>
                <a:lumOff val="40000"/>
              </a:srgb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6'!$D$4</c:f>
              <c:numCache>
                <c:formatCode>General</c:formatCode>
                <c:ptCount val="1"/>
                <c:pt idx="0">
                  <c:v>2023</c:v>
                </c:pt>
              </c:numCache>
            </c:numRef>
          </c:cat>
          <c:val>
            <c:numRef>
              <c:f>'Graf 6'!$D$9</c:f>
              <c:numCache>
                <c:formatCode>0.0</c:formatCode>
                <c:ptCount val="1"/>
                <c:pt idx="0">
                  <c:v>3.6677828801750039</c:v>
                </c:pt>
              </c:numCache>
            </c:numRef>
          </c:val>
          <c:extLst>
            <c:ext xmlns:c16="http://schemas.microsoft.com/office/drawing/2014/chart" uri="{C3380CC4-5D6E-409C-BE32-E72D297353CC}">
              <c16:uniqueId val="{00000004-6481-4614-8B2F-398EC727DE99}"/>
            </c:ext>
          </c:extLst>
        </c:ser>
        <c:ser>
          <c:idx val="5"/>
          <c:order val="4"/>
          <c:tx>
            <c:strRef>
              <c:f>'Graf 6'!$C$10</c:f>
              <c:strCache>
                <c:ptCount val="1"/>
                <c:pt idx="0">
                  <c:v>Ostatné</c:v>
                </c:pt>
              </c:strCache>
            </c:strRef>
          </c:tx>
          <c:spPr>
            <a:solidFill>
              <a:sysClr val="window" lastClr="FFFFFF">
                <a:lumMod val="85000"/>
              </a:sysClr>
            </a:solidFill>
            <a:ln>
              <a:noFill/>
            </a:ln>
            <a:effectLst/>
          </c:spPr>
          <c:invertIfNegative val="0"/>
          <c:cat>
            <c:numRef>
              <c:f>'Graf 6'!$D$4</c:f>
              <c:numCache>
                <c:formatCode>General</c:formatCode>
                <c:ptCount val="1"/>
                <c:pt idx="0">
                  <c:v>2023</c:v>
                </c:pt>
              </c:numCache>
            </c:numRef>
          </c:cat>
          <c:val>
            <c:numRef>
              <c:f>'Graf 6'!$D$10</c:f>
              <c:numCache>
                <c:formatCode>0.0</c:formatCode>
                <c:ptCount val="1"/>
                <c:pt idx="0">
                  <c:v>0.58409219545135282</c:v>
                </c:pt>
              </c:numCache>
            </c:numRef>
          </c:val>
          <c:extLst>
            <c:ext xmlns:c16="http://schemas.microsoft.com/office/drawing/2014/chart" uri="{C3380CC4-5D6E-409C-BE32-E72D297353CC}">
              <c16:uniqueId val="{00000005-6481-4614-8B2F-398EC727DE99}"/>
            </c:ext>
          </c:extLst>
        </c:ser>
        <c:ser>
          <c:idx val="3"/>
          <c:order val="6"/>
          <c:tx>
            <c:strRef>
              <c:f>'Graf 6'!$C$8</c:f>
              <c:strCache>
                <c:ptCount val="1"/>
                <c:pt idx="0">
                  <c:v>Solidárny príspevok </c:v>
                </c:pt>
              </c:strCache>
            </c:strRef>
          </c:tx>
          <c:spPr>
            <a:solidFill>
              <a:sysClr val="window" lastClr="FFFFFF">
                <a:lumMod val="50000"/>
              </a:sysClr>
            </a:solidFill>
            <a:ln>
              <a:noFill/>
            </a:ln>
            <a:effectLst/>
          </c:spPr>
          <c:invertIfNegative val="0"/>
          <c:val>
            <c:numRef>
              <c:f>'Graf 6'!$D$8</c:f>
              <c:numCache>
                <c:formatCode>0.0</c:formatCode>
                <c:ptCount val="1"/>
                <c:pt idx="0">
                  <c:v>-0.4757185742974705</c:v>
                </c:pt>
              </c:numCache>
            </c:numRef>
          </c:val>
          <c:extLst>
            <c:ext xmlns:c16="http://schemas.microsoft.com/office/drawing/2014/chart" uri="{C3380CC4-5D6E-409C-BE32-E72D297353CC}">
              <c16:uniqueId val="{00000001-A265-4065-872C-4B08EBEB70AA}"/>
            </c:ext>
          </c:extLst>
        </c:ser>
        <c:dLbls>
          <c:showLegendKey val="0"/>
          <c:showVal val="0"/>
          <c:showCatName val="0"/>
          <c:showSerName val="0"/>
          <c:showPercent val="0"/>
          <c:showBubbleSize val="0"/>
        </c:dLbls>
        <c:gapWidth val="150"/>
        <c:overlap val="100"/>
        <c:axId val="544506840"/>
        <c:axId val="544509136"/>
      </c:barChart>
      <c:lineChart>
        <c:grouping val="standard"/>
        <c:varyColors val="0"/>
        <c:ser>
          <c:idx val="6"/>
          <c:order val="5"/>
          <c:tx>
            <c:strRef>
              <c:f>'Graf 6'!$C$11</c:f>
              <c:strCache>
                <c:ptCount val="1"/>
                <c:pt idx="0">
                  <c:v>Spolu</c:v>
                </c:pt>
              </c:strCache>
            </c:strRef>
          </c:tx>
          <c:spPr>
            <a:ln w="28575" cap="rnd">
              <a:solidFill>
                <a:schemeClr val="accent1">
                  <a:lumMod val="60000"/>
                </a:schemeClr>
              </a:solidFill>
              <a:round/>
            </a:ln>
            <a:effectLst/>
          </c:spPr>
          <c:marker>
            <c:symbol val="circle"/>
            <c:size val="6"/>
            <c:spPr>
              <a:solidFill>
                <a:sysClr val="windowText" lastClr="000000"/>
              </a:solidFill>
              <a:ln w="9525">
                <a:solidFill>
                  <a:sysClr val="windowText" lastClr="000000"/>
                </a:solidFill>
              </a:ln>
              <a:effectLst/>
            </c:spPr>
          </c:marker>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6'!$D$11</c:f>
              <c:numCache>
                <c:formatCode>0.0</c:formatCode>
                <c:ptCount val="1"/>
                <c:pt idx="0">
                  <c:v>9.1164514986811014</c:v>
                </c:pt>
              </c:numCache>
            </c:numRef>
          </c:val>
          <c:smooth val="0"/>
          <c:extLst>
            <c:ext xmlns:c16="http://schemas.microsoft.com/office/drawing/2014/chart" uri="{C3380CC4-5D6E-409C-BE32-E72D297353CC}">
              <c16:uniqueId val="{00000000-A265-4065-872C-4B08EBEB70AA}"/>
            </c:ext>
          </c:extLst>
        </c:ser>
        <c:dLbls>
          <c:showLegendKey val="0"/>
          <c:showVal val="0"/>
          <c:showCatName val="0"/>
          <c:showSerName val="0"/>
          <c:showPercent val="0"/>
          <c:showBubbleSize val="0"/>
        </c:dLbls>
        <c:marker val="1"/>
        <c:smooth val="0"/>
        <c:axId val="544506840"/>
        <c:axId val="544509136"/>
      </c:lineChart>
      <c:catAx>
        <c:axId val="544506840"/>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crossAx val="544509136"/>
        <c:crosses val="autoZero"/>
        <c:auto val="1"/>
        <c:lblAlgn val="ctr"/>
        <c:lblOffset val="100"/>
        <c:noMultiLvlLbl val="0"/>
      </c:catAx>
      <c:valAx>
        <c:axId val="544509136"/>
        <c:scaling>
          <c:orientation val="minMax"/>
          <c:min val="-2"/>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crossAx val="544506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'Graf 6'!$C$23</c:f>
              <c:strCache>
                <c:ptCount val="1"/>
                <c:pt idx="0">
                  <c:v>PIT from dependent activity</c:v>
                </c:pt>
              </c:strCache>
            </c:strRef>
          </c:tx>
          <c:spPr>
            <a:solidFill>
              <a:srgbClr val="2C9AD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6'!$D$22</c:f>
              <c:numCache>
                <c:formatCode>General</c:formatCode>
                <c:ptCount val="1"/>
                <c:pt idx="0">
                  <c:v>2023</c:v>
                </c:pt>
              </c:numCache>
            </c:numRef>
          </c:cat>
          <c:val>
            <c:numRef>
              <c:f>'Graf 6'!$D$23</c:f>
              <c:numCache>
                <c:formatCode>0.0</c:formatCode>
                <c:ptCount val="1"/>
                <c:pt idx="0">
                  <c:v>1.3589355629070765</c:v>
                </c:pt>
              </c:numCache>
            </c:numRef>
          </c:val>
          <c:extLst>
            <c:ext xmlns:c16="http://schemas.microsoft.com/office/drawing/2014/chart" uri="{C3380CC4-5D6E-409C-BE32-E72D297353CC}">
              <c16:uniqueId val="{00000000-1354-4338-8339-F768C64EC8BD}"/>
            </c:ext>
          </c:extLst>
        </c:ser>
        <c:ser>
          <c:idx val="1"/>
          <c:order val="1"/>
          <c:tx>
            <c:strRef>
              <c:f>'Graf 6'!$C$24</c:f>
              <c:strCache>
                <c:ptCount val="1"/>
                <c:pt idx="0">
                  <c:v>CIT</c:v>
                </c:pt>
              </c:strCache>
            </c:strRef>
          </c:tx>
          <c:spPr>
            <a:solidFill>
              <a:sysClr val="window" lastClr="FFFFFF">
                <a:lumMod val="75000"/>
              </a:sysClr>
            </a:solidFill>
            <a:ln>
              <a:noFill/>
            </a:ln>
            <a:effectLst/>
          </c:spPr>
          <c:invertIfNegative val="0"/>
          <c:cat>
            <c:numRef>
              <c:f>'Graf 6'!$D$22</c:f>
              <c:numCache>
                <c:formatCode>General</c:formatCode>
                <c:ptCount val="1"/>
                <c:pt idx="0">
                  <c:v>2023</c:v>
                </c:pt>
              </c:numCache>
            </c:numRef>
          </c:cat>
          <c:val>
            <c:numRef>
              <c:f>'Graf 6'!$D$24</c:f>
              <c:numCache>
                <c:formatCode>0.0</c:formatCode>
                <c:ptCount val="1"/>
                <c:pt idx="0">
                  <c:v>0.87919599737988097</c:v>
                </c:pt>
              </c:numCache>
            </c:numRef>
          </c:val>
          <c:extLst>
            <c:ext xmlns:c16="http://schemas.microsoft.com/office/drawing/2014/chart" uri="{C3380CC4-5D6E-409C-BE32-E72D297353CC}">
              <c16:uniqueId val="{00000001-1354-4338-8339-F768C64EC8BD}"/>
            </c:ext>
          </c:extLst>
        </c:ser>
        <c:ser>
          <c:idx val="2"/>
          <c:order val="2"/>
          <c:tx>
            <c:strRef>
              <c:f>'Graf 6'!$C$25</c:f>
              <c:strCache>
                <c:ptCount val="1"/>
                <c:pt idx="0">
                  <c:v>VAT</c:v>
                </c:pt>
              </c:strCache>
            </c:strRef>
          </c:tx>
          <c:spPr>
            <a:solidFill>
              <a:srgbClr val="1F497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Narrow" panose="020B0606020202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6'!$D$22</c:f>
              <c:numCache>
                <c:formatCode>General</c:formatCode>
                <c:ptCount val="1"/>
                <c:pt idx="0">
                  <c:v>2023</c:v>
                </c:pt>
              </c:numCache>
            </c:numRef>
          </c:cat>
          <c:val>
            <c:numRef>
              <c:f>'Graf 6'!$D$25</c:f>
              <c:numCache>
                <c:formatCode>0.0</c:formatCode>
                <c:ptCount val="1"/>
                <c:pt idx="0">
                  <c:v>2.9788136761657023</c:v>
                </c:pt>
              </c:numCache>
            </c:numRef>
          </c:val>
          <c:extLst>
            <c:ext xmlns:c16="http://schemas.microsoft.com/office/drawing/2014/chart" uri="{C3380CC4-5D6E-409C-BE32-E72D297353CC}">
              <c16:uniqueId val="{00000002-1354-4338-8339-F768C64EC8BD}"/>
            </c:ext>
          </c:extLst>
        </c:ser>
        <c:ser>
          <c:idx val="3"/>
          <c:order val="3"/>
          <c:tx>
            <c:strRef>
              <c:f>'Graf 6'!$C$26</c:f>
              <c:strCache>
                <c:ptCount val="1"/>
                <c:pt idx="0">
                  <c:v>Solidarity contribution</c:v>
                </c:pt>
              </c:strCache>
            </c:strRef>
          </c:tx>
          <c:spPr>
            <a:solidFill>
              <a:srgbClr val="686767"/>
            </a:solidFill>
            <a:ln>
              <a:noFill/>
            </a:ln>
            <a:effectLst/>
          </c:spPr>
          <c:invertIfNegative val="0"/>
          <c:cat>
            <c:numRef>
              <c:f>'Graf 6'!$D$22</c:f>
              <c:numCache>
                <c:formatCode>General</c:formatCode>
                <c:ptCount val="1"/>
                <c:pt idx="0">
                  <c:v>2023</c:v>
                </c:pt>
              </c:numCache>
            </c:numRef>
          </c:cat>
          <c:val>
            <c:numRef>
              <c:f>'Graf 6'!$D$26</c:f>
              <c:numCache>
                <c:formatCode>0.0</c:formatCode>
                <c:ptCount val="1"/>
                <c:pt idx="0">
                  <c:v>-0.4757185742974705</c:v>
                </c:pt>
              </c:numCache>
            </c:numRef>
          </c:val>
          <c:extLst>
            <c:ext xmlns:c16="http://schemas.microsoft.com/office/drawing/2014/chart" uri="{C3380CC4-5D6E-409C-BE32-E72D297353CC}">
              <c16:uniqueId val="{00000003-1354-4338-8339-F768C64EC8BD}"/>
            </c:ext>
          </c:extLst>
        </c:ser>
        <c:ser>
          <c:idx val="4"/>
          <c:order val="4"/>
          <c:tx>
            <c:strRef>
              <c:f>'Graf 6'!$C$27</c:f>
              <c:strCache>
                <c:ptCount val="1"/>
                <c:pt idx="0">
                  <c:v>Social and health contributions</c:v>
                </c:pt>
              </c:strCache>
            </c:strRef>
          </c:tx>
          <c:spPr>
            <a:solidFill>
              <a:srgbClr val="1F497D">
                <a:lumMod val="60000"/>
                <a:lumOff val="40000"/>
              </a:srgb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6'!$D$22</c:f>
              <c:numCache>
                <c:formatCode>General</c:formatCode>
                <c:ptCount val="1"/>
                <c:pt idx="0">
                  <c:v>2023</c:v>
                </c:pt>
              </c:numCache>
            </c:numRef>
          </c:cat>
          <c:val>
            <c:numRef>
              <c:f>'Graf 6'!$D$27</c:f>
              <c:numCache>
                <c:formatCode>0.0</c:formatCode>
                <c:ptCount val="1"/>
                <c:pt idx="0">
                  <c:v>3.6677828801750039</c:v>
                </c:pt>
              </c:numCache>
            </c:numRef>
          </c:val>
          <c:extLst>
            <c:ext xmlns:c16="http://schemas.microsoft.com/office/drawing/2014/chart" uri="{C3380CC4-5D6E-409C-BE32-E72D297353CC}">
              <c16:uniqueId val="{00000004-1354-4338-8339-F768C64EC8BD}"/>
            </c:ext>
          </c:extLst>
        </c:ser>
        <c:ser>
          <c:idx val="5"/>
          <c:order val="5"/>
          <c:tx>
            <c:strRef>
              <c:f>'Graf 6'!$C$28</c:f>
              <c:strCache>
                <c:ptCount val="1"/>
                <c:pt idx="0">
                  <c:v>Other taxes</c:v>
                </c:pt>
              </c:strCache>
            </c:strRef>
          </c:tx>
          <c:spPr>
            <a:solidFill>
              <a:sysClr val="window" lastClr="FFFFFF">
                <a:lumMod val="85000"/>
              </a:sysClr>
            </a:solidFill>
            <a:ln>
              <a:noFill/>
            </a:ln>
            <a:effectLst/>
          </c:spPr>
          <c:invertIfNegative val="0"/>
          <c:cat>
            <c:numRef>
              <c:f>'Graf 6'!$D$22</c:f>
              <c:numCache>
                <c:formatCode>General</c:formatCode>
                <c:ptCount val="1"/>
                <c:pt idx="0">
                  <c:v>2023</c:v>
                </c:pt>
              </c:numCache>
            </c:numRef>
          </c:cat>
          <c:val>
            <c:numRef>
              <c:f>'Graf 6'!$D$28</c:f>
              <c:numCache>
                <c:formatCode>0.0</c:formatCode>
                <c:ptCount val="1"/>
                <c:pt idx="0">
                  <c:v>0.58409219545135282</c:v>
                </c:pt>
              </c:numCache>
            </c:numRef>
          </c:val>
          <c:extLst>
            <c:ext xmlns:c16="http://schemas.microsoft.com/office/drawing/2014/chart" uri="{C3380CC4-5D6E-409C-BE32-E72D297353CC}">
              <c16:uniqueId val="{00000005-1354-4338-8339-F768C64EC8BD}"/>
            </c:ext>
          </c:extLst>
        </c:ser>
        <c:dLbls>
          <c:showLegendKey val="0"/>
          <c:showVal val="0"/>
          <c:showCatName val="0"/>
          <c:showSerName val="0"/>
          <c:showPercent val="0"/>
          <c:showBubbleSize val="0"/>
        </c:dLbls>
        <c:gapWidth val="150"/>
        <c:overlap val="100"/>
        <c:axId val="544506840"/>
        <c:axId val="544509136"/>
      </c:barChart>
      <c:lineChart>
        <c:grouping val="standard"/>
        <c:varyColors val="0"/>
        <c:ser>
          <c:idx val="6"/>
          <c:order val="6"/>
          <c:tx>
            <c:strRef>
              <c:f>'Graf 6'!$C$29</c:f>
              <c:strCache>
                <c:ptCount val="1"/>
                <c:pt idx="0">
                  <c:v>Total</c:v>
                </c:pt>
              </c:strCache>
            </c:strRef>
          </c:tx>
          <c:spPr>
            <a:ln w="28575" cap="rnd">
              <a:solidFill>
                <a:schemeClr val="accent1">
                  <a:lumMod val="60000"/>
                </a:schemeClr>
              </a:solidFill>
              <a:round/>
            </a:ln>
            <a:effectLst/>
          </c:spPr>
          <c:marker>
            <c:symbol val="circle"/>
            <c:size val="6"/>
            <c:spPr>
              <a:solidFill>
                <a:sysClr val="windowText" lastClr="000000"/>
              </a:solidFill>
              <a:ln w="9525">
                <a:solidFill>
                  <a:srgbClr val="686767"/>
                </a:solidFill>
              </a:ln>
              <a:effectLst/>
            </c:spPr>
          </c:marker>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02-45A7-4B56-A1DE-8858C1A855E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6'!$D$29</c:f>
              <c:numCache>
                <c:formatCode>0.0</c:formatCode>
                <c:ptCount val="1"/>
                <c:pt idx="0">
                  <c:v>9.1164514986811014</c:v>
                </c:pt>
              </c:numCache>
            </c:numRef>
          </c:val>
          <c:smooth val="0"/>
          <c:extLst>
            <c:ext xmlns:c16="http://schemas.microsoft.com/office/drawing/2014/chart" uri="{C3380CC4-5D6E-409C-BE32-E72D297353CC}">
              <c16:uniqueId val="{00000000-45A7-4B56-A1DE-8858C1A855E1}"/>
            </c:ext>
          </c:extLst>
        </c:ser>
        <c:dLbls>
          <c:showLegendKey val="0"/>
          <c:showVal val="0"/>
          <c:showCatName val="0"/>
          <c:showSerName val="0"/>
          <c:showPercent val="0"/>
          <c:showBubbleSize val="0"/>
        </c:dLbls>
        <c:marker val="1"/>
        <c:smooth val="0"/>
        <c:axId val="544506840"/>
        <c:axId val="544509136"/>
      </c:lineChart>
      <c:catAx>
        <c:axId val="544506840"/>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crossAx val="544509136"/>
        <c:crosses val="autoZero"/>
        <c:auto val="1"/>
        <c:lblAlgn val="ctr"/>
        <c:lblOffset val="100"/>
        <c:noMultiLvlLbl val="0"/>
      </c:catAx>
      <c:valAx>
        <c:axId val="544509136"/>
        <c:scaling>
          <c:orientation val="minMax"/>
          <c:max val="12"/>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crossAx val="544506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7'!$D$4</c:f>
              <c:strCache>
                <c:ptCount val="1"/>
                <c:pt idx="0">
                  <c:v>2023</c:v>
                </c:pt>
              </c:strCache>
            </c:strRef>
          </c:tx>
          <c:spPr>
            <a:solidFill>
              <a:srgbClr val="2EAAE1"/>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7'!$C$5:$C$11</c:f>
              <c:strCache>
                <c:ptCount val="7"/>
                <c:pt idx="0">
                  <c:v>DPFO zč</c:v>
                </c:pt>
                <c:pt idx="1">
                  <c:v>DPPO</c:v>
                </c:pt>
                <c:pt idx="2">
                  <c:v>DPH</c:v>
                </c:pt>
                <c:pt idx="3">
                  <c:v>Spotrebné dane</c:v>
                </c:pt>
                <c:pt idx="4">
                  <c:v>Sociálne odvody</c:v>
                </c:pt>
                <c:pt idx="5">
                  <c:v>Zdravotné odvody</c:v>
                </c:pt>
                <c:pt idx="6">
                  <c:v>Ostatné</c:v>
                </c:pt>
              </c:strCache>
            </c:strRef>
          </c:cat>
          <c:val>
            <c:numRef>
              <c:f>'Graf 7'!$D$5:$D$11</c:f>
              <c:numCache>
                <c:formatCode>#,##0</c:formatCode>
                <c:ptCount val="7"/>
                <c:pt idx="0">
                  <c:v>477.2</c:v>
                </c:pt>
                <c:pt idx="1">
                  <c:v>308.73599999999999</c:v>
                </c:pt>
                <c:pt idx="2">
                  <c:v>1046.0318539499976</c:v>
                </c:pt>
                <c:pt idx="3">
                  <c:v>43.315156000000428</c:v>
                </c:pt>
                <c:pt idx="4">
                  <c:v>789.40634683999974</c:v>
                </c:pt>
                <c:pt idx="5">
                  <c:v>498.56200000000001</c:v>
                </c:pt>
                <c:pt idx="6">
                  <c:v>38.056176780008627</c:v>
                </c:pt>
              </c:numCache>
            </c:numRef>
          </c:val>
          <c:extLst>
            <c:ext xmlns:c16="http://schemas.microsoft.com/office/drawing/2014/chart" uri="{C3380CC4-5D6E-409C-BE32-E72D297353CC}">
              <c16:uniqueId val="{00000000-2FE3-4D1B-AE6A-36266EEEEF10}"/>
            </c:ext>
          </c:extLst>
        </c:ser>
        <c:dLbls>
          <c:showLegendKey val="0"/>
          <c:showVal val="0"/>
          <c:showCatName val="0"/>
          <c:showSerName val="0"/>
          <c:showPercent val="0"/>
          <c:showBubbleSize val="0"/>
        </c:dLbls>
        <c:gapWidth val="219"/>
        <c:overlap val="-27"/>
        <c:axId val="756844944"/>
        <c:axId val="756851176"/>
      </c:barChart>
      <c:catAx>
        <c:axId val="756844944"/>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crossAx val="756851176"/>
        <c:crosses val="autoZero"/>
        <c:auto val="1"/>
        <c:lblAlgn val="ctr"/>
        <c:lblOffset val="100"/>
        <c:noMultiLvlLbl val="0"/>
      </c:catAx>
      <c:valAx>
        <c:axId val="756851176"/>
        <c:scaling>
          <c:orientation val="minMax"/>
        </c:scaling>
        <c:delete val="0"/>
        <c:axPos val="l"/>
        <c:majorGridlines>
          <c:spPr>
            <a:ln w="3175" cap="flat" cmpd="sng" algn="ctr">
              <a:solidFill>
                <a:srgbClr val="686767">
                  <a:alpha val="25000"/>
                </a:srgbClr>
              </a:solidFill>
              <a:prstDash val="sysDot"/>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crossAx val="756844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7'!$D$23</c:f>
              <c:strCache>
                <c:ptCount val="1"/>
                <c:pt idx="0">
                  <c:v>2023</c:v>
                </c:pt>
              </c:strCache>
            </c:strRef>
          </c:tx>
          <c:spPr>
            <a:solidFill>
              <a:srgbClr val="2EAAE1"/>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7'!$C$24:$C$30</c:f>
              <c:strCache>
                <c:ptCount val="7"/>
                <c:pt idx="0">
                  <c:v>PIT from dependent activity</c:v>
                </c:pt>
                <c:pt idx="1">
                  <c:v>CIT</c:v>
                </c:pt>
                <c:pt idx="2">
                  <c:v>VAT</c:v>
                </c:pt>
                <c:pt idx="3">
                  <c:v>Excise duties</c:v>
                </c:pt>
                <c:pt idx="4">
                  <c:v>Social contributions</c:v>
                </c:pt>
                <c:pt idx="5">
                  <c:v>Health contributions</c:v>
                </c:pt>
                <c:pt idx="6">
                  <c:v>Other taxes</c:v>
                </c:pt>
              </c:strCache>
            </c:strRef>
          </c:cat>
          <c:val>
            <c:numRef>
              <c:f>'Graf 7'!$D$24:$D$30</c:f>
              <c:numCache>
                <c:formatCode>#,##0</c:formatCode>
                <c:ptCount val="7"/>
                <c:pt idx="0">
                  <c:v>477.2</c:v>
                </c:pt>
                <c:pt idx="1">
                  <c:v>308.73599999999999</c:v>
                </c:pt>
                <c:pt idx="2">
                  <c:v>1046.0318539499976</c:v>
                </c:pt>
                <c:pt idx="3">
                  <c:v>43.315156000000428</c:v>
                </c:pt>
                <c:pt idx="4">
                  <c:v>789.40634683999974</c:v>
                </c:pt>
                <c:pt idx="5">
                  <c:v>498.56200000000001</c:v>
                </c:pt>
                <c:pt idx="6">
                  <c:v>38.056176780008627</c:v>
                </c:pt>
              </c:numCache>
            </c:numRef>
          </c:val>
          <c:extLst>
            <c:ext xmlns:c16="http://schemas.microsoft.com/office/drawing/2014/chart" uri="{C3380CC4-5D6E-409C-BE32-E72D297353CC}">
              <c16:uniqueId val="{00000000-CAA6-46C8-84D3-3AD884DBF09A}"/>
            </c:ext>
          </c:extLst>
        </c:ser>
        <c:dLbls>
          <c:showLegendKey val="0"/>
          <c:showVal val="0"/>
          <c:showCatName val="0"/>
          <c:showSerName val="0"/>
          <c:showPercent val="0"/>
          <c:showBubbleSize val="0"/>
        </c:dLbls>
        <c:gapWidth val="219"/>
        <c:overlap val="-27"/>
        <c:axId val="756844944"/>
        <c:axId val="756851176"/>
      </c:barChart>
      <c:catAx>
        <c:axId val="756844944"/>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crossAx val="756851176"/>
        <c:crosses val="autoZero"/>
        <c:auto val="1"/>
        <c:lblAlgn val="ctr"/>
        <c:lblOffset val="100"/>
        <c:noMultiLvlLbl val="0"/>
      </c:catAx>
      <c:valAx>
        <c:axId val="756851176"/>
        <c:scaling>
          <c:orientation val="minMax"/>
        </c:scaling>
        <c:delete val="0"/>
        <c:axPos val="l"/>
        <c:majorGridlines>
          <c:spPr>
            <a:ln w="3175" cap="flat" cmpd="sng" algn="ctr">
              <a:solidFill>
                <a:srgbClr val="686767">
                  <a:alpha val="25000"/>
                </a:srgbClr>
              </a:solidFill>
              <a:prstDash val="sysDot"/>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Calibri Light" panose="020F0302020204030204" pitchFamily="34" charset="0"/>
              </a:defRPr>
            </a:pPr>
            <a:endParaRPr lang="sk-SK"/>
          </a:p>
        </c:txPr>
        <c:crossAx val="756844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546330720175949E-3"/>
          <c:y val="3.7416875538740901E-2"/>
          <c:w val="0.93562215289320394"/>
          <c:h val="0.82918870277400336"/>
        </c:manualLayout>
      </c:layout>
      <c:areaChart>
        <c:grouping val="stacked"/>
        <c:varyColors val="0"/>
        <c:ser>
          <c:idx val="2"/>
          <c:order val="0"/>
          <c:tx>
            <c:strRef>
              <c:f>'Graf 8'!$A$29</c:f>
              <c:strCache>
                <c:ptCount val="1"/>
                <c:pt idx="0">
                  <c:v>Čistý dlh VS</c:v>
                </c:pt>
              </c:strCache>
            </c:strRef>
          </c:tx>
          <c:spPr>
            <a:solidFill>
              <a:srgbClr val="AAD3F2">
                <a:lumMod val="50000"/>
              </a:srgbClr>
            </a:solidFill>
            <a:ln>
              <a:solidFill>
                <a:srgbClr val="AAD3F2"/>
              </a:solidFill>
            </a:ln>
          </c:spP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8'!$B$29:$T$29</c15:sqref>
                  </c15:fullRef>
                </c:ext>
              </c:extLst>
              <c:f>'Graf 8'!$J$29:$T$29</c:f>
              <c:numCache>
                <c:formatCode>0.0</c:formatCode>
                <c:ptCount val="11"/>
                <c:pt idx="0">
                  <c:v>46.928453271330902</c:v>
                </c:pt>
                <c:pt idx="1">
                  <c:v>45.741709297628958</c:v>
                </c:pt>
                <c:pt idx="2">
                  <c:v>43.330589179314366</c:v>
                </c:pt>
                <c:pt idx="3">
                  <c:v>43.084864561833882</c:v>
                </c:pt>
                <c:pt idx="4">
                  <c:v>48.882600351765404</c:v>
                </c:pt>
                <c:pt idx="5">
                  <c:v>49.640621506277924</c:v>
                </c:pt>
                <c:pt idx="6">
                  <c:v>47.683610070826276</c:v>
                </c:pt>
                <c:pt idx="7">
                  <c:v>49.656197887839113</c:v>
                </c:pt>
                <c:pt idx="8">
                  <c:v>53.491061063670841</c:v>
                </c:pt>
                <c:pt idx="9">
                  <c:v>57.195505049152032</c:v>
                </c:pt>
                <c:pt idx="10">
                  <c:v>61.916217163365239</c:v>
                </c:pt>
              </c:numCache>
            </c:numRef>
          </c:val>
          <c:extLst>
            <c:ext xmlns:c16="http://schemas.microsoft.com/office/drawing/2014/chart" uri="{C3380CC4-5D6E-409C-BE32-E72D297353CC}">
              <c16:uniqueId val="{00000000-5218-40D9-8019-96A897D45E68}"/>
            </c:ext>
          </c:extLst>
        </c:ser>
        <c:ser>
          <c:idx val="1"/>
          <c:order val="1"/>
          <c:tx>
            <c:strRef>
              <c:f>'Graf 8'!$A$30</c:f>
              <c:strCache>
                <c:ptCount val="1"/>
                <c:pt idx="0">
                  <c:v>Likvidné finančné aktíva (LFA)</c:v>
                </c:pt>
              </c:strCache>
            </c:strRef>
          </c:tx>
          <c:spPr>
            <a:solidFill>
              <a:srgbClr val="2C9ADC">
                <a:lumMod val="60000"/>
                <a:lumOff val="40000"/>
              </a:srgbClr>
            </a:solidFill>
            <a:ln w="25400">
              <a:noFill/>
            </a:ln>
          </c:spP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8'!$B$30:$T$30</c15:sqref>
                  </c15:fullRef>
                </c:ext>
              </c:extLst>
              <c:f>'Graf 8'!$J$30:$T$30</c:f>
              <c:numCache>
                <c:formatCode>0.0</c:formatCode>
                <c:ptCount val="11"/>
                <c:pt idx="0">
                  <c:v>5.3464461545574054</c:v>
                </c:pt>
                <c:pt idx="1">
                  <c:v>5.7198618583088301</c:v>
                </c:pt>
                <c:pt idx="2">
                  <c:v>6.0774616498550937</c:v>
                </c:pt>
                <c:pt idx="3">
                  <c:v>4.8936916416602427</c:v>
                </c:pt>
                <c:pt idx="4">
                  <c:v>9.9685270645670307</c:v>
                </c:pt>
                <c:pt idx="5">
                  <c:v>11.440544126155155</c:v>
                </c:pt>
                <c:pt idx="6">
                  <c:v>10.11991552679596</c:v>
                </c:pt>
                <c:pt idx="7">
                  <c:v>7.403802923600912</c:v>
                </c:pt>
                <c:pt idx="8">
                  <c:v>6.4735629709119156</c:v>
                </c:pt>
                <c:pt idx="9">
                  <c:v>5.4508549608353212</c:v>
                </c:pt>
                <c:pt idx="10">
                  <c:v>5.4885245380599272</c:v>
                </c:pt>
              </c:numCache>
            </c:numRef>
          </c:val>
          <c:extLst>
            <c:ext xmlns:c16="http://schemas.microsoft.com/office/drawing/2014/chart" uri="{C3380CC4-5D6E-409C-BE32-E72D297353CC}">
              <c16:uniqueId val="{00000003-2AA4-4255-A189-000C806B559A}"/>
            </c:ext>
          </c:extLst>
        </c:ser>
        <c:dLbls>
          <c:showLegendKey val="0"/>
          <c:showVal val="0"/>
          <c:showCatName val="0"/>
          <c:showSerName val="0"/>
          <c:showPercent val="0"/>
          <c:showBubbleSize val="0"/>
        </c:dLbls>
        <c:axId val="852351856"/>
        <c:axId val="852350872"/>
      </c:areaChart>
      <c:lineChart>
        <c:grouping val="standard"/>
        <c:varyColors val="0"/>
        <c:ser>
          <c:idx val="0"/>
          <c:order val="6"/>
          <c:tx>
            <c:strRef>
              <c:f>'Graf 8'!$A$33</c:f>
              <c:strCache>
                <c:ptCount val="1"/>
              </c:strCache>
            </c:strRef>
          </c:tx>
          <c:spPr>
            <a:ln w="19050">
              <a:solidFill>
                <a:sysClr val="windowText" lastClr="000000"/>
              </a:solidFill>
              <a:prstDash val="sysDash"/>
            </a:ln>
          </c:spPr>
          <c:marker>
            <c:symbol val="none"/>
          </c:marke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8'!$B$33:$S$33</c15:sqref>
                  </c15:fullRef>
                </c:ext>
              </c:extLst>
              <c:f>'Graf 8'!$J$33:$S$33</c:f>
              <c:numCache>
                <c:formatCode>General</c:formatCode>
                <c:ptCount val="10"/>
              </c:numCache>
            </c:numRef>
          </c:val>
          <c:smooth val="0"/>
          <c:extLst>
            <c:ext xmlns:c16="http://schemas.microsoft.com/office/drawing/2014/chart" uri="{C3380CC4-5D6E-409C-BE32-E72D297353CC}">
              <c16:uniqueId val="{00000000-65B1-4BD9-AEC5-149E9D416B1D}"/>
            </c:ext>
          </c:extLst>
        </c:ser>
        <c:ser>
          <c:idx val="5"/>
          <c:order val="7"/>
          <c:tx>
            <c:strRef>
              <c:f>'Graf 8'!$A$34</c:f>
              <c:strCache>
                <c:ptCount val="1"/>
              </c:strCache>
            </c:strRef>
          </c:tx>
          <c:spPr>
            <a:ln w="19050">
              <a:solidFill>
                <a:sysClr val="window" lastClr="FFFFFF">
                  <a:lumMod val="85000"/>
                </a:sysClr>
              </a:solidFill>
              <a:prstDash val="sysDash"/>
            </a:ln>
          </c:spPr>
          <c:marker>
            <c:symbol val="none"/>
          </c:marke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8'!$B$34:$S$34</c15:sqref>
                  </c15:fullRef>
                </c:ext>
              </c:extLst>
              <c:f>'Graf 8'!$J$34:$S$34</c:f>
              <c:numCache>
                <c:formatCode>General</c:formatCode>
                <c:ptCount val="10"/>
              </c:numCache>
            </c:numRef>
          </c:val>
          <c:smooth val="0"/>
          <c:extLst>
            <c:ext xmlns:c16="http://schemas.microsoft.com/office/drawing/2014/chart" uri="{C3380CC4-5D6E-409C-BE32-E72D297353CC}">
              <c16:uniqueId val="{00000001-65B1-4BD9-AEC5-149E9D416B1D}"/>
            </c:ext>
          </c:extLst>
        </c:ser>
        <c:dLbls>
          <c:showLegendKey val="0"/>
          <c:showVal val="0"/>
          <c:showCatName val="0"/>
          <c:showSerName val="0"/>
          <c:showPercent val="0"/>
          <c:showBubbleSize val="0"/>
        </c:dLbls>
        <c:marker val="1"/>
        <c:smooth val="0"/>
        <c:axId val="744447392"/>
        <c:axId val="744447784"/>
      </c:lineChart>
      <c:lineChart>
        <c:grouping val="standard"/>
        <c:varyColors val="0"/>
        <c:ser>
          <c:idx val="4"/>
          <c:order val="2"/>
          <c:tx>
            <c:v>Horné a spodné sankčné pásmo hrubého dlhu</c:v>
          </c:tx>
          <c:spPr>
            <a:ln w="19050">
              <a:solidFill>
                <a:srgbClr val="FF0000"/>
              </a:solidFill>
              <a:prstDash val="sysDot"/>
            </a:ln>
          </c:spPr>
          <c:marker>
            <c:symbol val="none"/>
          </c:marke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8'!$B$31:$T$31</c15:sqref>
                  </c15:fullRef>
                </c:ext>
              </c:extLst>
              <c:f>'Graf 8'!$J$31:$T$31</c:f>
              <c:numCache>
                <c:formatCode>General</c:formatCode>
                <c:ptCount val="11"/>
                <c:pt idx="0" formatCode="0">
                  <c:v>60</c:v>
                </c:pt>
                <c:pt idx="1" formatCode="0">
                  <c:v>60</c:v>
                </c:pt>
                <c:pt idx="2" formatCode="0">
                  <c:v>59</c:v>
                </c:pt>
                <c:pt idx="3" formatCode="0">
                  <c:v>58</c:v>
                </c:pt>
                <c:pt idx="4" formatCode="0">
                  <c:v>57</c:v>
                </c:pt>
                <c:pt idx="5" formatCode="0">
                  <c:v>56</c:v>
                </c:pt>
                <c:pt idx="6" formatCode="0">
                  <c:v>55</c:v>
                </c:pt>
                <c:pt idx="7" formatCode="0">
                  <c:v>54</c:v>
                </c:pt>
                <c:pt idx="8" formatCode="0">
                  <c:v>53</c:v>
                </c:pt>
                <c:pt idx="9" formatCode="0">
                  <c:v>52</c:v>
                </c:pt>
                <c:pt idx="10" formatCode="0">
                  <c:v>51</c:v>
                </c:pt>
              </c:numCache>
            </c:numRef>
          </c:val>
          <c:smooth val="0"/>
          <c:extLst>
            <c:ext xmlns:c16="http://schemas.microsoft.com/office/drawing/2014/chart" uri="{C3380CC4-5D6E-409C-BE32-E72D297353CC}">
              <c16:uniqueId val="{00000003-FE00-499E-BB05-62ECB20CEBE0}"/>
            </c:ext>
          </c:extLst>
        </c:ser>
        <c:ser>
          <c:idx val="8"/>
          <c:order val="3"/>
          <c:tx>
            <c:strRef>
              <c:f>'Graf 8'!$A$32</c:f>
              <c:strCache>
                <c:ptCount val="1"/>
                <c:pt idx="0">
                  <c:v>Sankčné pásma (hrubý dlh)</c:v>
                </c:pt>
              </c:strCache>
            </c:strRef>
          </c:tx>
          <c:spPr>
            <a:ln w="19050">
              <a:solidFill>
                <a:srgbClr val="FF0000"/>
              </a:solidFill>
              <a:prstDash val="sysDot"/>
            </a:ln>
          </c:spPr>
          <c:marker>
            <c:symbol val="none"/>
          </c:marke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8'!$B$32:$T$32</c15:sqref>
                  </c15:fullRef>
                </c:ext>
              </c:extLst>
              <c:f>'Graf 8'!$J$32:$T$32</c:f>
              <c:numCache>
                <c:formatCode>General</c:formatCode>
                <c:ptCount val="11"/>
                <c:pt idx="0" formatCode="0">
                  <c:v>50</c:v>
                </c:pt>
                <c:pt idx="1" formatCode="0">
                  <c:v>50</c:v>
                </c:pt>
                <c:pt idx="2" formatCode="0">
                  <c:v>49</c:v>
                </c:pt>
                <c:pt idx="3" formatCode="0">
                  <c:v>48</c:v>
                </c:pt>
                <c:pt idx="4" formatCode="0">
                  <c:v>47</c:v>
                </c:pt>
                <c:pt idx="5" formatCode="0">
                  <c:v>46</c:v>
                </c:pt>
                <c:pt idx="6" formatCode="0">
                  <c:v>45</c:v>
                </c:pt>
                <c:pt idx="7" formatCode="0">
                  <c:v>44</c:v>
                </c:pt>
                <c:pt idx="8" formatCode="0">
                  <c:v>43</c:v>
                </c:pt>
                <c:pt idx="9" formatCode="0">
                  <c:v>42</c:v>
                </c:pt>
                <c:pt idx="10" formatCode="0">
                  <c:v>41</c:v>
                </c:pt>
              </c:numCache>
            </c:numRef>
          </c:val>
          <c:smooth val="0"/>
          <c:extLst>
            <c:ext xmlns:c16="http://schemas.microsoft.com/office/drawing/2014/chart" uri="{C3380CC4-5D6E-409C-BE32-E72D297353CC}">
              <c16:uniqueId val="{00000007-FE00-499E-BB05-62ECB20CEBE0}"/>
            </c:ext>
          </c:extLst>
        </c:ser>
        <c:ser>
          <c:idx val="3"/>
          <c:order val="4"/>
          <c:tx>
            <c:strRef>
              <c:f>'Graf 8'!$A$28</c:f>
              <c:strCache>
                <c:ptCount val="1"/>
                <c:pt idx="0">
                  <c:v>Hrubý dlh VS</c:v>
                </c:pt>
              </c:strCache>
            </c:strRef>
          </c:tx>
          <c:spPr>
            <a:ln>
              <a:noFill/>
            </a:ln>
          </c:spPr>
          <c:marker>
            <c:symbol val="circle"/>
            <c:size val="5"/>
            <c:spPr>
              <a:solidFill>
                <a:sysClr val="windowText" lastClr="000000"/>
              </a:solidFill>
              <a:ln>
                <a:noFill/>
              </a:ln>
            </c:spPr>
          </c:marker>
          <c:dLbls>
            <c:spPr>
              <a:noFill/>
              <a:ln>
                <a:no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8'!$B$28:$T$28</c15:sqref>
                  </c15:fullRef>
                </c:ext>
              </c:extLst>
              <c:f>'Graf 8'!$J$28:$T$28</c:f>
              <c:numCache>
                <c:formatCode>0.0</c:formatCode>
                <c:ptCount val="11"/>
                <c:pt idx="0">
                  <c:v>52.274899425888307</c:v>
                </c:pt>
                <c:pt idx="1">
                  <c:v>51.46157115593779</c:v>
                </c:pt>
                <c:pt idx="2">
                  <c:v>49.408050829169454</c:v>
                </c:pt>
                <c:pt idx="3">
                  <c:v>47.978556203494129</c:v>
                </c:pt>
                <c:pt idx="4">
                  <c:v>58.851127416332439</c:v>
                </c:pt>
                <c:pt idx="5">
                  <c:v>61.081165632433098</c:v>
                </c:pt>
                <c:pt idx="6">
                  <c:v>57.802773885954991</c:v>
                </c:pt>
                <c:pt idx="7">
                  <c:v>57.060000811440013</c:v>
                </c:pt>
                <c:pt idx="8">
                  <c:v>59.964624034582755</c:v>
                </c:pt>
                <c:pt idx="9">
                  <c:v>62.646360009987347</c:v>
                </c:pt>
                <c:pt idx="10">
                  <c:v>67.404741701425181</c:v>
                </c:pt>
              </c:numCache>
            </c:numRef>
          </c:val>
          <c:smooth val="0"/>
          <c:extLst>
            <c:ext xmlns:c16="http://schemas.microsoft.com/office/drawing/2014/chart" uri="{C3380CC4-5D6E-409C-BE32-E72D297353CC}">
              <c16:uniqueId val="{00000002-5218-40D9-8019-96A897D45E68}"/>
            </c:ext>
          </c:extLst>
        </c:ser>
        <c:ser>
          <c:idx val="9"/>
          <c:order val="5"/>
          <c:tx>
            <c:strRef>
              <c:f>'Graf 8'!$A$29</c:f>
              <c:strCache>
                <c:ptCount val="1"/>
                <c:pt idx="0">
                  <c:v>Čistý dlh VS</c:v>
                </c:pt>
              </c:strCache>
            </c:strRef>
          </c:tx>
          <c:spPr>
            <a:ln>
              <a:noFill/>
            </a:ln>
          </c:spPr>
          <c:marker>
            <c:symbol val="circle"/>
            <c:size val="5"/>
            <c:spPr>
              <a:solidFill>
                <a:srgbClr val="2C9ADC"/>
              </a:solidFill>
              <a:ln w="3175">
                <a:solidFill>
                  <a:sysClr val="windowText" lastClr="000000"/>
                </a:solidFill>
              </a:ln>
            </c:spPr>
          </c:marke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8'!$B$29:$T$29</c15:sqref>
                  </c15:fullRef>
                </c:ext>
              </c:extLst>
              <c:f>'Graf 8'!$J$29:$T$29</c:f>
              <c:numCache>
                <c:formatCode>0.0</c:formatCode>
                <c:ptCount val="11"/>
                <c:pt idx="0">
                  <c:v>46.928453271330902</c:v>
                </c:pt>
                <c:pt idx="1">
                  <c:v>45.741709297628958</c:v>
                </c:pt>
                <c:pt idx="2">
                  <c:v>43.330589179314366</c:v>
                </c:pt>
                <c:pt idx="3">
                  <c:v>43.084864561833882</c:v>
                </c:pt>
                <c:pt idx="4">
                  <c:v>48.882600351765404</c:v>
                </c:pt>
                <c:pt idx="5">
                  <c:v>49.640621506277924</c:v>
                </c:pt>
                <c:pt idx="6">
                  <c:v>47.683610070826276</c:v>
                </c:pt>
                <c:pt idx="7">
                  <c:v>49.656197887839113</c:v>
                </c:pt>
                <c:pt idx="8">
                  <c:v>53.491061063670841</c:v>
                </c:pt>
                <c:pt idx="9">
                  <c:v>57.195505049152032</c:v>
                </c:pt>
                <c:pt idx="10">
                  <c:v>61.916217163365239</c:v>
                </c:pt>
              </c:numCache>
            </c:numRef>
          </c:val>
          <c:smooth val="0"/>
          <c:extLst>
            <c:ext xmlns:c16="http://schemas.microsoft.com/office/drawing/2014/chart" uri="{C3380CC4-5D6E-409C-BE32-E72D297353CC}">
              <c16:uniqueId val="{0000000B-5218-40D9-8019-96A897D45E68}"/>
            </c:ext>
          </c:extLst>
        </c:ser>
        <c:dLbls>
          <c:showLegendKey val="0"/>
          <c:showVal val="0"/>
          <c:showCatName val="0"/>
          <c:showSerName val="0"/>
          <c:showPercent val="0"/>
          <c:showBubbleSize val="0"/>
        </c:dLbls>
        <c:marker val="1"/>
        <c:smooth val="0"/>
        <c:axId val="852351856"/>
        <c:axId val="852350872"/>
      </c:lineChart>
      <c:dateAx>
        <c:axId val="744447392"/>
        <c:scaling>
          <c:orientation val="minMax"/>
        </c:scaling>
        <c:delete val="0"/>
        <c:axPos val="b"/>
        <c:numFmt formatCode="General" sourceLinked="1"/>
        <c:majorTickMark val="none"/>
        <c:minorTickMark val="none"/>
        <c:tickLblPos val="nextTo"/>
        <c:spPr>
          <a:ln w="12700">
            <a:solidFill>
              <a:srgbClr val="686767"/>
            </a:solidFill>
          </a:ln>
        </c:spPr>
        <c:txPr>
          <a:bodyPr rot="0" vert="horz"/>
          <a:lstStyle/>
          <a:p>
            <a:pPr>
              <a:defRPr/>
            </a:pPr>
            <a:endParaRPr lang="sk-SK"/>
          </a:p>
        </c:txPr>
        <c:crossAx val="744447784"/>
        <c:crosses val="autoZero"/>
        <c:auto val="0"/>
        <c:lblOffset val="100"/>
        <c:baseTimeUnit val="days"/>
      </c:dateAx>
      <c:valAx>
        <c:axId val="744447784"/>
        <c:scaling>
          <c:orientation val="minMax"/>
          <c:max val="65"/>
          <c:min val="20"/>
        </c:scaling>
        <c:delete val="1"/>
        <c:axPos val="r"/>
        <c:majorGridlines>
          <c:spPr>
            <a:ln w="3175">
              <a:solidFill>
                <a:srgbClr val="686767">
                  <a:alpha val="25000"/>
                </a:srgbClr>
              </a:solidFill>
              <a:prstDash val="sysDot"/>
            </a:ln>
          </c:spPr>
        </c:majorGridlines>
        <c:numFmt formatCode="0" sourceLinked="0"/>
        <c:majorTickMark val="out"/>
        <c:minorTickMark val="none"/>
        <c:tickLblPos val="nextTo"/>
        <c:crossAx val="744447392"/>
        <c:crosses val="max"/>
        <c:crossBetween val="between"/>
      </c:valAx>
      <c:valAx>
        <c:axId val="852350872"/>
        <c:scaling>
          <c:orientation val="minMax"/>
          <c:max val="80"/>
          <c:min val="30"/>
        </c:scaling>
        <c:delete val="0"/>
        <c:axPos val="l"/>
        <c:numFmt formatCode="0" sourceLinked="0"/>
        <c:majorTickMark val="out"/>
        <c:minorTickMark val="none"/>
        <c:tickLblPos val="nextTo"/>
        <c:spPr>
          <a:ln>
            <a:noFill/>
          </a:ln>
        </c:spPr>
        <c:crossAx val="852351856"/>
        <c:crosses val="autoZero"/>
        <c:crossBetween val="between"/>
      </c:valAx>
      <c:dateAx>
        <c:axId val="852351856"/>
        <c:scaling>
          <c:orientation val="minMax"/>
        </c:scaling>
        <c:delete val="1"/>
        <c:axPos val="b"/>
        <c:numFmt formatCode="General" sourceLinked="1"/>
        <c:majorTickMark val="out"/>
        <c:minorTickMark val="none"/>
        <c:tickLblPos val="nextTo"/>
        <c:crossAx val="852350872"/>
        <c:crosses val="autoZero"/>
        <c:auto val="0"/>
        <c:lblOffset val="100"/>
        <c:baseTimeUnit val="days"/>
      </c:dateAx>
      <c:spPr>
        <a:noFill/>
      </c:spPr>
    </c:plotArea>
    <c:legend>
      <c:legendPos val="b"/>
      <c:legendEntry>
        <c:idx val="2"/>
        <c:delete val="1"/>
      </c:legendEntry>
      <c:legendEntry>
        <c:idx val="3"/>
        <c:delete val="1"/>
      </c:legendEntry>
      <c:legendEntry>
        <c:idx val="5"/>
        <c:delete val="1"/>
      </c:legendEntry>
      <c:legendEntry>
        <c:idx val="7"/>
        <c:delete val="1"/>
      </c:legendEntry>
      <c:layout>
        <c:manualLayout>
          <c:xMode val="edge"/>
          <c:yMode val="edge"/>
          <c:x val="4.2795308103070251E-2"/>
          <c:y val="4.7500490611314117E-2"/>
          <c:w val="0.92283368269002553"/>
          <c:h val="0.16843773210883373"/>
        </c:manualLayout>
      </c:layout>
      <c:overlay val="0"/>
    </c:legend>
    <c:plotVisOnly val="1"/>
    <c:dispBlanksAs val="gap"/>
    <c:showDLblsOverMax val="0"/>
  </c:chart>
  <c:spPr>
    <a:noFill/>
    <a:ln>
      <a:noFill/>
    </a:ln>
  </c:spPr>
  <c:txPr>
    <a:bodyPr/>
    <a:lstStyle/>
    <a:p>
      <a:pPr>
        <a:defRPr sz="900">
          <a:latin typeface="Arial Narrow" pitchFamily="34" charset="0"/>
        </a:defRPr>
      </a:pPr>
      <a:endParaRPr lang="sk-SK"/>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546330720175949E-3"/>
          <c:y val="3.4131684451921343E-2"/>
          <c:w val="0.93562215289320394"/>
          <c:h val="0.8324745206312365"/>
        </c:manualLayout>
      </c:layout>
      <c:areaChart>
        <c:grouping val="stacked"/>
        <c:varyColors val="0"/>
        <c:ser>
          <c:idx val="2"/>
          <c:order val="0"/>
          <c:tx>
            <c:strRef>
              <c:f>'Graf 8'!$U$29</c:f>
              <c:strCache>
                <c:ptCount val="1"/>
                <c:pt idx="0">
                  <c:v>Net debt</c:v>
                </c:pt>
              </c:strCache>
            </c:strRef>
          </c:tx>
          <c:spPr>
            <a:solidFill>
              <a:srgbClr val="AAD3F2">
                <a:lumMod val="50000"/>
              </a:srgbClr>
            </a:solidFill>
            <a:ln>
              <a:solidFill>
                <a:srgbClr val="AAD3F2"/>
              </a:solidFill>
            </a:ln>
          </c:spP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8'!$B$29:$T$29</c15:sqref>
                  </c15:fullRef>
                </c:ext>
              </c:extLst>
              <c:f>'Graf 8'!$J$29:$T$29</c:f>
              <c:numCache>
                <c:formatCode>0.0</c:formatCode>
                <c:ptCount val="11"/>
                <c:pt idx="0">
                  <c:v>46.928453271330902</c:v>
                </c:pt>
                <c:pt idx="1">
                  <c:v>45.741709297628958</c:v>
                </c:pt>
                <c:pt idx="2">
                  <c:v>43.330589179314366</c:v>
                </c:pt>
                <c:pt idx="3">
                  <c:v>43.084864561833882</c:v>
                </c:pt>
                <c:pt idx="4">
                  <c:v>48.882600351765404</c:v>
                </c:pt>
                <c:pt idx="5">
                  <c:v>49.640621506277924</c:v>
                </c:pt>
                <c:pt idx="6">
                  <c:v>47.683610070826276</c:v>
                </c:pt>
                <c:pt idx="7">
                  <c:v>49.656197887839113</c:v>
                </c:pt>
                <c:pt idx="8">
                  <c:v>53.491061063670841</c:v>
                </c:pt>
                <c:pt idx="9">
                  <c:v>57.195505049152032</c:v>
                </c:pt>
                <c:pt idx="10">
                  <c:v>61.916217163365239</c:v>
                </c:pt>
              </c:numCache>
            </c:numRef>
          </c:val>
          <c:extLst>
            <c:ext xmlns:c16="http://schemas.microsoft.com/office/drawing/2014/chart" uri="{C3380CC4-5D6E-409C-BE32-E72D297353CC}">
              <c16:uniqueId val="{00000000-B67B-46C4-B567-3347236A3CF8}"/>
            </c:ext>
          </c:extLst>
        </c:ser>
        <c:ser>
          <c:idx val="1"/>
          <c:order val="1"/>
          <c:tx>
            <c:strRef>
              <c:f>'Graf 8'!$U$30</c:f>
              <c:strCache>
                <c:ptCount val="1"/>
                <c:pt idx="0">
                  <c:v>Liquid financial assests</c:v>
                </c:pt>
              </c:strCache>
            </c:strRef>
          </c:tx>
          <c:spPr>
            <a:solidFill>
              <a:srgbClr val="2C9ADC">
                <a:lumMod val="60000"/>
                <a:lumOff val="40000"/>
              </a:srgbClr>
            </a:solidFill>
            <a:ln w="25400">
              <a:noFill/>
            </a:ln>
          </c:spP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8'!$B$30:$T$30</c15:sqref>
                  </c15:fullRef>
                </c:ext>
              </c:extLst>
              <c:f>'Graf 8'!$J$30:$T$30</c:f>
              <c:numCache>
                <c:formatCode>0.0</c:formatCode>
                <c:ptCount val="11"/>
                <c:pt idx="0">
                  <c:v>5.3464461545574054</c:v>
                </c:pt>
                <c:pt idx="1">
                  <c:v>5.7198618583088301</c:v>
                </c:pt>
                <c:pt idx="2">
                  <c:v>6.0774616498550937</c:v>
                </c:pt>
                <c:pt idx="3">
                  <c:v>4.8936916416602427</c:v>
                </c:pt>
                <c:pt idx="4">
                  <c:v>9.9685270645670307</c:v>
                </c:pt>
                <c:pt idx="5">
                  <c:v>11.440544126155155</c:v>
                </c:pt>
                <c:pt idx="6">
                  <c:v>10.11991552679596</c:v>
                </c:pt>
                <c:pt idx="7">
                  <c:v>7.403802923600912</c:v>
                </c:pt>
                <c:pt idx="8">
                  <c:v>6.4735629709119156</c:v>
                </c:pt>
                <c:pt idx="9">
                  <c:v>5.4508549608353212</c:v>
                </c:pt>
                <c:pt idx="10">
                  <c:v>5.4885245380599272</c:v>
                </c:pt>
              </c:numCache>
            </c:numRef>
          </c:val>
          <c:extLst>
            <c:ext xmlns:c16="http://schemas.microsoft.com/office/drawing/2014/chart" uri="{C3380CC4-5D6E-409C-BE32-E72D297353CC}">
              <c16:uniqueId val="{00000001-B67B-46C4-B567-3347236A3CF8}"/>
            </c:ext>
          </c:extLst>
        </c:ser>
        <c:dLbls>
          <c:showLegendKey val="0"/>
          <c:showVal val="0"/>
          <c:showCatName val="0"/>
          <c:showSerName val="0"/>
          <c:showPercent val="0"/>
          <c:showBubbleSize val="0"/>
        </c:dLbls>
        <c:axId val="809949376"/>
        <c:axId val="809934944"/>
      </c:areaChart>
      <c:lineChart>
        <c:grouping val="standard"/>
        <c:varyColors val="0"/>
        <c:ser>
          <c:idx val="0"/>
          <c:order val="6"/>
          <c:tx>
            <c:strRef>
              <c:f>'Graf 8'!$U$33</c:f>
              <c:strCache>
                <c:ptCount val="1"/>
              </c:strCache>
            </c:strRef>
          </c:tx>
          <c:spPr>
            <a:ln w="19050">
              <a:solidFill>
                <a:sysClr val="windowText" lastClr="000000"/>
              </a:solidFill>
              <a:prstDash val="sysDash"/>
            </a:ln>
          </c:spPr>
          <c:marker>
            <c:symbol val="none"/>
          </c:marke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8'!$B$33:$S$33</c15:sqref>
                  </c15:fullRef>
                </c:ext>
              </c:extLst>
              <c:f>'Graf 8'!$J$33:$S$33</c:f>
              <c:numCache>
                <c:formatCode>General</c:formatCode>
                <c:ptCount val="10"/>
              </c:numCache>
            </c:numRef>
          </c:val>
          <c:smooth val="0"/>
          <c:extLst>
            <c:ext xmlns:c16="http://schemas.microsoft.com/office/drawing/2014/chart" uri="{C3380CC4-5D6E-409C-BE32-E72D297353CC}">
              <c16:uniqueId val="{00000006-B67B-46C4-B567-3347236A3CF8}"/>
            </c:ext>
          </c:extLst>
        </c:ser>
        <c:ser>
          <c:idx val="5"/>
          <c:order val="7"/>
          <c:tx>
            <c:strRef>
              <c:f>'Graf 8'!$U$34</c:f>
              <c:strCache>
                <c:ptCount val="1"/>
              </c:strCache>
            </c:strRef>
          </c:tx>
          <c:spPr>
            <a:ln w="19050">
              <a:solidFill>
                <a:sysClr val="window" lastClr="FFFFFF">
                  <a:lumMod val="85000"/>
                </a:sysClr>
              </a:solidFill>
              <a:prstDash val="sysDash"/>
            </a:ln>
          </c:spPr>
          <c:marker>
            <c:symbol val="none"/>
          </c:marke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8'!$B$34:$S$34</c15:sqref>
                  </c15:fullRef>
                </c:ext>
              </c:extLst>
              <c:f>'Graf 8'!$J$34:$S$34</c:f>
              <c:numCache>
                <c:formatCode>General</c:formatCode>
                <c:ptCount val="10"/>
              </c:numCache>
            </c:numRef>
          </c:val>
          <c:smooth val="0"/>
          <c:extLst>
            <c:ext xmlns:c16="http://schemas.microsoft.com/office/drawing/2014/chart" uri="{C3380CC4-5D6E-409C-BE32-E72D297353CC}">
              <c16:uniqueId val="{00000007-B67B-46C4-B567-3347236A3CF8}"/>
            </c:ext>
          </c:extLst>
        </c:ser>
        <c:dLbls>
          <c:showLegendKey val="0"/>
          <c:showVal val="0"/>
          <c:showCatName val="0"/>
          <c:showSerName val="0"/>
          <c:showPercent val="0"/>
          <c:showBubbleSize val="0"/>
        </c:dLbls>
        <c:marker val="1"/>
        <c:smooth val="0"/>
        <c:axId val="744447392"/>
        <c:axId val="744447784"/>
      </c:lineChart>
      <c:lineChart>
        <c:grouping val="standard"/>
        <c:varyColors val="0"/>
        <c:ser>
          <c:idx val="4"/>
          <c:order val="2"/>
          <c:spPr>
            <a:ln w="19050">
              <a:solidFill>
                <a:srgbClr val="FF0000"/>
              </a:solidFill>
              <a:prstDash val="sysDot"/>
            </a:ln>
          </c:spPr>
          <c:marker>
            <c:symbol val="none"/>
          </c:marke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8'!$B$31:$T$31</c15:sqref>
                  </c15:fullRef>
                </c:ext>
              </c:extLst>
              <c:f>'Graf 8'!$J$31:$T$31</c:f>
              <c:numCache>
                <c:formatCode>General</c:formatCode>
                <c:ptCount val="11"/>
                <c:pt idx="0" formatCode="0">
                  <c:v>60</c:v>
                </c:pt>
                <c:pt idx="1" formatCode="0">
                  <c:v>60</c:v>
                </c:pt>
                <c:pt idx="2" formatCode="0">
                  <c:v>59</c:v>
                </c:pt>
                <c:pt idx="3" formatCode="0">
                  <c:v>58</c:v>
                </c:pt>
                <c:pt idx="4" formatCode="0">
                  <c:v>57</c:v>
                </c:pt>
                <c:pt idx="5" formatCode="0">
                  <c:v>56</c:v>
                </c:pt>
                <c:pt idx="6" formatCode="0">
                  <c:v>55</c:v>
                </c:pt>
                <c:pt idx="7" formatCode="0">
                  <c:v>54</c:v>
                </c:pt>
                <c:pt idx="8" formatCode="0">
                  <c:v>53</c:v>
                </c:pt>
                <c:pt idx="9" formatCode="0">
                  <c:v>52</c:v>
                </c:pt>
                <c:pt idx="10" formatCode="0">
                  <c:v>51</c:v>
                </c:pt>
              </c:numCache>
            </c:numRef>
          </c:val>
          <c:smooth val="0"/>
          <c:extLst>
            <c:ext xmlns:c16="http://schemas.microsoft.com/office/drawing/2014/chart" uri="{C3380CC4-5D6E-409C-BE32-E72D297353CC}">
              <c16:uniqueId val="{00000002-B67B-46C4-B567-3347236A3CF8}"/>
            </c:ext>
          </c:extLst>
        </c:ser>
        <c:ser>
          <c:idx val="8"/>
          <c:order val="3"/>
          <c:tx>
            <c:v>Sanction bands (gross debt)</c:v>
          </c:tx>
          <c:spPr>
            <a:ln w="19050">
              <a:solidFill>
                <a:srgbClr val="FF0000"/>
              </a:solidFill>
              <a:prstDash val="sysDot"/>
            </a:ln>
          </c:spPr>
          <c:marker>
            <c:symbol val="none"/>
          </c:marke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8'!$B$32:$T$32</c15:sqref>
                  </c15:fullRef>
                </c:ext>
              </c:extLst>
              <c:f>'Graf 8'!$J$32:$T$32</c:f>
              <c:numCache>
                <c:formatCode>General</c:formatCode>
                <c:ptCount val="11"/>
                <c:pt idx="0" formatCode="0">
                  <c:v>50</c:v>
                </c:pt>
                <c:pt idx="1" formatCode="0">
                  <c:v>50</c:v>
                </c:pt>
                <c:pt idx="2" formatCode="0">
                  <c:v>49</c:v>
                </c:pt>
                <c:pt idx="3" formatCode="0">
                  <c:v>48</c:v>
                </c:pt>
                <c:pt idx="4" formatCode="0">
                  <c:v>47</c:v>
                </c:pt>
                <c:pt idx="5" formatCode="0">
                  <c:v>46</c:v>
                </c:pt>
                <c:pt idx="6" formatCode="0">
                  <c:v>45</c:v>
                </c:pt>
                <c:pt idx="7" formatCode="0">
                  <c:v>44</c:v>
                </c:pt>
                <c:pt idx="8" formatCode="0">
                  <c:v>43</c:v>
                </c:pt>
                <c:pt idx="9" formatCode="0">
                  <c:v>42</c:v>
                </c:pt>
                <c:pt idx="10" formatCode="0">
                  <c:v>41</c:v>
                </c:pt>
              </c:numCache>
            </c:numRef>
          </c:val>
          <c:smooth val="0"/>
          <c:extLst>
            <c:ext xmlns:c16="http://schemas.microsoft.com/office/drawing/2014/chart" uri="{C3380CC4-5D6E-409C-BE32-E72D297353CC}">
              <c16:uniqueId val="{00000003-B67B-46C4-B567-3347236A3CF8}"/>
            </c:ext>
          </c:extLst>
        </c:ser>
        <c:ser>
          <c:idx val="3"/>
          <c:order val="4"/>
          <c:tx>
            <c:strRef>
              <c:f>'Graf 8'!$U$28</c:f>
              <c:strCache>
                <c:ptCount val="1"/>
                <c:pt idx="0">
                  <c:v>General government gross debt</c:v>
                </c:pt>
              </c:strCache>
            </c:strRef>
          </c:tx>
          <c:spPr>
            <a:ln>
              <a:noFill/>
            </a:ln>
          </c:spPr>
          <c:marker>
            <c:symbol val="circle"/>
            <c:size val="5"/>
            <c:spPr>
              <a:solidFill>
                <a:sysClr val="windowText" lastClr="000000"/>
              </a:solidFill>
              <a:ln>
                <a:noFill/>
              </a:ln>
            </c:spPr>
          </c:marker>
          <c:dLbls>
            <c:spPr>
              <a:noFill/>
              <a:ln>
                <a:no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8'!$B$28:$T$28</c15:sqref>
                  </c15:fullRef>
                </c:ext>
              </c:extLst>
              <c:f>'Graf 8'!$J$28:$T$28</c:f>
              <c:numCache>
                <c:formatCode>0.0</c:formatCode>
                <c:ptCount val="11"/>
                <c:pt idx="0">
                  <c:v>52.274899425888307</c:v>
                </c:pt>
                <c:pt idx="1">
                  <c:v>51.46157115593779</c:v>
                </c:pt>
                <c:pt idx="2">
                  <c:v>49.408050829169454</c:v>
                </c:pt>
                <c:pt idx="3">
                  <c:v>47.978556203494129</c:v>
                </c:pt>
                <c:pt idx="4">
                  <c:v>58.851127416332439</c:v>
                </c:pt>
                <c:pt idx="5">
                  <c:v>61.081165632433098</c:v>
                </c:pt>
                <c:pt idx="6">
                  <c:v>57.802773885954991</c:v>
                </c:pt>
                <c:pt idx="7">
                  <c:v>57.060000811440013</c:v>
                </c:pt>
                <c:pt idx="8">
                  <c:v>59.964624034582755</c:v>
                </c:pt>
                <c:pt idx="9">
                  <c:v>62.646360009987347</c:v>
                </c:pt>
                <c:pt idx="10">
                  <c:v>67.404741701425181</c:v>
                </c:pt>
              </c:numCache>
            </c:numRef>
          </c:val>
          <c:smooth val="0"/>
          <c:extLst>
            <c:ext xmlns:c16="http://schemas.microsoft.com/office/drawing/2014/chart" uri="{C3380CC4-5D6E-409C-BE32-E72D297353CC}">
              <c16:uniqueId val="{00000004-B67B-46C4-B567-3347236A3CF8}"/>
            </c:ext>
          </c:extLst>
        </c:ser>
        <c:ser>
          <c:idx val="9"/>
          <c:order val="5"/>
          <c:tx>
            <c:strRef>
              <c:f>'Graf 8'!$A$29</c:f>
              <c:strCache>
                <c:ptCount val="1"/>
                <c:pt idx="0">
                  <c:v>Čistý dlh VS</c:v>
                </c:pt>
              </c:strCache>
            </c:strRef>
          </c:tx>
          <c:spPr>
            <a:ln>
              <a:noFill/>
            </a:ln>
          </c:spPr>
          <c:marker>
            <c:symbol val="circle"/>
            <c:size val="5"/>
            <c:spPr>
              <a:solidFill>
                <a:srgbClr val="2C9ADC"/>
              </a:solidFill>
              <a:ln w="3175">
                <a:solidFill>
                  <a:sysClr val="windowText" lastClr="000000"/>
                </a:solidFill>
              </a:ln>
            </c:spPr>
          </c:marker>
          <c:cat>
            <c:numRef>
              <c:extLst>
                <c:ext xmlns:c15="http://schemas.microsoft.com/office/drawing/2012/chart" uri="{02D57815-91ED-43cb-92C2-25804820EDAC}">
                  <c15:fullRef>
                    <c15:sqref>'Graf 8'!$B$27:$T$27</c15:sqref>
                  </c15:fullRef>
                </c:ext>
              </c:extLst>
              <c:f>'Graf 8'!$J$27:$T$27</c:f>
              <c:numCache>
                <c:formatCode>General</c:formatCode>
                <c:ptCount val="11"/>
                <c:pt idx="0">
                  <c:v>2016</c:v>
                </c:pt>
                <c:pt idx="1">
                  <c:v>2017</c:v>
                </c:pt>
                <c:pt idx="2">
                  <c:v>2018</c:v>
                </c:pt>
                <c:pt idx="3">
                  <c:v>2019</c:v>
                </c:pt>
                <c:pt idx="4">
                  <c:v>2020</c:v>
                </c:pt>
                <c:pt idx="5">
                  <c:v>2021</c:v>
                </c:pt>
                <c:pt idx="6">
                  <c:v>2022</c:v>
                </c:pt>
                <c:pt idx="7">
                  <c:v>2023</c:v>
                </c:pt>
                <c:pt idx="8">
                  <c:v>2024</c:v>
                </c:pt>
                <c:pt idx="9">
                  <c:v>2025</c:v>
                </c:pt>
                <c:pt idx="10">
                  <c:v>2026</c:v>
                </c:pt>
              </c:numCache>
            </c:numRef>
          </c:cat>
          <c:val>
            <c:numRef>
              <c:extLst>
                <c:ext xmlns:c15="http://schemas.microsoft.com/office/drawing/2012/chart" uri="{02D57815-91ED-43cb-92C2-25804820EDAC}">
                  <c15:fullRef>
                    <c15:sqref>'Graf 8'!$B$29:$T$29</c15:sqref>
                  </c15:fullRef>
                </c:ext>
              </c:extLst>
              <c:f>'Graf 8'!$J$29:$T$29</c:f>
              <c:numCache>
                <c:formatCode>0.0</c:formatCode>
                <c:ptCount val="11"/>
                <c:pt idx="0">
                  <c:v>46.928453271330902</c:v>
                </c:pt>
                <c:pt idx="1">
                  <c:v>45.741709297628958</c:v>
                </c:pt>
                <c:pt idx="2">
                  <c:v>43.330589179314366</c:v>
                </c:pt>
                <c:pt idx="3">
                  <c:v>43.084864561833882</c:v>
                </c:pt>
                <c:pt idx="4">
                  <c:v>48.882600351765404</c:v>
                </c:pt>
                <c:pt idx="5">
                  <c:v>49.640621506277924</c:v>
                </c:pt>
                <c:pt idx="6">
                  <c:v>47.683610070826276</c:v>
                </c:pt>
                <c:pt idx="7">
                  <c:v>49.656197887839113</c:v>
                </c:pt>
                <c:pt idx="8">
                  <c:v>53.491061063670841</c:v>
                </c:pt>
                <c:pt idx="9">
                  <c:v>57.195505049152032</c:v>
                </c:pt>
                <c:pt idx="10">
                  <c:v>61.916217163365239</c:v>
                </c:pt>
              </c:numCache>
            </c:numRef>
          </c:val>
          <c:smooth val="0"/>
          <c:extLst>
            <c:ext xmlns:c16="http://schemas.microsoft.com/office/drawing/2014/chart" uri="{C3380CC4-5D6E-409C-BE32-E72D297353CC}">
              <c16:uniqueId val="{00000005-B67B-46C4-B567-3347236A3CF8}"/>
            </c:ext>
          </c:extLst>
        </c:ser>
        <c:dLbls>
          <c:showLegendKey val="0"/>
          <c:showVal val="0"/>
          <c:showCatName val="0"/>
          <c:showSerName val="0"/>
          <c:showPercent val="0"/>
          <c:showBubbleSize val="0"/>
        </c:dLbls>
        <c:marker val="1"/>
        <c:smooth val="0"/>
        <c:axId val="809949376"/>
        <c:axId val="809934944"/>
      </c:lineChart>
      <c:dateAx>
        <c:axId val="744447392"/>
        <c:scaling>
          <c:orientation val="minMax"/>
        </c:scaling>
        <c:delete val="0"/>
        <c:axPos val="b"/>
        <c:numFmt formatCode="General" sourceLinked="1"/>
        <c:majorTickMark val="none"/>
        <c:minorTickMark val="none"/>
        <c:tickLblPos val="nextTo"/>
        <c:spPr>
          <a:ln w="12700">
            <a:solidFill>
              <a:srgbClr val="686767"/>
            </a:solidFill>
          </a:ln>
        </c:spPr>
        <c:txPr>
          <a:bodyPr rot="0" vert="horz"/>
          <a:lstStyle/>
          <a:p>
            <a:pPr>
              <a:defRPr/>
            </a:pPr>
            <a:endParaRPr lang="sk-SK"/>
          </a:p>
        </c:txPr>
        <c:crossAx val="744447784"/>
        <c:crosses val="autoZero"/>
        <c:auto val="0"/>
        <c:lblOffset val="100"/>
        <c:baseTimeUnit val="days"/>
      </c:dateAx>
      <c:valAx>
        <c:axId val="744447784"/>
        <c:scaling>
          <c:orientation val="minMax"/>
          <c:max val="70"/>
          <c:min val="20"/>
        </c:scaling>
        <c:delete val="1"/>
        <c:axPos val="r"/>
        <c:majorGridlines>
          <c:spPr>
            <a:ln w="3175">
              <a:solidFill>
                <a:srgbClr val="686767">
                  <a:alpha val="25000"/>
                </a:srgbClr>
              </a:solidFill>
              <a:prstDash val="sysDot"/>
            </a:ln>
          </c:spPr>
        </c:majorGridlines>
        <c:numFmt formatCode="0" sourceLinked="0"/>
        <c:majorTickMark val="out"/>
        <c:minorTickMark val="none"/>
        <c:tickLblPos val="nextTo"/>
        <c:crossAx val="744447392"/>
        <c:crosses val="max"/>
        <c:crossBetween val="between"/>
      </c:valAx>
      <c:valAx>
        <c:axId val="809934944"/>
        <c:scaling>
          <c:orientation val="minMax"/>
          <c:max val="80"/>
          <c:min val="30"/>
        </c:scaling>
        <c:delete val="0"/>
        <c:axPos val="l"/>
        <c:numFmt formatCode="0" sourceLinked="0"/>
        <c:majorTickMark val="out"/>
        <c:minorTickMark val="none"/>
        <c:tickLblPos val="nextTo"/>
        <c:spPr>
          <a:ln>
            <a:noFill/>
          </a:ln>
        </c:spPr>
        <c:crossAx val="809949376"/>
        <c:crosses val="autoZero"/>
        <c:crossBetween val="between"/>
        <c:majorUnit val="10"/>
      </c:valAx>
      <c:dateAx>
        <c:axId val="809949376"/>
        <c:scaling>
          <c:orientation val="minMax"/>
        </c:scaling>
        <c:delete val="1"/>
        <c:axPos val="b"/>
        <c:numFmt formatCode="General" sourceLinked="1"/>
        <c:majorTickMark val="out"/>
        <c:minorTickMark val="none"/>
        <c:tickLblPos val="nextTo"/>
        <c:crossAx val="809934944"/>
        <c:crosses val="autoZero"/>
        <c:auto val="0"/>
        <c:lblOffset val="100"/>
        <c:baseTimeUnit val="days"/>
      </c:dateAx>
      <c:spPr>
        <a:noFill/>
      </c:spPr>
    </c:plotArea>
    <c:legend>
      <c:legendPos val="t"/>
      <c:legendEntry>
        <c:idx val="2"/>
        <c:delete val="1"/>
      </c:legendEntry>
      <c:legendEntry>
        <c:idx val="3"/>
        <c:delete val="1"/>
      </c:legendEntry>
      <c:legendEntry>
        <c:idx val="4"/>
        <c:delete val="1"/>
      </c:legendEntry>
      <c:legendEntry>
        <c:idx val="7"/>
        <c:delete val="1"/>
      </c:legendEntry>
      <c:layout>
        <c:manualLayout>
          <c:xMode val="edge"/>
          <c:yMode val="edge"/>
          <c:x val="0.1348840727777145"/>
          <c:y val="2.7843509246822114E-2"/>
          <c:w val="0.6384777401713877"/>
          <c:h val="0.17948028372609004"/>
        </c:manualLayout>
      </c:layout>
      <c:overlay val="0"/>
    </c:legend>
    <c:plotVisOnly val="1"/>
    <c:dispBlanksAs val="gap"/>
    <c:showDLblsOverMax val="0"/>
  </c:chart>
  <c:spPr>
    <a:noFill/>
    <a:ln>
      <a:noFill/>
    </a:ln>
  </c:spPr>
  <c:txPr>
    <a:bodyPr/>
    <a:lstStyle/>
    <a:p>
      <a:pPr>
        <a:defRPr sz="900">
          <a:latin typeface="Arial Narrow" pitchFamily="34" charset="0"/>
        </a:defRPr>
      </a:pPr>
      <a:endParaRPr lang="sk-SK"/>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87773402629306E-2"/>
          <c:y val="3.7486892271914186E-2"/>
          <c:w val="0.59504012551936547"/>
          <c:h val="0.84930835369716717"/>
        </c:manualLayout>
      </c:layout>
      <c:barChart>
        <c:barDir val="col"/>
        <c:grouping val="stacked"/>
        <c:varyColors val="0"/>
        <c:ser>
          <c:idx val="6"/>
          <c:order val="1"/>
          <c:tx>
            <c:strRef>
              <c:f>'Graf 9'!$A$13</c:f>
              <c:strCache>
                <c:ptCount val="1"/>
                <c:pt idx="0">
                  <c:v>Zosúladenie deficitu a dlhu - bez hotovosti VS</c:v>
                </c:pt>
              </c:strCache>
            </c:strRef>
          </c:tx>
          <c:spPr>
            <a:solidFill>
              <a:sysClr val="window" lastClr="FFFFFF">
                <a:lumMod val="85000"/>
              </a:sysClr>
            </a:solidFill>
            <a:ln w="12700">
              <a:noFill/>
              <a:prstDash val="solid"/>
            </a:ln>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9'!$B$13:$G$13</c15:sqref>
                  </c15:fullRef>
                </c:ext>
              </c:extLst>
              <c:f>'Graf 9'!$C$13:$G$13</c:f>
              <c:numCache>
                <c:formatCode>#\ ##0.0</c:formatCode>
                <c:ptCount val="5"/>
                <c:pt idx="0">
                  <c:v>0.25051259889354366</c:v>
                </c:pt>
                <c:pt idx="1">
                  <c:v>0.51980004220380249</c:v>
                </c:pt>
                <c:pt idx="2">
                  <c:v>0.8910662763302446</c:v>
                </c:pt>
                <c:pt idx="3">
                  <c:v>-0.17513066873889571</c:v>
                </c:pt>
                <c:pt idx="4">
                  <c:v>0.60424902437429329</c:v>
                </c:pt>
              </c:numCache>
            </c:numRef>
          </c:val>
          <c:extLst>
            <c:ext xmlns:c16="http://schemas.microsoft.com/office/drawing/2014/chart" uri="{C3380CC4-5D6E-409C-BE32-E72D297353CC}">
              <c16:uniqueId val="{00000002-BFDC-48D8-915B-B0C3705EC2CF}"/>
            </c:ext>
          </c:extLst>
        </c:ser>
        <c:ser>
          <c:idx val="7"/>
          <c:order val="2"/>
          <c:tx>
            <c:strRef>
              <c:f>'Graf 9'!$A$12</c:f>
              <c:strCache>
                <c:ptCount val="1"/>
                <c:pt idx="0">
                  <c:v>Zmena hotovosti VS</c:v>
                </c:pt>
              </c:strCache>
            </c:strRef>
          </c:tx>
          <c:spPr>
            <a:solidFill>
              <a:sysClr val="window" lastClr="FFFFFF">
                <a:lumMod val="65000"/>
              </a:sysClr>
            </a:solidFill>
            <a:ln w="28575">
              <a:noFill/>
            </a:ln>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9'!$B$12:$G$12</c15:sqref>
                  </c15:fullRef>
                </c:ext>
              </c:extLst>
              <c:f>'Graf 9'!$C$12:$G$12</c:f>
              <c:numCache>
                <c:formatCode>#\ ##0.0</c:formatCode>
                <c:ptCount val="5"/>
                <c:pt idx="0">
                  <c:v>-0.31813435599688539</c:v>
                </c:pt>
                <c:pt idx="1">
                  <c:v>-1.7085400831334037</c:v>
                </c:pt>
                <c:pt idx="2">
                  <c:v>-0.39960924716805374</c:v>
                </c:pt>
                <c:pt idx="3">
                  <c:v>-0.65688626955900042</c:v>
                </c:pt>
                <c:pt idx="4">
                  <c:v>0.27354765855815472</c:v>
                </c:pt>
              </c:numCache>
            </c:numRef>
          </c:val>
          <c:extLst>
            <c:ext xmlns:c16="http://schemas.microsoft.com/office/drawing/2014/chart" uri="{C3380CC4-5D6E-409C-BE32-E72D297353CC}">
              <c16:uniqueId val="{00000000-65B2-499F-B991-B2FB145179A1}"/>
            </c:ext>
          </c:extLst>
        </c:ser>
        <c:ser>
          <c:idx val="3"/>
          <c:order val="3"/>
          <c:tx>
            <c:strRef>
              <c:f>'Graf 9'!$A$11</c:f>
              <c:strCache>
                <c:ptCount val="1"/>
                <c:pt idx="0">
                  <c:v>Deflátor HDP</c:v>
                </c:pt>
              </c:strCache>
            </c:strRef>
          </c:tx>
          <c:spPr>
            <a:solidFill>
              <a:srgbClr val="002060"/>
            </a:solidFill>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9'!$B$11:$G$11</c15:sqref>
                  </c15:fullRef>
                </c:ext>
              </c:extLst>
              <c:f>'Graf 9'!$C$11:$G$11</c:f>
              <c:numCache>
                <c:formatCode>#\ ##0.0</c:formatCode>
                <c:ptCount val="5"/>
                <c:pt idx="0">
                  <c:v>-4.2981333411903258</c:v>
                </c:pt>
                <c:pt idx="1">
                  <c:v>-5.1067490415523418</c:v>
                </c:pt>
                <c:pt idx="2">
                  <c:v>-3.4315958919340641</c:v>
                </c:pt>
                <c:pt idx="3">
                  <c:v>-1.6070201463007263</c:v>
                </c:pt>
                <c:pt idx="4">
                  <c:v>-1.442599347620839</c:v>
                </c:pt>
              </c:numCache>
            </c:numRef>
          </c:val>
          <c:extLst>
            <c:ext xmlns:c16="http://schemas.microsoft.com/office/drawing/2014/chart" uri="{C3380CC4-5D6E-409C-BE32-E72D297353CC}">
              <c16:uniqueId val="{00000004-BFDC-48D8-915B-B0C3705EC2CF}"/>
            </c:ext>
          </c:extLst>
        </c:ser>
        <c:ser>
          <c:idx val="1"/>
          <c:order val="4"/>
          <c:tx>
            <c:strRef>
              <c:f>'Graf 9'!$A$10</c:f>
              <c:strCache>
                <c:ptCount val="1"/>
                <c:pt idx="0">
                  <c:v>Rast reálneho HDP</c:v>
                </c:pt>
              </c:strCache>
            </c:strRef>
          </c:tx>
          <c:spPr>
            <a:solidFill>
              <a:srgbClr val="00589A"/>
            </a:solidFill>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9'!$B$10:$G$10</c15:sqref>
                  </c15:fullRef>
                </c:ext>
              </c:extLst>
              <c:f>'Graf 9'!$C$10:$G$10</c:f>
              <c:numCache>
                <c:formatCode>#\ ##0.0</c:formatCode>
                <c:ptCount val="5"/>
                <c:pt idx="0">
                  <c:v>-0.93255097872108539</c:v>
                </c:pt>
                <c:pt idx="1">
                  <c:v>-0.64836262915580711</c:v>
                </c:pt>
                <c:pt idx="2">
                  <c:v>-0.66377034453276007</c:v>
                </c:pt>
                <c:pt idx="3">
                  <c:v>-1.7815872144961509</c:v>
                </c:pt>
                <c:pt idx="4">
                  <c:v>-1.2762408555071858</c:v>
                </c:pt>
              </c:numCache>
            </c:numRef>
          </c:val>
          <c:extLst>
            <c:ext xmlns:c16="http://schemas.microsoft.com/office/drawing/2014/chart" uri="{C3380CC4-5D6E-409C-BE32-E72D297353CC}">
              <c16:uniqueId val="{00000003-BFDC-48D8-915B-B0C3705EC2CF}"/>
            </c:ext>
          </c:extLst>
        </c:ser>
        <c:ser>
          <c:idx val="4"/>
          <c:order val="5"/>
          <c:tx>
            <c:strRef>
              <c:f>'Graf 9'!$A$9</c:f>
              <c:strCache>
                <c:ptCount val="1"/>
                <c:pt idx="0">
                  <c:v>Úroky</c:v>
                </c:pt>
              </c:strCache>
            </c:strRef>
          </c:tx>
          <c:spPr>
            <a:solidFill>
              <a:srgbClr val="2C9ADC">
                <a:lumMod val="40000"/>
                <a:lumOff val="60000"/>
              </a:srgbClr>
            </a:solidFill>
            <a:ln w="12700">
              <a:noFill/>
              <a:prstDash val="solid"/>
            </a:ln>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9'!$B$9:$G$9</c15:sqref>
                  </c15:fullRef>
                </c:ext>
              </c:extLst>
              <c:f>'Graf 9'!$C$9:$G$9</c:f>
              <c:numCache>
                <c:formatCode>#\ ##0.0</c:formatCode>
                <c:ptCount val="5"/>
                <c:pt idx="0">
                  <c:v>1.0340727778796011</c:v>
                </c:pt>
                <c:pt idx="1">
                  <c:v>0.89169154413672835</c:v>
                </c:pt>
                <c:pt idx="2">
                  <c:v>1.0551780816103462</c:v>
                </c:pt>
                <c:pt idx="3">
                  <c:v>1.3635417329030468</c:v>
                </c:pt>
                <c:pt idx="4">
                  <c:v>1.6056278308920793</c:v>
                </c:pt>
              </c:numCache>
            </c:numRef>
          </c:val>
          <c:extLst>
            <c:ext xmlns:c16="http://schemas.microsoft.com/office/drawing/2014/chart" uri="{C3380CC4-5D6E-409C-BE32-E72D297353CC}">
              <c16:uniqueId val="{00000001-BFDC-48D8-915B-B0C3705EC2CF}"/>
            </c:ext>
          </c:extLst>
        </c:ser>
        <c:ser>
          <c:idx val="2"/>
          <c:order val="6"/>
          <c:tx>
            <c:strRef>
              <c:f>'Graf 9'!$A$8</c:f>
              <c:strCache>
                <c:ptCount val="1"/>
                <c:pt idx="0">
                  <c:v>Primárne saldo</c:v>
                </c:pt>
              </c:strCache>
            </c:strRef>
          </c:tx>
          <c:spPr>
            <a:solidFill>
              <a:srgbClr val="2C9ADC"/>
            </a:solidFill>
            <a:ln w="12700">
              <a:noFill/>
              <a:prstDash val="solid"/>
            </a:ln>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9'!$B$8:$G$8</c15:sqref>
                  </c15:fullRef>
                </c:ext>
              </c:extLst>
              <c:f>'Graf 9'!$C$8:$G$8</c:f>
              <c:numCache>
                <c:formatCode>#\ ##0.0</c:formatCode>
                <c:ptCount val="5"/>
                <c:pt idx="0">
                  <c:v>0.98659326432431538</c:v>
                </c:pt>
                <c:pt idx="1">
                  <c:v>5.3086353813187941</c:v>
                </c:pt>
                <c:pt idx="2">
                  <c:v>5.4533543488370295</c:v>
                </c:pt>
                <c:pt idx="3">
                  <c:v>5.5388185415963189</c:v>
                </c:pt>
                <c:pt idx="4">
                  <c:v>4.9937973807413307</c:v>
                </c:pt>
              </c:numCache>
            </c:numRef>
          </c:val>
          <c:extLst>
            <c:ext xmlns:c16="http://schemas.microsoft.com/office/drawing/2014/chart" uri="{C3380CC4-5D6E-409C-BE32-E72D297353CC}">
              <c16:uniqueId val="{00000000-BFDC-48D8-915B-B0C3705EC2CF}"/>
            </c:ext>
          </c:extLst>
        </c:ser>
        <c:dLbls>
          <c:showLegendKey val="0"/>
          <c:showVal val="0"/>
          <c:showCatName val="0"/>
          <c:showSerName val="0"/>
          <c:showPercent val="0"/>
          <c:showBubbleSize val="0"/>
        </c:dLbls>
        <c:gapWidth val="150"/>
        <c:overlap val="100"/>
        <c:axId val="178936256"/>
        <c:axId val="178936648"/>
        <c:extLst/>
      </c:barChart>
      <c:lineChart>
        <c:grouping val="standard"/>
        <c:varyColors val="0"/>
        <c:ser>
          <c:idx val="0"/>
          <c:order val="0"/>
          <c:tx>
            <c:strRef>
              <c:f>'Graf 9'!$A$6</c:f>
              <c:strCache>
                <c:ptCount val="1"/>
                <c:pt idx="0">
                  <c:v>Zmena hrubého dlhu VS</c:v>
                </c:pt>
              </c:strCache>
            </c:strRef>
          </c:tx>
          <c:spPr>
            <a:ln w="25400" cmpd="sng">
              <a:noFill/>
              <a:prstDash val="solid"/>
            </a:ln>
          </c:spPr>
          <c:marker>
            <c:symbol val="circle"/>
            <c:size val="7"/>
            <c:spPr>
              <a:solidFill>
                <a:sysClr val="windowText" lastClr="000000"/>
              </a:solidFill>
              <a:ln w="9525">
                <a:solidFill>
                  <a:sysClr val="window" lastClr="FFFFFF"/>
                </a:solidFill>
              </a:ln>
            </c:spPr>
          </c:marker>
          <c:dPt>
            <c:idx val="11"/>
            <c:bubble3D val="0"/>
            <c:extLst>
              <c:ext xmlns:c16="http://schemas.microsoft.com/office/drawing/2014/chart" uri="{C3380CC4-5D6E-409C-BE32-E72D297353CC}">
                <c16:uniqueId val="{00000001-65B2-499F-B991-B2FB145179A1}"/>
              </c:ext>
            </c:extLst>
          </c:dPt>
          <c:dLbls>
            <c:numFmt formatCode="#,##0.0" sourceLinked="0"/>
            <c:spPr>
              <a:solidFill>
                <a:sysClr val="window" lastClr="FFFFFF"/>
              </a:solidFill>
              <a:ln>
                <a:solidFill>
                  <a:sysClr val="windowText" lastClr="000000"/>
                </a:solidFill>
              </a:ln>
              <a:effectLst/>
            </c:spPr>
            <c:txPr>
              <a:bodyPr wrap="square" lIns="38100" tIns="19050" rIns="38100" bIns="19050" anchor="ctr">
                <a:spAutoFit/>
              </a:bodyPr>
              <a:lstStyle/>
              <a:p>
                <a:pPr>
                  <a:defRPr b="1"/>
                </a:pPr>
                <a:endParaRPr lang="sk-SK"/>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9'!$B$6:$G$6</c15:sqref>
                  </c15:fullRef>
                </c:ext>
              </c:extLst>
              <c:f>'Graf 9'!$C$6:$G$6</c:f>
              <c:numCache>
                <c:formatCode>#\ ##0.0</c:formatCode>
                <c:ptCount val="5"/>
                <c:pt idx="0">
                  <c:v>-3.2776400348108368</c:v>
                </c:pt>
                <c:pt idx="1">
                  <c:v>-0.74352478618222761</c:v>
                </c:pt>
                <c:pt idx="2">
                  <c:v>2.9046232231427425</c:v>
                </c:pt>
                <c:pt idx="3">
                  <c:v>2.6817359754045924</c:v>
                </c:pt>
                <c:pt idx="4">
                  <c:v>4.7583816914378332</c:v>
                </c:pt>
              </c:numCache>
            </c:numRef>
          </c:val>
          <c:smooth val="0"/>
          <c:extLst>
            <c:ext xmlns:c16="http://schemas.microsoft.com/office/drawing/2014/chart" uri="{C3380CC4-5D6E-409C-BE32-E72D297353CC}">
              <c16:uniqueId val="{00000005-BFDC-48D8-915B-B0C3705EC2CF}"/>
            </c:ext>
          </c:extLst>
        </c:ser>
        <c:dLbls>
          <c:showLegendKey val="0"/>
          <c:showVal val="0"/>
          <c:showCatName val="0"/>
          <c:showSerName val="0"/>
          <c:showPercent val="0"/>
          <c:showBubbleSize val="0"/>
        </c:dLbls>
        <c:marker val="1"/>
        <c:smooth val="0"/>
        <c:axId val="178936256"/>
        <c:axId val="178936648"/>
      </c:lineChart>
      <c:catAx>
        <c:axId val="178936256"/>
        <c:scaling>
          <c:orientation val="minMax"/>
        </c:scaling>
        <c:delete val="0"/>
        <c:axPos val="b"/>
        <c:numFmt formatCode="General" sourceLinked="1"/>
        <c:majorTickMark val="none"/>
        <c:minorTickMark val="none"/>
        <c:tickLblPos val="low"/>
        <c:spPr>
          <a:ln w="12700">
            <a:solidFill>
              <a:srgbClr val="686767"/>
            </a:solidFill>
            <a:prstDash val="solid"/>
          </a:ln>
        </c:spPr>
        <c:txPr>
          <a:bodyPr rot="0" vert="horz"/>
          <a:lstStyle/>
          <a:p>
            <a:pPr>
              <a:defRPr sz="900"/>
            </a:pPr>
            <a:endParaRPr lang="sk-SK"/>
          </a:p>
        </c:txPr>
        <c:crossAx val="178936648"/>
        <c:crosses val="autoZero"/>
        <c:auto val="1"/>
        <c:lblAlgn val="ctr"/>
        <c:lblOffset val="100"/>
        <c:tickLblSkip val="1"/>
        <c:tickMarkSkip val="1"/>
        <c:noMultiLvlLbl val="0"/>
      </c:catAx>
      <c:valAx>
        <c:axId val="178936648"/>
        <c:scaling>
          <c:orientation val="minMax"/>
          <c:min val="-10"/>
        </c:scaling>
        <c:delete val="0"/>
        <c:axPos val="l"/>
        <c:majorGridlines>
          <c:spPr>
            <a:ln w="3175">
              <a:solidFill>
                <a:srgbClr val="686767">
                  <a:alpha val="25000"/>
                </a:srgbClr>
              </a:solidFill>
              <a:prstDash val="sysDot"/>
            </a:ln>
          </c:spPr>
        </c:majorGridlines>
        <c:numFmt formatCode="#,##0" sourceLinked="0"/>
        <c:majorTickMark val="out"/>
        <c:minorTickMark val="none"/>
        <c:tickLblPos val="nextTo"/>
        <c:spPr>
          <a:ln w="3175">
            <a:noFill/>
            <a:prstDash val="solid"/>
          </a:ln>
        </c:spPr>
        <c:txPr>
          <a:bodyPr rot="0" vert="horz"/>
          <a:lstStyle/>
          <a:p>
            <a:pPr>
              <a:defRPr sz="900"/>
            </a:pPr>
            <a:endParaRPr lang="sk-SK"/>
          </a:p>
        </c:txPr>
        <c:crossAx val="178936256"/>
        <c:crosses val="autoZero"/>
        <c:crossBetween val="between"/>
      </c:valAx>
      <c:spPr>
        <a:noFill/>
        <a:ln w="25400">
          <a:noFill/>
        </a:ln>
      </c:spPr>
    </c:plotArea>
    <c:legend>
      <c:legendPos val="r"/>
      <c:layout>
        <c:manualLayout>
          <c:xMode val="edge"/>
          <c:yMode val="edge"/>
          <c:x val="0.70984315890402994"/>
          <c:y val="3.4747035930853473E-2"/>
          <c:w val="0.24193973908243019"/>
          <c:h val="0.8962874468277671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000000000001465" l="0.70000000000000062" r="0.70000000000000062" t="0.75000000000001465" header="0.30000000000000032" footer="0.30000000000000032"/>
    <c:pageSetup paperSize="9"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87773402629306E-2"/>
          <c:y val="3.7486892271914186E-2"/>
          <c:w val="0.59504012551936547"/>
          <c:h val="0.84930835369716717"/>
        </c:manualLayout>
      </c:layout>
      <c:barChart>
        <c:barDir val="col"/>
        <c:grouping val="stacked"/>
        <c:varyColors val="0"/>
        <c:ser>
          <c:idx val="6"/>
          <c:order val="1"/>
          <c:tx>
            <c:strRef>
              <c:f>'Graf 9'!$H$13</c:f>
              <c:strCache>
                <c:ptCount val="1"/>
                <c:pt idx="0">
                  <c:v>Stock-flow adjustment (without GG cash and deposits)</c:v>
                </c:pt>
              </c:strCache>
            </c:strRef>
          </c:tx>
          <c:spPr>
            <a:solidFill>
              <a:sysClr val="window" lastClr="FFFFFF">
                <a:lumMod val="85000"/>
              </a:sysClr>
            </a:solidFill>
            <a:ln w="12700">
              <a:noFill/>
              <a:prstDash val="solid"/>
            </a:ln>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9'!$B$13:$G$13</c15:sqref>
                  </c15:fullRef>
                </c:ext>
              </c:extLst>
              <c:f>'Graf 9'!$C$13:$G$13</c:f>
              <c:numCache>
                <c:formatCode>#\ ##0.0</c:formatCode>
                <c:ptCount val="5"/>
                <c:pt idx="0">
                  <c:v>0.25051259889354366</c:v>
                </c:pt>
                <c:pt idx="1">
                  <c:v>0.51980004220380249</c:v>
                </c:pt>
                <c:pt idx="2">
                  <c:v>0.8910662763302446</c:v>
                </c:pt>
                <c:pt idx="3">
                  <c:v>-0.17513066873889571</c:v>
                </c:pt>
                <c:pt idx="4">
                  <c:v>0.60424902437429329</c:v>
                </c:pt>
              </c:numCache>
            </c:numRef>
          </c:val>
          <c:extLst>
            <c:ext xmlns:c16="http://schemas.microsoft.com/office/drawing/2014/chart" uri="{C3380CC4-5D6E-409C-BE32-E72D297353CC}">
              <c16:uniqueId val="{00000000-2A79-4017-BDA9-85911F355136}"/>
            </c:ext>
          </c:extLst>
        </c:ser>
        <c:ser>
          <c:idx val="7"/>
          <c:order val="2"/>
          <c:tx>
            <c:strRef>
              <c:f>'Graf 9'!$H$12</c:f>
              <c:strCache>
                <c:ptCount val="1"/>
                <c:pt idx="0">
                  <c:v>Change in cash and deposits of GG</c:v>
                </c:pt>
              </c:strCache>
            </c:strRef>
          </c:tx>
          <c:spPr>
            <a:solidFill>
              <a:sysClr val="window" lastClr="FFFFFF">
                <a:lumMod val="65000"/>
              </a:sysClr>
            </a:solidFill>
            <a:ln w="28575">
              <a:noFill/>
            </a:ln>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9'!$B$12:$G$12</c15:sqref>
                  </c15:fullRef>
                </c:ext>
              </c:extLst>
              <c:f>'Graf 9'!$C$12:$G$12</c:f>
              <c:numCache>
                <c:formatCode>#\ ##0.0</c:formatCode>
                <c:ptCount val="5"/>
                <c:pt idx="0">
                  <c:v>-0.31813435599688539</c:v>
                </c:pt>
                <c:pt idx="1">
                  <c:v>-1.7085400831334037</c:v>
                </c:pt>
                <c:pt idx="2">
                  <c:v>-0.39960924716805374</c:v>
                </c:pt>
                <c:pt idx="3">
                  <c:v>-0.65688626955900042</c:v>
                </c:pt>
                <c:pt idx="4">
                  <c:v>0.27354765855815472</c:v>
                </c:pt>
              </c:numCache>
            </c:numRef>
          </c:val>
          <c:extLst>
            <c:ext xmlns:c16="http://schemas.microsoft.com/office/drawing/2014/chart" uri="{C3380CC4-5D6E-409C-BE32-E72D297353CC}">
              <c16:uniqueId val="{00000001-2A79-4017-BDA9-85911F355136}"/>
            </c:ext>
          </c:extLst>
        </c:ser>
        <c:ser>
          <c:idx val="3"/>
          <c:order val="3"/>
          <c:tx>
            <c:strRef>
              <c:f>'Graf 9'!$H$11</c:f>
              <c:strCache>
                <c:ptCount val="1"/>
                <c:pt idx="0">
                  <c:v>GDP deflator</c:v>
                </c:pt>
              </c:strCache>
            </c:strRef>
          </c:tx>
          <c:spPr>
            <a:solidFill>
              <a:srgbClr val="002060"/>
            </a:solidFill>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9'!$B$11:$G$11</c15:sqref>
                  </c15:fullRef>
                </c:ext>
              </c:extLst>
              <c:f>'Graf 9'!$C$11:$G$11</c:f>
              <c:numCache>
                <c:formatCode>#\ ##0.0</c:formatCode>
                <c:ptCount val="5"/>
                <c:pt idx="0">
                  <c:v>-4.2981333411903258</c:v>
                </c:pt>
                <c:pt idx="1">
                  <c:v>-5.1067490415523418</c:v>
                </c:pt>
                <c:pt idx="2">
                  <c:v>-3.4315958919340641</c:v>
                </c:pt>
                <c:pt idx="3">
                  <c:v>-1.6070201463007263</c:v>
                </c:pt>
                <c:pt idx="4">
                  <c:v>-1.442599347620839</c:v>
                </c:pt>
              </c:numCache>
            </c:numRef>
          </c:val>
          <c:extLst>
            <c:ext xmlns:c16="http://schemas.microsoft.com/office/drawing/2014/chart" uri="{C3380CC4-5D6E-409C-BE32-E72D297353CC}">
              <c16:uniqueId val="{00000002-2A79-4017-BDA9-85911F355136}"/>
            </c:ext>
          </c:extLst>
        </c:ser>
        <c:ser>
          <c:idx val="1"/>
          <c:order val="4"/>
          <c:tx>
            <c:strRef>
              <c:f>'Graf 9'!$H$10</c:f>
              <c:strCache>
                <c:ptCount val="1"/>
                <c:pt idx="0">
                  <c:v>Real GDP growth</c:v>
                </c:pt>
              </c:strCache>
            </c:strRef>
          </c:tx>
          <c:spPr>
            <a:solidFill>
              <a:srgbClr val="00589A"/>
            </a:solidFill>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9'!$B$10:$G$10</c15:sqref>
                  </c15:fullRef>
                </c:ext>
              </c:extLst>
              <c:f>'Graf 9'!$C$10:$G$10</c:f>
              <c:numCache>
                <c:formatCode>#\ ##0.0</c:formatCode>
                <c:ptCount val="5"/>
                <c:pt idx="0">
                  <c:v>-0.93255097872108539</c:v>
                </c:pt>
                <c:pt idx="1">
                  <c:v>-0.64836262915580711</c:v>
                </c:pt>
                <c:pt idx="2">
                  <c:v>-0.66377034453276007</c:v>
                </c:pt>
                <c:pt idx="3">
                  <c:v>-1.7815872144961509</c:v>
                </c:pt>
                <c:pt idx="4">
                  <c:v>-1.2762408555071858</c:v>
                </c:pt>
              </c:numCache>
            </c:numRef>
          </c:val>
          <c:extLst>
            <c:ext xmlns:c16="http://schemas.microsoft.com/office/drawing/2014/chart" uri="{C3380CC4-5D6E-409C-BE32-E72D297353CC}">
              <c16:uniqueId val="{00000003-2A79-4017-BDA9-85911F355136}"/>
            </c:ext>
          </c:extLst>
        </c:ser>
        <c:ser>
          <c:idx val="4"/>
          <c:order val="5"/>
          <c:tx>
            <c:strRef>
              <c:f>'Graf 9'!$H$9</c:f>
              <c:strCache>
                <c:ptCount val="1"/>
                <c:pt idx="0">
                  <c:v>Interest</c:v>
                </c:pt>
              </c:strCache>
            </c:strRef>
          </c:tx>
          <c:spPr>
            <a:solidFill>
              <a:srgbClr val="2C9ADC">
                <a:lumMod val="40000"/>
                <a:lumOff val="60000"/>
              </a:srgbClr>
            </a:solidFill>
            <a:ln w="12700">
              <a:noFill/>
              <a:prstDash val="solid"/>
            </a:ln>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9'!$B$9:$G$9</c15:sqref>
                  </c15:fullRef>
                </c:ext>
              </c:extLst>
              <c:f>'Graf 9'!$C$9:$G$9</c:f>
              <c:numCache>
                <c:formatCode>#\ ##0.0</c:formatCode>
                <c:ptCount val="5"/>
                <c:pt idx="0">
                  <c:v>1.0340727778796011</c:v>
                </c:pt>
                <c:pt idx="1">
                  <c:v>0.89169154413672835</c:v>
                </c:pt>
                <c:pt idx="2">
                  <c:v>1.0551780816103462</c:v>
                </c:pt>
                <c:pt idx="3">
                  <c:v>1.3635417329030468</c:v>
                </c:pt>
                <c:pt idx="4">
                  <c:v>1.6056278308920793</c:v>
                </c:pt>
              </c:numCache>
            </c:numRef>
          </c:val>
          <c:extLst>
            <c:ext xmlns:c16="http://schemas.microsoft.com/office/drawing/2014/chart" uri="{C3380CC4-5D6E-409C-BE32-E72D297353CC}">
              <c16:uniqueId val="{00000004-2A79-4017-BDA9-85911F355136}"/>
            </c:ext>
          </c:extLst>
        </c:ser>
        <c:ser>
          <c:idx val="2"/>
          <c:order val="6"/>
          <c:tx>
            <c:strRef>
              <c:f>'Graf 9'!$H$8</c:f>
              <c:strCache>
                <c:ptCount val="1"/>
                <c:pt idx="0">
                  <c:v>Primary balance</c:v>
                </c:pt>
              </c:strCache>
            </c:strRef>
          </c:tx>
          <c:spPr>
            <a:solidFill>
              <a:srgbClr val="2C9ADC"/>
            </a:solidFill>
            <a:ln w="12700">
              <a:noFill/>
              <a:prstDash val="solid"/>
            </a:ln>
          </c:spPr>
          <c:invertIfNegative val="0"/>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9'!$B$8:$G$8</c15:sqref>
                  </c15:fullRef>
                </c:ext>
              </c:extLst>
              <c:f>'Graf 9'!$C$8:$G$8</c:f>
              <c:numCache>
                <c:formatCode>#\ ##0.0</c:formatCode>
                <c:ptCount val="5"/>
                <c:pt idx="0">
                  <c:v>0.98659326432431538</c:v>
                </c:pt>
                <c:pt idx="1">
                  <c:v>5.3086353813187941</c:v>
                </c:pt>
                <c:pt idx="2">
                  <c:v>5.4533543488370295</c:v>
                </c:pt>
                <c:pt idx="3">
                  <c:v>5.5388185415963189</c:v>
                </c:pt>
                <c:pt idx="4">
                  <c:v>4.9937973807413307</c:v>
                </c:pt>
              </c:numCache>
            </c:numRef>
          </c:val>
          <c:extLst>
            <c:ext xmlns:c16="http://schemas.microsoft.com/office/drawing/2014/chart" uri="{C3380CC4-5D6E-409C-BE32-E72D297353CC}">
              <c16:uniqueId val="{00000005-2A79-4017-BDA9-85911F355136}"/>
            </c:ext>
          </c:extLst>
        </c:ser>
        <c:dLbls>
          <c:showLegendKey val="0"/>
          <c:showVal val="0"/>
          <c:showCatName val="0"/>
          <c:showSerName val="0"/>
          <c:showPercent val="0"/>
          <c:showBubbleSize val="0"/>
        </c:dLbls>
        <c:gapWidth val="150"/>
        <c:overlap val="100"/>
        <c:axId val="178936256"/>
        <c:axId val="178936648"/>
        <c:extLst/>
      </c:barChart>
      <c:lineChart>
        <c:grouping val="standard"/>
        <c:varyColors val="0"/>
        <c:ser>
          <c:idx val="0"/>
          <c:order val="0"/>
          <c:tx>
            <c:strRef>
              <c:f>'Graf 9'!$A$6</c:f>
              <c:strCache>
                <c:ptCount val="1"/>
                <c:pt idx="0">
                  <c:v>Zmena hrubého dlhu VS</c:v>
                </c:pt>
              </c:strCache>
            </c:strRef>
          </c:tx>
          <c:spPr>
            <a:ln w="25400" cmpd="sng">
              <a:noFill/>
              <a:prstDash val="solid"/>
            </a:ln>
          </c:spPr>
          <c:marker>
            <c:symbol val="circle"/>
            <c:size val="7"/>
            <c:spPr>
              <a:solidFill>
                <a:sysClr val="windowText" lastClr="000000"/>
              </a:solidFill>
              <a:ln w="9525">
                <a:solidFill>
                  <a:sysClr val="window" lastClr="FFFFFF"/>
                </a:solidFill>
              </a:ln>
            </c:spPr>
          </c:marker>
          <c:dPt>
            <c:idx val="11"/>
            <c:bubble3D val="0"/>
            <c:extLst>
              <c:ext xmlns:c16="http://schemas.microsoft.com/office/drawing/2014/chart" uri="{C3380CC4-5D6E-409C-BE32-E72D297353CC}">
                <c16:uniqueId val="{00000006-2A79-4017-BDA9-85911F355136}"/>
              </c:ext>
            </c:extLst>
          </c:dPt>
          <c:dLbls>
            <c:numFmt formatCode="#,##0.0" sourceLinked="0"/>
            <c:spPr>
              <a:solidFill>
                <a:sysClr val="window" lastClr="FFFFFF"/>
              </a:solidFill>
              <a:ln>
                <a:solidFill>
                  <a:sysClr val="windowText" lastClr="000000"/>
                </a:solidFill>
              </a:ln>
              <a:effectLst/>
            </c:spPr>
            <c:txPr>
              <a:bodyPr wrap="square" lIns="38100" tIns="19050" rIns="38100" bIns="19050" anchor="ctr">
                <a:spAutoFit/>
              </a:bodyPr>
              <a:lstStyle/>
              <a:p>
                <a:pPr>
                  <a:defRPr b="1"/>
                </a:pPr>
                <a:endParaRPr lang="sk-SK"/>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'Graf 9'!$B$5:$G$5</c15:sqref>
                  </c15:fullRef>
                </c:ext>
              </c:extLst>
              <c:f>'Graf 9'!$C$5:$G$5</c:f>
              <c:numCache>
                <c:formatCode>General</c:formatCode>
                <c:ptCount val="5"/>
                <c:pt idx="0">
                  <c:v>2022</c:v>
                </c:pt>
                <c:pt idx="1">
                  <c:v>2023</c:v>
                </c:pt>
                <c:pt idx="2">
                  <c:v>2024</c:v>
                </c:pt>
                <c:pt idx="3">
                  <c:v>2025</c:v>
                </c:pt>
                <c:pt idx="4">
                  <c:v>2026</c:v>
                </c:pt>
              </c:numCache>
            </c:numRef>
          </c:cat>
          <c:val>
            <c:numRef>
              <c:extLst>
                <c:ext xmlns:c15="http://schemas.microsoft.com/office/drawing/2012/chart" uri="{02D57815-91ED-43cb-92C2-25804820EDAC}">
                  <c15:fullRef>
                    <c15:sqref>'Graf 9'!$B$6:$G$6</c15:sqref>
                  </c15:fullRef>
                </c:ext>
              </c:extLst>
              <c:f>'Graf 9'!$C$6:$G$6</c:f>
              <c:numCache>
                <c:formatCode>#\ ##0.0</c:formatCode>
                <c:ptCount val="5"/>
                <c:pt idx="0">
                  <c:v>-3.2776400348108368</c:v>
                </c:pt>
                <c:pt idx="1">
                  <c:v>-0.74352478618222761</c:v>
                </c:pt>
                <c:pt idx="2">
                  <c:v>2.9046232231427425</c:v>
                </c:pt>
                <c:pt idx="3">
                  <c:v>2.6817359754045924</c:v>
                </c:pt>
                <c:pt idx="4">
                  <c:v>4.7583816914378332</c:v>
                </c:pt>
              </c:numCache>
            </c:numRef>
          </c:val>
          <c:smooth val="0"/>
          <c:extLst>
            <c:ext xmlns:c16="http://schemas.microsoft.com/office/drawing/2014/chart" uri="{C3380CC4-5D6E-409C-BE32-E72D297353CC}">
              <c16:uniqueId val="{00000007-2A79-4017-BDA9-85911F355136}"/>
            </c:ext>
          </c:extLst>
        </c:ser>
        <c:dLbls>
          <c:showLegendKey val="0"/>
          <c:showVal val="0"/>
          <c:showCatName val="0"/>
          <c:showSerName val="0"/>
          <c:showPercent val="0"/>
          <c:showBubbleSize val="0"/>
        </c:dLbls>
        <c:marker val="1"/>
        <c:smooth val="0"/>
        <c:axId val="178936256"/>
        <c:axId val="178936648"/>
      </c:lineChart>
      <c:catAx>
        <c:axId val="178936256"/>
        <c:scaling>
          <c:orientation val="minMax"/>
        </c:scaling>
        <c:delete val="0"/>
        <c:axPos val="b"/>
        <c:numFmt formatCode="General" sourceLinked="1"/>
        <c:majorTickMark val="none"/>
        <c:minorTickMark val="none"/>
        <c:tickLblPos val="low"/>
        <c:spPr>
          <a:ln w="12700">
            <a:solidFill>
              <a:srgbClr val="686767"/>
            </a:solidFill>
            <a:prstDash val="solid"/>
          </a:ln>
        </c:spPr>
        <c:txPr>
          <a:bodyPr rot="0" vert="horz"/>
          <a:lstStyle/>
          <a:p>
            <a:pPr>
              <a:defRPr sz="900"/>
            </a:pPr>
            <a:endParaRPr lang="sk-SK"/>
          </a:p>
        </c:txPr>
        <c:crossAx val="178936648"/>
        <c:crosses val="autoZero"/>
        <c:auto val="1"/>
        <c:lblAlgn val="ctr"/>
        <c:lblOffset val="100"/>
        <c:tickLblSkip val="1"/>
        <c:tickMarkSkip val="1"/>
        <c:noMultiLvlLbl val="0"/>
      </c:catAx>
      <c:valAx>
        <c:axId val="178936648"/>
        <c:scaling>
          <c:orientation val="minMax"/>
          <c:min val="-10"/>
        </c:scaling>
        <c:delete val="0"/>
        <c:axPos val="l"/>
        <c:majorGridlines>
          <c:spPr>
            <a:ln w="3175">
              <a:solidFill>
                <a:srgbClr val="686767">
                  <a:alpha val="25000"/>
                </a:srgbClr>
              </a:solidFill>
              <a:prstDash val="sysDot"/>
            </a:ln>
          </c:spPr>
        </c:majorGridlines>
        <c:numFmt formatCode="#,##0" sourceLinked="0"/>
        <c:majorTickMark val="out"/>
        <c:minorTickMark val="none"/>
        <c:tickLblPos val="nextTo"/>
        <c:spPr>
          <a:ln w="3175">
            <a:noFill/>
            <a:prstDash val="solid"/>
          </a:ln>
        </c:spPr>
        <c:txPr>
          <a:bodyPr rot="0" vert="horz"/>
          <a:lstStyle/>
          <a:p>
            <a:pPr>
              <a:defRPr sz="900"/>
            </a:pPr>
            <a:endParaRPr lang="sk-SK"/>
          </a:p>
        </c:txPr>
        <c:crossAx val="178936256"/>
        <c:crosses val="autoZero"/>
        <c:crossBetween val="between"/>
      </c:valAx>
      <c:spPr>
        <a:noFill/>
        <a:ln w="25400">
          <a:noFill/>
        </a:ln>
      </c:spPr>
    </c:plotArea>
    <c:legend>
      <c:legendPos val="r"/>
      <c:layout>
        <c:manualLayout>
          <c:xMode val="edge"/>
          <c:yMode val="edge"/>
          <c:x val="0.70984315890402994"/>
          <c:y val="3.4747035930853473E-2"/>
          <c:w val="0.24193973908243019"/>
          <c:h val="0.8962874468277671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000000000001465" l="0.70000000000000062" r="0.70000000000000062" t="0.75000000000001465" header="0.30000000000000032" footer="0.30000000000000032"/>
    <c:pageSetup paperSize="9"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'Graf 10'!$A$7</c:f>
              <c:strCache>
                <c:ptCount val="1"/>
                <c:pt idx="0">
                  <c:v>Čistý dlh (% HDP)</c:v>
                </c:pt>
              </c:strCache>
            </c:strRef>
          </c:tx>
          <c:spPr>
            <a:solidFill>
              <a:srgbClr val="2C9ADC"/>
            </a:solidFill>
            <a:ln w="25400">
              <a:noFill/>
            </a:ln>
            <a:effectLst/>
          </c:spPr>
          <c:cat>
            <c:numRef>
              <c:f>'Graf 10'!$B$5:$Z$5</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'Graf 10'!$B$7:$Z$7</c:f>
              <c:numCache>
                <c:formatCode>0.0</c:formatCode>
                <c:ptCount val="25"/>
                <c:pt idx="0">
                  <c:v>46.928453271330902</c:v>
                </c:pt>
                <c:pt idx="1">
                  <c:v>45.741709297628958</c:v>
                </c:pt>
                <c:pt idx="2">
                  <c:v>43.330589179314366</c:v>
                </c:pt>
                <c:pt idx="3">
                  <c:v>43.084864561833882</c:v>
                </c:pt>
                <c:pt idx="4">
                  <c:v>48.882600351765404</c:v>
                </c:pt>
                <c:pt idx="5">
                  <c:v>49.640621506277924</c:v>
                </c:pt>
                <c:pt idx="6">
                  <c:v>47.683610070826276</c:v>
                </c:pt>
                <c:pt idx="7">
                  <c:v>49.656198709066842</c:v>
                </c:pt>
                <c:pt idx="8">
                  <c:v>53.479306616958326</c:v>
                </c:pt>
                <c:pt idx="9">
                  <c:v>57.173323926616781</c:v>
                </c:pt>
                <c:pt idx="10">
                  <c:v>61.884389120363402</c:v>
                </c:pt>
                <c:pt idx="11">
                  <c:v>65.383483824817716</c:v>
                </c:pt>
                <c:pt idx="12">
                  <c:v>69.335618748174497</c:v>
                </c:pt>
                <c:pt idx="13">
                  <c:v>74.607455671308458</c:v>
                </c:pt>
                <c:pt idx="14">
                  <c:v>79.574420240477821</c:v>
                </c:pt>
                <c:pt idx="15">
                  <c:v>84.484246982590477</c:v>
                </c:pt>
                <c:pt idx="16">
                  <c:v>89.294709998335364</c:v>
                </c:pt>
                <c:pt idx="17">
                  <c:v>94.028726232444683</c:v>
                </c:pt>
                <c:pt idx="18">
                  <c:v>98.762307148384068</c:v>
                </c:pt>
                <c:pt idx="19">
                  <c:v>103.56072748711071</c:v>
                </c:pt>
                <c:pt idx="20">
                  <c:v>108.53195090140655</c:v>
                </c:pt>
                <c:pt idx="21">
                  <c:v>113.70959709593778</c:v>
                </c:pt>
                <c:pt idx="22">
                  <c:v>118.98477639738967</c:v>
                </c:pt>
                <c:pt idx="23">
                  <c:v>124.31552022250114</c:v>
                </c:pt>
                <c:pt idx="24">
                  <c:v>129.70476510338247</c:v>
                </c:pt>
              </c:numCache>
            </c:numRef>
          </c:val>
          <c:extLst>
            <c:ext xmlns:c16="http://schemas.microsoft.com/office/drawing/2014/chart" uri="{C3380CC4-5D6E-409C-BE32-E72D297353CC}">
              <c16:uniqueId val="{00000000-003D-468A-8473-FA58D0378B4D}"/>
            </c:ext>
          </c:extLst>
        </c:ser>
        <c:ser>
          <c:idx val="1"/>
          <c:order val="1"/>
          <c:tx>
            <c:strRef>
              <c:f>'Graf 10'!$A$8</c:f>
              <c:strCache>
                <c:ptCount val="1"/>
                <c:pt idx="0">
                  <c:v>Likvidné finančné aktíva (% HDP)</c:v>
                </c:pt>
              </c:strCache>
            </c:strRef>
          </c:tx>
          <c:spPr>
            <a:solidFill>
              <a:schemeClr val="accent1">
                <a:lumMod val="40000"/>
                <a:lumOff val="60000"/>
              </a:schemeClr>
            </a:solidFill>
            <a:ln w="25400">
              <a:noFill/>
            </a:ln>
            <a:effectLst/>
          </c:spPr>
          <c:cat>
            <c:numRef>
              <c:f>'Graf 10'!$B$5:$Z$5</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'Graf 10'!$B$8:$Z$8</c:f>
              <c:numCache>
                <c:formatCode>0.0</c:formatCode>
                <c:ptCount val="25"/>
                <c:pt idx="0">
                  <c:v>5.3464461545574054</c:v>
                </c:pt>
                <c:pt idx="1">
                  <c:v>5.7198618583088319</c:v>
                </c:pt>
                <c:pt idx="2">
                  <c:v>6.0774616498550884</c:v>
                </c:pt>
                <c:pt idx="3">
                  <c:v>4.8936916416602472</c:v>
                </c:pt>
                <c:pt idx="4">
                  <c:v>9.9685270645670343</c:v>
                </c:pt>
                <c:pt idx="5">
                  <c:v>11.440544126155153</c:v>
                </c:pt>
                <c:pt idx="6">
                  <c:v>10.119915526795964</c:v>
                </c:pt>
                <c:pt idx="7">
                  <c:v>7.4038021023731702</c:v>
                </c:pt>
                <c:pt idx="8">
                  <c:v>6.4853174176244295</c:v>
                </c:pt>
                <c:pt idx="9">
                  <c:v>5.473036083370566</c:v>
                </c:pt>
                <c:pt idx="10">
                  <c:v>5.5203525810617791</c:v>
                </c:pt>
                <c:pt idx="11">
                  <c:v>5.9999999999999858</c:v>
                </c:pt>
                <c:pt idx="12">
                  <c:v>5</c:v>
                </c:pt>
                <c:pt idx="13">
                  <c:v>4</c:v>
                </c:pt>
                <c:pt idx="14">
                  <c:v>3.5000000000000142</c:v>
                </c:pt>
                <c:pt idx="15">
                  <c:v>3.0000000000000142</c:v>
                </c:pt>
                <c:pt idx="16">
                  <c:v>3</c:v>
                </c:pt>
                <c:pt idx="17">
                  <c:v>3</c:v>
                </c:pt>
                <c:pt idx="18">
                  <c:v>2.9999999999999858</c:v>
                </c:pt>
                <c:pt idx="19">
                  <c:v>3</c:v>
                </c:pt>
                <c:pt idx="20">
                  <c:v>3</c:v>
                </c:pt>
                <c:pt idx="21">
                  <c:v>3</c:v>
                </c:pt>
                <c:pt idx="22">
                  <c:v>2.9999999999999858</c:v>
                </c:pt>
                <c:pt idx="23">
                  <c:v>2.9999999999999858</c:v>
                </c:pt>
                <c:pt idx="24">
                  <c:v>3</c:v>
                </c:pt>
              </c:numCache>
            </c:numRef>
          </c:val>
          <c:extLst>
            <c:ext xmlns:c16="http://schemas.microsoft.com/office/drawing/2014/chart" uri="{C3380CC4-5D6E-409C-BE32-E72D297353CC}">
              <c16:uniqueId val="{00000001-003D-468A-8473-FA58D0378B4D}"/>
            </c:ext>
          </c:extLst>
        </c:ser>
        <c:dLbls>
          <c:showLegendKey val="0"/>
          <c:showVal val="0"/>
          <c:showCatName val="0"/>
          <c:showSerName val="0"/>
          <c:showPercent val="0"/>
          <c:showBubbleSize val="0"/>
        </c:dLbls>
        <c:axId val="178938608"/>
        <c:axId val="178939000"/>
      </c:areaChart>
      <c:lineChart>
        <c:grouping val="standard"/>
        <c:varyColors val="0"/>
        <c:ser>
          <c:idx val="2"/>
          <c:order val="2"/>
          <c:tx>
            <c:strRef>
              <c:f>'Graf 10'!$A$6</c:f>
              <c:strCache>
                <c:ptCount val="1"/>
                <c:pt idx="0">
                  <c:v>Hrubý dlh (% HDP)</c:v>
                </c:pt>
              </c:strCache>
            </c:strRef>
          </c:tx>
          <c:spPr>
            <a:ln w="25400" cap="rnd">
              <a:noFill/>
              <a:round/>
            </a:ln>
            <a:effectLst/>
          </c:spPr>
          <c:marker>
            <c:symbol val="circle"/>
            <c:size val="6"/>
            <c:spPr>
              <a:solidFill>
                <a:srgbClr val="002060"/>
              </a:solidFill>
              <a:ln w="3175">
                <a:noFill/>
              </a:ln>
              <a:effectLst/>
            </c:spPr>
          </c:marker>
          <c:dLbls>
            <c:numFmt formatCode="#,##0.0" sourceLinked="0"/>
            <c:spPr>
              <a:noFill/>
              <a:ln w="3175">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10'!$B$6:$Z$6</c:f>
              <c:numCache>
                <c:formatCode>0.0</c:formatCode>
                <c:ptCount val="25"/>
                <c:pt idx="0">
                  <c:v>52.274899425888307</c:v>
                </c:pt>
                <c:pt idx="1">
                  <c:v>51.46157115593779</c:v>
                </c:pt>
                <c:pt idx="2">
                  <c:v>49.408050829169454</c:v>
                </c:pt>
                <c:pt idx="3">
                  <c:v>47.978556203494129</c:v>
                </c:pt>
                <c:pt idx="4">
                  <c:v>58.851127416332439</c:v>
                </c:pt>
                <c:pt idx="5">
                  <c:v>61.081165632433077</c:v>
                </c:pt>
                <c:pt idx="6">
                  <c:v>57.80352559762224</c:v>
                </c:pt>
                <c:pt idx="7">
                  <c:v>57.060000811440013</c:v>
                </c:pt>
                <c:pt idx="8">
                  <c:v>59.964624034582755</c:v>
                </c:pt>
                <c:pt idx="9">
                  <c:v>62.646360009987347</c:v>
                </c:pt>
                <c:pt idx="10">
                  <c:v>67.404741701425181</c:v>
                </c:pt>
                <c:pt idx="11">
                  <c:v>71.383483824817702</c:v>
                </c:pt>
                <c:pt idx="12">
                  <c:v>74.335618748174497</c:v>
                </c:pt>
                <c:pt idx="13">
                  <c:v>78.607455671308458</c:v>
                </c:pt>
                <c:pt idx="14">
                  <c:v>83.074420240477835</c:v>
                </c:pt>
                <c:pt idx="15">
                  <c:v>87.484246982590491</c:v>
                </c:pt>
                <c:pt idx="16">
                  <c:v>92.294709998335364</c:v>
                </c:pt>
                <c:pt idx="17">
                  <c:v>97.028726232444683</c:v>
                </c:pt>
                <c:pt idx="18">
                  <c:v>101.76230714838405</c:v>
                </c:pt>
                <c:pt idx="19">
                  <c:v>106.56072748711071</c:v>
                </c:pt>
                <c:pt idx="20">
                  <c:v>111.53195090140655</c:v>
                </c:pt>
                <c:pt idx="21">
                  <c:v>116.70959709593778</c:v>
                </c:pt>
                <c:pt idx="22">
                  <c:v>121.98477639738965</c:v>
                </c:pt>
                <c:pt idx="23">
                  <c:v>127.31552022250112</c:v>
                </c:pt>
                <c:pt idx="24">
                  <c:v>132.70476510338247</c:v>
                </c:pt>
              </c:numCache>
            </c:numRef>
          </c:val>
          <c:smooth val="0"/>
          <c:extLst>
            <c:ext xmlns:c16="http://schemas.microsoft.com/office/drawing/2014/chart" uri="{C3380CC4-5D6E-409C-BE32-E72D297353CC}">
              <c16:uniqueId val="{00000002-003D-468A-8473-FA58D0378B4D}"/>
            </c:ext>
          </c:extLst>
        </c:ser>
        <c:dLbls>
          <c:showLegendKey val="0"/>
          <c:showVal val="0"/>
          <c:showCatName val="0"/>
          <c:showSerName val="0"/>
          <c:showPercent val="0"/>
          <c:showBubbleSize val="0"/>
        </c:dLbls>
        <c:marker val="1"/>
        <c:smooth val="0"/>
        <c:axId val="178938608"/>
        <c:axId val="178939000"/>
        <c:extLst>
          <c:ext xmlns:c15="http://schemas.microsoft.com/office/drawing/2012/chart" uri="{02D57815-91ED-43cb-92C2-25804820EDAC}">
            <c15:filteredLineSeries>
              <c15:ser>
                <c:idx val="3"/>
                <c:order val="3"/>
                <c:tx>
                  <c:v>Horné a dolné pásmo dlhovej brzdy</c:v>
                </c:tx>
                <c:spPr>
                  <a:ln w="19050" cap="rnd">
                    <a:solidFill>
                      <a:srgbClr val="FF7C80"/>
                    </a:solidFill>
                    <a:prstDash val="sysDash"/>
                    <a:round/>
                  </a:ln>
                  <a:effectLst/>
                </c:spPr>
                <c:marker>
                  <c:symbol val="none"/>
                </c:marker>
                <c:val>
                  <c:numRef>
                    <c:extLst>
                      <c:ext uri="{02D57815-91ED-43cb-92C2-25804820EDAC}">
                        <c15:formulaRef>
                          <c15:sqref>'Graf 10'!$B$12:$Z$12</c15:sqref>
                        </c15:formulaRef>
                      </c:ext>
                    </c:extLst>
                    <c:numCache>
                      <c:formatCode>General</c:formatCode>
                      <c:ptCount val="25"/>
                      <c:pt idx="0">
                        <c:v>60</c:v>
                      </c:pt>
                      <c:pt idx="1">
                        <c:v>60</c:v>
                      </c:pt>
                      <c:pt idx="2">
                        <c:v>59</c:v>
                      </c:pt>
                      <c:pt idx="3">
                        <c:v>58</c:v>
                      </c:pt>
                      <c:pt idx="4">
                        <c:v>57</c:v>
                      </c:pt>
                      <c:pt idx="5">
                        <c:v>56</c:v>
                      </c:pt>
                      <c:pt idx="6">
                        <c:v>55</c:v>
                      </c:pt>
                      <c:pt idx="7">
                        <c:v>54</c:v>
                      </c:pt>
                      <c:pt idx="8">
                        <c:v>53</c:v>
                      </c:pt>
                      <c:pt idx="9">
                        <c:v>52</c:v>
                      </c:pt>
                      <c:pt idx="10">
                        <c:v>51</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numCache>
                  </c:numRef>
                </c:val>
                <c:smooth val="0"/>
                <c:extLst>
                  <c:ext xmlns:c16="http://schemas.microsoft.com/office/drawing/2014/chart" uri="{C3380CC4-5D6E-409C-BE32-E72D297353CC}">
                    <c16:uniqueId val="{00000003-003D-468A-8473-FA58D0378B4D}"/>
                  </c:ext>
                </c:extLst>
              </c15:ser>
            </c15:filteredLineSeries>
            <c15:filteredLineSeries>
              <c15:ser>
                <c:idx val="7"/>
                <c:order val="4"/>
                <c:tx>
                  <c:strRef>
                    <c:extLst xmlns:c15="http://schemas.microsoft.com/office/drawing/2012/chart">
                      <c:ext xmlns:c15="http://schemas.microsoft.com/office/drawing/2012/chart" uri="{02D57815-91ED-43cb-92C2-25804820EDAC}">
                        <c15:formulaRef>
                          <c15:sqref>'Graf 10'!$A$13</c15:sqref>
                        </c15:formulaRef>
                      </c:ext>
                    </c:extLst>
                    <c:strCache>
                      <c:ptCount val="1"/>
                      <c:pt idx="0">
                        <c:v>1. pásmo</c:v>
                      </c:pt>
                    </c:strCache>
                  </c:strRef>
                </c:tx>
                <c:spPr>
                  <a:ln w="19050" cap="rnd">
                    <a:solidFill>
                      <a:srgbClr val="FF7C80"/>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'Graf 10'!$B$13:$Z$13</c15:sqref>
                        </c15:formulaRef>
                      </c:ext>
                    </c:extLst>
                    <c:numCache>
                      <c:formatCode>General</c:formatCode>
                      <c:ptCount val="25"/>
                      <c:pt idx="0">
                        <c:v>50</c:v>
                      </c:pt>
                      <c:pt idx="1">
                        <c:v>50</c:v>
                      </c:pt>
                      <c:pt idx="2">
                        <c:v>49</c:v>
                      </c:pt>
                      <c:pt idx="3">
                        <c:v>48</c:v>
                      </c:pt>
                      <c:pt idx="4">
                        <c:v>47</c:v>
                      </c:pt>
                      <c:pt idx="5">
                        <c:v>46</c:v>
                      </c:pt>
                      <c:pt idx="6">
                        <c:v>45</c:v>
                      </c:pt>
                      <c:pt idx="7">
                        <c:v>44</c:v>
                      </c:pt>
                      <c:pt idx="8">
                        <c:v>43</c:v>
                      </c:pt>
                      <c:pt idx="9">
                        <c:v>42</c:v>
                      </c:pt>
                      <c:pt idx="10">
                        <c:v>41</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numCache>
                  </c:numRef>
                </c:val>
                <c:smooth val="0"/>
                <c:extLst xmlns:c15="http://schemas.microsoft.com/office/drawing/2012/chart">
                  <c:ext xmlns:c16="http://schemas.microsoft.com/office/drawing/2014/chart" uri="{C3380CC4-5D6E-409C-BE32-E72D297353CC}">
                    <c16:uniqueId val="{00000007-003D-468A-8473-FA58D0378B4D}"/>
                  </c:ext>
                </c:extLst>
              </c15:ser>
            </c15:filteredLineSeries>
          </c:ext>
        </c:extLst>
      </c:lineChart>
      <c:catAx>
        <c:axId val="178938608"/>
        <c:scaling>
          <c:orientation val="minMax"/>
        </c:scaling>
        <c:delete val="0"/>
        <c:axPos val="b"/>
        <c:numFmt formatCode="General" sourceLinked="1"/>
        <c:majorTickMark val="out"/>
        <c:minorTickMark val="none"/>
        <c:tickLblPos val="nextTo"/>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78939000"/>
        <c:crosses val="autoZero"/>
        <c:auto val="1"/>
        <c:lblAlgn val="ctr"/>
        <c:lblOffset val="100"/>
        <c:noMultiLvlLbl val="0"/>
      </c:catAx>
      <c:valAx>
        <c:axId val="178939000"/>
        <c:scaling>
          <c:orientation val="minMax"/>
          <c:min val="20"/>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78938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zero"/>
    <c:showDLblsOverMax val="0"/>
  </c:chart>
  <c:spPr>
    <a:noFill/>
    <a:ln w="9525" cap="flat" cmpd="sng" algn="ctr">
      <a:noFill/>
      <a:round/>
    </a:ln>
    <a:effectLst/>
  </c:spPr>
  <c:txPr>
    <a:bodyPr/>
    <a:lstStyle/>
    <a:p>
      <a:pPr>
        <a:defRPr>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'Graf 10'!$AA$7</c:f>
              <c:strCache>
                <c:ptCount val="1"/>
                <c:pt idx="0">
                  <c:v>Net debt (% of GDP)</c:v>
                </c:pt>
              </c:strCache>
            </c:strRef>
          </c:tx>
          <c:spPr>
            <a:solidFill>
              <a:srgbClr val="2C9ADC"/>
            </a:solidFill>
            <a:ln w="25400">
              <a:noFill/>
            </a:ln>
            <a:effectLst/>
          </c:spPr>
          <c:cat>
            <c:numRef>
              <c:f>'Graf 10'!$B$5:$Z$5</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'Graf 10'!$B$7:$Z$7</c:f>
              <c:numCache>
                <c:formatCode>0.0</c:formatCode>
                <c:ptCount val="25"/>
                <c:pt idx="0">
                  <c:v>46.928453271330902</c:v>
                </c:pt>
                <c:pt idx="1">
                  <c:v>45.741709297628958</c:v>
                </c:pt>
                <c:pt idx="2">
                  <c:v>43.330589179314366</c:v>
                </c:pt>
                <c:pt idx="3">
                  <c:v>43.084864561833882</c:v>
                </c:pt>
                <c:pt idx="4">
                  <c:v>48.882600351765404</c:v>
                </c:pt>
                <c:pt idx="5">
                  <c:v>49.640621506277924</c:v>
                </c:pt>
                <c:pt idx="6">
                  <c:v>47.683610070826276</c:v>
                </c:pt>
                <c:pt idx="7">
                  <c:v>49.656198709066842</c:v>
                </c:pt>
                <c:pt idx="8">
                  <c:v>53.479306616958326</c:v>
                </c:pt>
                <c:pt idx="9">
                  <c:v>57.173323926616781</c:v>
                </c:pt>
                <c:pt idx="10">
                  <c:v>61.884389120363402</c:v>
                </c:pt>
                <c:pt idx="11">
                  <c:v>65.383483824817716</c:v>
                </c:pt>
                <c:pt idx="12">
                  <c:v>69.335618748174497</c:v>
                </c:pt>
                <c:pt idx="13">
                  <c:v>74.607455671308458</c:v>
                </c:pt>
                <c:pt idx="14">
                  <c:v>79.574420240477821</c:v>
                </c:pt>
                <c:pt idx="15">
                  <c:v>84.484246982590477</c:v>
                </c:pt>
                <c:pt idx="16">
                  <c:v>89.294709998335364</c:v>
                </c:pt>
                <c:pt idx="17">
                  <c:v>94.028726232444683</c:v>
                </c:pt>
                <c:pt idx="18">
                  <c:v>98.762307148384068</c:v>
                </c:pt>
                <c:pt idx="19">
                  <c:v>103.56072748711071</c:v>
                </c:pt>
                <c:pt idx="20">
                  <c:v>108.53195090140655</c:v>
                </c:pt>
                <c:pt idx="21">
                  <c:v>113.70959709593778</c:v>
                </c:pt>
                <c:pt idx="22">
                  <c:v>118.98477639738967</c:v>
                </c:pt>
                <c:pt idx="23">
                  <c:v>124.31552022250114</c:v>
                </c:pt>
                <c:pt idx="24">
                  <c:v>129.70476510338247</c:v>
                </c:pt>
              </c:numCache>
            </c:numRef>
          </c:val>
          <c:extLst>
            <c:ext xmlns:c16="http://schemas.microsoft.com/office/drawing/2014/chart" uri="{C3380CC4-5D6E-409C-BE32-E72D297353CC}">
              <c16:uniqueId val="{00000000-2C15-415B-A237-DA9D07FBB034}"/>
            </c:ext>
          </c:extLst>
        </c:ser>
        <c:ser>
          <c:idx val="1"/>
          <c:order val="1"/>
          <c:tx>
            <c:strRef>
              <c:f>'Graf 10'!$AA$8</c:f>
              <c:strCache>
                <c:ptCount val="1"/>
                <c:pt idx="0">
                  <c:v>Liquid financial assests (% of GDP)</c:v>
                </c:pt>
              </c:strCache>
            </c:strRef>
          </c:tx>
          <c:spPr>
            <a:solidFill>
              <a:schemeClr val="accent1">
                <a:lumMod val="40000"/>
                <a:lumOff val="60000"/>
              </a:schemeClr>
            </a:solidFill>
            <a:ln w="25400">
              <a:noFill/>
            </a:ln>
            <a:effectLst/>
          </c:spPr>
          <c:cat>
            <c:numRef>
              <c:f>'Graf 10'!$B$5:$Z$5</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'Graf 10'!$B$8:$Z$8</c:f>
              <c:numCache>
                <c:formatCode>0.0</c:formatCode>
                <c:ptCount val="25"/>
                <c:pt idx="0">
                  <c:v>5.3464461545574054</c:v>
                </c:pt>
                <c:pt idx="1">
                  <c:v>5.7198618583088319</c:v>
                </c:pt>
                <c:pt idx="2">
                  <c:v>6.0774616498550884</c:v>
                </c:pt>
                <c:pt idx="3">
                  <c:v>4.8936916416602472</c:v>
                </c:pt>
                <c:pt idx="4">
                  <c:v>9.9685270645670343</c:v>
                </c:pt>
                <c:pt idx="5">
                  <c:v>11.440544126155153</c:v>
                </c:pt>
                <c:pt idx="6">
                  <c:v>10.119915526795964</c:v>
                </c:pt>
                <c:pt idx="7">
                  <c:v>7.4038021023731702</c:v>
                </c:pt>
                <c:pt idx="8">
                  <c:v>6.4853174176244295</c:v>
                </c:pt>
                <c:pt idx="9">
                  <c:v>5.473036083370566</c:v>
                </c:pt>
                <c:pt idx="10">
                  <c:v>5.5203525810617791</c:v>
                </c:pt>
                <c:pt idx="11">
                  <c:v>5.9999999999999858</c:v>
                </c:pt>
                <c:pt idx="12">
                  <c:v>5</c:v>
                </c:pt>
                <c:pt idx="13">
                  <c:v>4</c:v>
                </c:pt>
                <c:pt idx="14">
                  <c:v>3.5000000000000142</c:v>
                </c:pt>
                <c:pt idx="15">
                  <c:v>3.0000000000000142</c:v>
                </c:pt>
                <c:pt idx="16">
                  <c:v>3</c:v>
                </c:pt>
                <c:pt idx="17">
                  <c:v>3</c:v>
                </c:pt>
                <c:pt idx="18">
                  <c:v>2.9999999999999858</c:v>
                </c:pt>
                <c:pt idx="19">
                  <c:v>3</c:v>
                </c:pt>
                <c:pt idx="20">
                  <c:v>3</c:v>
                </c:pt>
                <c:pt idx="21">
                  <c:v>3</c:v>
                </c:pt>
                <c:pt idx="22">
                  <c:v>2.9999999999999858</c:v>
                </c:pt>
                <c:pt idx="23">
                  <c:v>2.9999999999999858</c:v>
                </c:pt>
                <c:pt idx="24">
                  <c:v>3</c:v>
                </c:pt>
              </c:numCache>
            </c:numRef>
          </c:val>
          <c:extLst>
            <c:ext xmlns:c16="http://schemas.microsoft.com/office/drawing/2014/chart" uri="{C3380CC4-5D6E-409C-BE32-E72D297353CC}">
              <c16:uniqueId val="{00000001-2C15-415B-A237-DA9D07FBB034}"/>
            </c:ext>
          </c:extLst>
        </c:ser>
        <c:dLbls>
          <c:showLegendKey val="0"/>
          <c:showVal val="0"/>
          <c:showCatName val="0"/>
          <c:showSerName val="0"/>
          <c:showPercent val="0"/>
          <c:showBubbleSize val="0"/>
        </c:dLbls>
        <c:axId val="178939784"/>
        <c:axId val="178940176"/>
      </c:areaChart>
      <c:lineChart>
        <c:grouping val="standard"/>
        <c:varyColors val="0"/>
        <c:ser>
          <c:idx val="2"/>
          <c:order val="2"/>
          <c:tx>
            <c:strRef>
              <c:f>'Graf 10'!$AA$6</c:f>
              <c:strCache>
                <c:ptCount val="1"/>
                <c:pt idx="0">
                  <c:v>Gross debt (% of GDP)</c:v>
                </c:pt>
              </c:strCache>
            </c:strRef>
          </c:tx>
          <c:spPr>
            <a:ln w="25400" cap="rnd">
              <a:noFill/>
              <a:round/>
            </a:ln>
            <a:effectLst/>
          </c:spPr>
          <c:marker>
            <c:symbol val="circle"/>
            <c:size val="6"/>
            <c:spPr>
              <a:solidFill>
                <a:srgbClr val="002060"/>
              </a:solidFill>
              <a:ln w="3175">
                <a:noFill/>
              </a:ln>
              <a:effectLst/>
            </c:spPr>
          </c:marker>
          <c:dLbls>
            <c:numFmt formatCode="#,##0.0" sourceLinked="0"/>
            <c:spPr>
              <a:noFill/>
              <a:ln w="3175">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10'!$B$6:$Z$6</c:f>
              <c:numCache>
                <c:formatCode>0.0</c:formatCode>
                <c:ptCount val="25"/>
                <c:pt idx="0">
                  <c:v>52.274899425888307</c:v>
                </c:pt>
                <c:pt idx="1">
                  <c:v>51.46157115593779</c:v>
                </c:pt>
                <c:pt idx="2">
                  <c:v>49.408050829169454</c:v>
                </c:pt>
                <c:pt idx="3">
                  <c:v>47.978556203494129</c:v>
                </c:pt>
                <c:pt idx="4">
                  <c:v>58.851127416332439</c:v>
                </c:pt>
                <c:pt idx="5">
                  <c:v>61.081165632433077</c:v>
                </c:pt>
                <c:pt idx="6">
                  <c:v>57.80352559762224</c:v>
                </c:pt>
                <c:pt idx="7">
                  <c:v>57.060000811440013</c:v>
                </c:pt>
                <c:pt idx="8">
                  <c:v>59.964624034582755</c:v>
                </c:pt>
                <c:pt idx="9">
                  <c:v>62.646360009987347</c:v>
                </c:pt>
                <c:pt idx="10">
                  <c:v>67.404741701425181</c:v>
                </c:pt>
                <c:pt idx="11">
                  <c:v>71.383483824817702</c:v>
                </c:pt>
                <c:pt idx="12">
                  <c:v>74.335618748174497</c:v>
                </c:pt>
                <c:pt idx="13">
                  <c:v>78.607455671308458</c:v>
                </c:pt>
                <c:pt idx="14">
                  <c:v>83.074420240477835</c:v>
                </c:pt>
                <c:pt idx="15">
                  <c:v>87.484246982590491</c:v>
                </c:pt>
                <c:pt idx="16">
                  <c:v>92.294709998335364</c:v>
                </c:pt>
                <c:pt idx="17">
                  <c:v>97.028726232444683</c:v>
                </c:pt>
                <c:pt idx="18">
                  <c:v>101.76230714838405</c:v>
                </c:pt>
                <c:pt idx="19">
                  <c:v>106.56072748711071</c:v>
                </c:pt>
                <c:pt idx="20">
                  <c:v>111.53195090140655</c:v>
                </c:pt>
                <c:pt idx="21">
                  <c:v>116.70959709593778</c:v>
                </c:pt>
                <c:pt idx="22">
                  <c:v>121.98477639738965</c:v>
                </c:pt>
                <c:pt idx="23">
                  <c:v>127.31552022250112</c:v>
                </c:pt>
                <c:pt idx="24">
                  <c:v>132.70476510338247</c:v>
                </c:pt>
              </c:numCache>
            </c:numRef>
          </c:val>
          <c:smooth val="0"/>
          <c:extLst>
            <c:ext xmlns:c16="http://schemas.microsoft.com/office/drawing/2014/chart" uri="{C3380CC4-5D6E-409C-BE32-E72D297353CC}">
              <c16:uniqueId val="{00000002-2C15-415B-A237-DA9D07FBB034}"/>
            </c:ext>
          </c:extLst>
        </c:ser>
        <c:dLbls>
          <c:showLegendKey val="0"/>
          <c:showVal val="0"/>
          <c:showCatName val="0"/>
          <c:showSerName val="0"/>
          <c:showPercent val="0"/>
          <c:showBubbleSize val="0"/>
        </c:dLbls>
        <c:marker val="1"/>
        <c:smooth val="0"/>
        <c:axId val="178939784"/>
        <c:axId val="178940176"/>
        <c:extLst>
          <c:ext xmlns:c15="http://schemas.microsoft.com/office/drawing/2012/chart" uri="{02D57815-91ED-43cb-92C2-25804820EDAC}">
            <c15:filteredLineSeries>
              <c15:ser>
                <c:idx val="3"/>
                <c:order val="3"/>
                <c:tx>
                  <c:v>Upper and lower sanction bands of debt brake</c:v>
                </c:tx>
                <c:spPr>
                  <a:ln w="19050" cap="rnd">
                    <a:solidFill>
                      <a:srgbClr val="FF7C80"/>
                    </a:solidFill>
                    <a:prstDash val="sysDash"/>
                    <a:round/>
                  </a:ln>
                  <a:effectLst/>
                </c:spPr>
                <c:marker>
                  <c:symbol val="none"/>
                </c:marker>
                <c:val>
                  <c:numRef>
                    <c:extLst>
                      <c:ext uri="{02D57815-91ED-43cb-92C2-25804820EDAC}">
                        <c15:formulaRef>
                          <c15:sqref>'Graf 10'!$B$12:$Z$12</c15:sqref>
                        </c15:formulaRef>
                      </c:ext>
                    </c:extLst>
                    <c:numCache>
                      <c:formatCode>General</c:formatCode>
                      <c:ptCount val="25"/>
                      <c:pt idx="0">
                        <c:v>60</c:v>
                      </c:pt>
                      <c:pt idx="1">
                        <c:v>60</c:v>
                      </c:pt>
                      <c:pt idx="2">
                        <c:v>59</c:v>
                      </c:pt>
                      <c:pt idx="3">
                        <c:v>58</c:v>
                      </c:pt>
                      <c:pt idx="4">
                        <c:v>57</c:v>
                      </c:pt>
                      <c:pt idx="5">
                        <c:v>56</c:v>
                      </c:pt>
                      <c:pt idx="6">
                        <c:v>55</c:v>
                      </c:pt>
                      <c:pt idx="7">
                        <c:v>54</c:v>
                      </c:pt>
                      <c:pt idx="8">
                        <c:v>53</c:v>
                      </c:pt>
                      <c:pt idx="9">
                        <c:v>52</c:v>
                      </c:pt>
                      <c:pt idx="10">
                        <c:v>51</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numCache>
                  </c:numRef>
                </c:val>
                <c:smooth val="0"/>
                <c:extLst>
                  <c:ext xmlns:c16="http://schemas.microsoft.com/office/drawing/2014/chart" uri="{C3380CC4-5D6E-409C-BE32-E72D297353CC}">
                    <c16:uniqueId val="{00000003-2C15-415B-A237-DA9D07FBB034}"/>
                  </c:ext>
                </c:extLst>
              </c15:ser>
            </c15:filteredLineSeries>
            <c15:filteredLineSeries>
              <c15:ser>
                <c:idx val="7"/>
                <c:order val="4"/>
                <c:tx>
                  <c:strRef>
                    <c:extLst xmlns:c15="http://schemas.microsoft.com/office/drawing/2012/chart">
                      <c:ext xmlns:c15="http://schemas.microsoft.com/office/drawing/2012/chart" uri="{02D57815-91ED-43cb-92C2-25804820EDAC}">
                        <c15:formulaRef>
                          <c15:sqref>'Graf 10'!$A$13</c15:sqref>
                        </c15:formulaRef>
                      </c:ext>
                    </c:extLst>
                    <c:strCache>
                      <c:ptCount val="1"/>
                      <c:pt idx="0">
                        <c:v>1. pásmo</c:v>
                      </c:pt>
                    </c:strCache>
                  </c:strRef>
                </c:tx>
                <c:spPr>
                  <a:ln w="19050" cap="rnd">
                    <a:solidFill>
                      <a:srgbClr val="FF7C80"/>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'Graf 10'!$B$13:$Z$13</c15:sqref>
                        </c15:formulaRef>
                      </c:ext>
                    </c:extLst>
                    <c:numCache>
                      <c:formatCode>General</c:formatCode>
                      <c:ptCount val="25"/>
                      <c:pt idx="0">
                        <c:v>50</c:v>
                      </c:pt>
                      <c:pt idx="1">
                        <c:v>50</c:v>
                      </c:pt>
                      <c:pt idx="2">
                        <c:v>49</c:v>
                      </c:pt>
                      <c:pt idx="3">
                        <c:v>48</c:v>
                      </c:pt>
                      <c:pt idx="4">
                        <c:v>47</c:v>
                      </c:pt>
                      <c:pt idx="5">
                        <c:v>46</c:v>
                      </c:pt>
                      <c:pt idx="6">
                        <c:v>45</c:v>
                      </c:pt>
                      <c:pt idx="7">
                        <c:v>44</c:v>
                      </c:pt>
                      <c:pt idx="8">
                        <c:v>43</c:v>
                      </c:pt>
                      <c:pt idx="9">
                        <c:v>42</c:v>
                      </c:pt>
                      <c:pt idx="10">
                        <c:v>41</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numCache>
                  </c:numRef>
                </c:val>
                <c:smooth val="0"/>
                <c:extLst xmlns:c15="http://schemas.microsoft.com/office/drawing/2012/chart">
                  <c:ext xmlns:c16="http://schemas.microsoft.com/office/drawing/2014/chart" uri="{C3380CC4-5D6E-409C-BE32-E72D297353CC}">
                    <c16:uniqueId val="{00000007-2C15-415B-A237-DA9D07FBB034}"/>
                  </c:ext>
                </c:extLst>
              </c15:ser>
            </c15:filteredLineSeries>
          </c:ext>
        </c:extLst>
      </c:lineChart>
      <c:catAx>
        <c:axId val="178939784"/>
        <c:scaling>
          <c:orientation val="minMax"/>
        </c:scaling>
        <c:delete val="0"/>
        <c:axPos val="b"/>
        <c:numFmt formatCode="General" sourceLinked="1"/>
        <c:majorTickMark val="out"/>
        <c:minorTickMark val="none"/>
        <c:tickLblPos val="nextTo"/>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78940176"/>
        <c:crosses val="autoZero"/>
        <c:auto val="1"/>
        <c:lblAlgn val="ctr"/>
        <c:lblOffset val="100"/>
        <c:noMultiLvlLbl val="0"/>
      </c:catAx>
      <c:valAx>
        <c:axId val="178940176"/>
        <c:scaling>
          <c:orientation val="minMax"/>
          <c:min val="20"/>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78939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zero"/>
    <c:showDLblsOverMax val="0"/>
  </c:chart>
  <c:spPr>
    <a:noFill/>
    <a:ln w="9525" cap="flat" cmpd="sng" algn="ctr">
      <a:noFill/>
      <a:round/>
    </a:ln>
    <a:effectLst/>
  </c:spPr>
  <c:txPr>
    <a:bodyPr/>
    <a:lstStyle/>
    <a:p>
      <a:pPr>
        <a:defRPr>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92709210695847E-2"/>
          <c:y val="4.2553191489361701E-2"/>
          <c:w val="0.90847981747355289"/>
          <c:h val="0.79580878782365005"/>
        </c:manualLayout>
      </c:layout>
      <c:areaChart>
        <c:grouping val="stacked"/>
        <c:varyColors val="0"/>
        <c:ser>
          <c:idx val="0"/>
          <c:order val="0"/>
          <c:tx>
            <c:strRef>
              <c:f>'Graf 11'!$A$24</c:f>
              <c:strCache>
                <c:ptCount val="1"/>
                <c:pt idx="0">
                  <c:v>Čistý dlh VS</c:v>
                </c:pt>
              </c:strCache>
            </c:strRef>
          </c:tx>
          <c:spPr>
            <a:solidFill>
              <a:srgbClr val="2C9ADC"/>
            </a:solidFill>
            <a:ln w="19050" cap="rnd">
              <a:noFill/>
              <a:round/>
            </a:ln>
            <a:effectLst/>
          </c:spPr>
          <c:cat>
            <c:numRef>
              <c:f>'Graf 11'!$B$21:$F$21</c:f>
              <c:numCache>
                <c:formatCode>General</c:formatCode>
                <c:ptCount val="5"/>
                <c:pt idx="0">
                  <c:v>2022</c:v>
                </c:pt>
                <c:pt idx="1">
                  <c:v>2023</c:v>
                </c:pt>
                <c:pt idx="2">
                  <c:v>2024</c:v>
                </c:pt>
                <c:pt idx="3">
                  <c:v>2025</c:v>
                </c:pt>
                <c:pt idx="4">
                  <c:v>2026</c:v>
                </c:pt>
              </c:numCache>
            </c:numRef>
          </c:cat>
          <c:val>
            <c:numRef>
              <c:f>'Graf 11'!$B$24:$F$24</c:f>
              <c:numCache>
                <c:formatCode>0.0</c:formatCode>
                <c:ptCount val="5"/>
                <c:pt idx="0">
                  <c:v>47.683610070826276</c:v>
                </c:pt>
                <c:pt idx="1">
                  <c:v>49.656197887839099</c:v>
                </c:pt>
                <c:pt idx="2">
                  <c:v>51.108288114338905</c:v>
                </c:pt>
                <c:pt idx="3">
                  <c:v>50.319937644024414</c:v>
                </c:pt>
                <c:pt idx="4">
                  <c:v>50.195859780167766</c:v>
                </c:pt>
              </c:numCache>
            </c:numRef>
          </c:val>
          <c:extLst>
            <c:ext xmlns:c16="http://schemas.microsoft.com/office/drawing/2014/chart" uri="{C3380CC4-5D6E-409C-BE32-E72D297353CC}">
              <c16:uniqueId val="{00000000-6233-4CBE-8B01-10A3F12B2F7A}"/>
            </c:ext>
          </c:extLst>
        </c:ser>
        <c:ser>
          <c:idx val="1"/>
          <c:order val="1"/>
          <c:tx>
            <c:strRef>
              <c:f>'Graf 11'!$A$23</c:f>
              <c:strCache>
                <c:ptCount val="1"/>
                <c:pt idx="0">
                  <c:v>Likvidné finančné aktíva</c:v>
                </c:pt>
              </c:strCache>
            </c:strRef>
          </c:tx>
          <c:spPr>
            <a:solidFill>
              <a:schemeClr val="bg1">
                <a:lumMod val="85000"/>
              </a:schemeClr>
            </a:solidFill>
            <a:ln w="25400">
              <a:noFill/>
            </a:ln>
          </c:spPr>
          <c:cat>
            <c:numRef>
              <c:f>'Graf 11'!$B$21:$F$21</c:f>
              <c:numCache>
                <c:formatCode>General</c:formatCode>
                <c:ptCount val="5"/>
                <c:pt idx="0">
                  <c:v>2022</c:v>
                </c:pt>
                <c:pt idx="1">
                  <c:v>2023</c:v>
                </c:pt>
                <c:pt idx="2">
                  <c:v>2024</c:v>
                </c:pt>
                <c:pt idx="3">
                  <c:v>2025</c:v>
                </c:pt>
                <c:pt idx="4">
                  <c:v>2026</c:v>
                </c:pt>
              </c:numCache>
            </c:numRef>
          </c:cat>
          <c:val>
            <c:numRef>
              <c:f>'Graf 11'!$B$23:$F$23</c:f>
              <c:numCache>
                <c:formatCode>0.0</c:formatCode>
                <c:ptCount val="5"/>
                <c:pt idx="0">
                  <c:v>10.11991552679596</c:v>
                </c:pt>
                <c:pt idx="1">
                  <c:v>7.403802923600912</c:v>
                </c:pt>
                <c:pt idx="2">
                  <c:v>6.3877496534578349</c:v>
                </c:pt>
                <c:pt idx="3">
                  <c:v>5.4303594848333967</c:v>
                </c:pt>
                <c:pt idx="4">
                  <c:v>5.6585400179184964</c:v>
                </c:pt>
              </c:numCache>
            </c:numRef>
          </c:val>
          <c:extLst>
            <c:ext xmlns:c16="http://schemas.microsoft.com/office/drawing/2014/chart" uri="{C3380CC4-5D6E-409C-BE32-E72D297353CC}">
              <c16:uniqueId val="{00000001-6233-4CBE-8B01-10A3F12B2F7A}"/>
            </c:ext>
          </c:extLst>
        </c:ser>
        <c:dLbls>
          <c:showLegendKey val="0"/>
          <c:showVal val="0"/>
          <c:showCatName val="0"/>
          <c:showSerName val="0"/>
          <c:showPercent val="0"/>
          <c:showBubbleSize val="0"/>
        </c:dLbls>
        <c:axId val="560515240"/>
        <c:axId val="560515632"/>
      </c:areaChart>
      <c:lineChart>
        <c:grouping val="standard"/>
        <c:varyColors val="0"/>
        <c:ser>
          <c:idx val="2"/>
          <c:order val="2"/>
          <c:tx>
            <c:strRef>
              <c:f>'Graf 11'!$A$22</c:f>
              <c:strCache>
                <c:ptCount val="1"/>
                <c:pt idx="0">
                  <c:v>Hrubý dlh VS</c:v>
                </c:pt>
              </c:strCache>
            </c:strRef>
          </c:tx>
          <c:spPr>
            <a:ln>
              <a:solidFill>
                <a:srgbClr val="002060"/>
              </a:solidFill>
            </a:ln>
          </c:spPr>
          <c:marker>
            <c:symbol val="circle"/>
            <c:size val="6"/>
            <c:spPr>
              <a:solidFill>
                <a:srgbClr val="002060"/>
              </a:solidFill>
              <a:ln>
                <a:noFill/>
              </a:ln>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11'!$B$21:$F$21</c:f>
              <c:numCache>
                <c:formatCode>General</c:formatCode>
                <c:ptCount val="5"/>
                <c:pt idx="0">
                  <c:v>2022</c:v>
                </c:pt>
                <c:pt idx="1">
                  <c:v>2023</c:v>
                </c:pt>
                <c:pt idx="2">
                  <c:v>2024</c:v>
                </c:pt>
                <c:pt idx="3">
                  <c:v>2025</c:v>
                </c:pt>
                <c:pt idx="4">
                  <c:v>2026</c:v>
                </c:pt>
              </c:numCache>
            </c:numRef>
          </c:cat>
          <c:val>
            <c:numRef>
              <c:f>'Graf 11'!$B$22:$F$22</c:f>
              <c:numCache>
                <c:formatCode>0.0</c:formatCode>
                <c:ptCount val="5"/>
                <c:pt idx="0">
                  <c:v>57.80352559762224</c:v>
                </c:pt>
                <c:pt idx="1">
                  <c:v>57.060000811440013</c:v>
                </c:pt>
                <c:pt idx="2">
                  <c:v>57.496037767796736</c:v>
                </c:pt>
                <c:pt idx="3">
                  <c:v>55.75029712885781</c:v>
                </c:pt>
                <c:pt idx="4">
                  <c:v>55.854399798086263</c:v>
                </c:pt>
              </c:numCache>
            </c:numRef>
          </c:val>
          <c:smooth val="0"/>
          <c:extLst>
            <c:ext xmlns:c16="http://schemas.microsoft.com/office/drawing/2014/chart" uri="{C3380CC4-5D6E-409C-BE32-E72D297353CC}">
              <c16:uniqueId val="{00000002-6233-4CBE-8B01-10A3F12B2F7A}"/>
            </c:ext>
          </c:extLst>
        </c:ser>
        <c:ser>
          <c:idx val="3"/>
          <c:order val="3"/>
          <c:spPr>
            <a:ln w="28575">
              <a:noFill/>
            </a:ln>
          </c:spPr>
          <c:marker>
            <c:symbol val="diamond"/>
            <c:size val="7"/>
            <c:spPr>
              <a:noFill/>
              <a:ln>
                <a:noFill/>
              </a:ln>
            </c:spPr>
          </c:marker>
          <c:cat>
            <c:numRef>
              <c:f>'Graf 11'!$B$21:$F$21</c:f>
              <c:numCache>
                <c:formatCode>General</c:formatCode>
                <c:ptCount val="5"/>
                <c:pt idx="0">
                  <c:v>2022</c:v>
                </c:pt>
                <c:pt idx="1">
                  <c:v>2023</c:v>
                </c:pt>
                <c:pt idx="2">
                  <c:v>2024</c:v>
                </c:pt>
                <c:pt idx="3">
                  <c:v>2025</c:v>
                </c:pt>
                <c:pt idx="4">
                  <c:v>2026</c:v>
                </c:pt>
              </c:numCache>
            </c:numRef>
          </c:cat>
          <c:val>
            <c:numRef>
              <c:f>'Graf 11'!$B$24:$F$24</c:f>
              <c:numCache>
                <c:formatCode>0.0</c:formatCode>
                <c:ptCount val="5"/>
                <c:pt idx="0">
                  <c:v>47.683610070826276</c:v>
                </c:pt>
                <c:pt idx="1">
                  <c:v>49.656197887839099</c:v>
                </c:pt>
                <c:pt idx="2">
                  <c:v>51.108288114338905</c:v>
                </c:pt>
                <c:pt idx="3">
                  <c:v>50.319937644024414</c:v>
                </c:pt>
                <c:pt idx="4">
                  <c:v>50.195859780167766</c:v>
                </c:pt>
              </c:numCache>
            </c:numRef>
          </c:val>
          <c:smooth val="0"/>
          <c:extLst>
            <c:ext xmlns:c16="http://schemas.microsoft.com/office/drawing/2014/chart" uri="{C3380CC4-5D6E-409C-BE32-E72D297353CC}">
              <c16:uniqueId val="{00000003-6233-4CBE-8B01-10A3F12B2F7A}"/>
            </c:ext>
          </c:extLst>
        </c:ser>
        <c:ser>
          <c:idx val="6"/>
          <c:order val="4"/>
          <c:spPr>
            <a:ln w="28575">
              <a:noFill/>
            </a:ln>
          </c:spPr>
          <c:marker>
            <c:symbol val="circle"/>
            <c:size val="6"/>
            <c:spPr>
              <a:ln w="3175">
                <a:solidFill>
                  <a:schemeClr val="tx1"/>
                </a:solidFill>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11'!$B$21:$F$21</c:f>
              <c:numCache>
                <c:formatCode>General</c:formatCode>
                <c:ptCount val="5"/>
                <c:pt idx="0">
                  <c:v>2022</c:v>
                </c:pt>
                <c:pt idx="1">
                  <c:v>2023</c:v>
                </c:pt>
                <c:pt idx="2">
                  <c:v>2024</c:v>
                </c:pt>
                <c:pt idx="3">
                  <c:v>2025</c:v>
                </c:pt>
                <c:pt idx="4">
                  <c:v>2026</c:v>
                </c:pt>
              </c:numCache>
            </c:numRef>
          </c:cat>
          <c:val>
            <c:numRef>
              <c:f>'Graf 11'!$B$24:$F$24</c:f>
              <c:numCache>
                <c:formatCode>0.0</c:formatCode>
                <c:ptCount val="5"/>
                <c:pt idx="0">
                  <c:v>47.683610070826276</c:v>
                </c:pt>
                <c:pt idx="1">
                  <c:v>49.656197887839099</c:v>
                </c:pt>
                <c:pt idx="2">
                  <c:v>51.108288114338905</c:v>
                </c:pt>
                <c:pt idx="3">
                  <c:v>50.319937644024414</c:v>
                </c:pt>
                <c:pt idx="4">
                  <c:v>50.195859780167766</c:v>
                </c:pt>
              </c:numCache>
            </c:numRef>
          </c:val>
          <c:smooth val="0"/>
          <c:extLst>
            <c:ext xmlns:c16="http://schemas.microsoft.com/office/drawing/2014/chart" uri="{C3380CC4-5D6E-409C-BE32-E72D297353CC}">
              <c16:uniqueId val="{00000004-6233-4CBE-8B01-10A3F12B2F7A}"/>
            </c:ext>
          </c:extLst>
        </c:ser>
        <c:dLbls>
          <c:showLegendKey val="0"/>
          <c:showVal val="0"/>
          <c:showCatName val="0"/>
          <c:showSerName val="0"/>
          <c:showPercent val="0"/>
          <c:showBubbleSize val="0"/>
        </c:dLbls>
        <c:marker val="1"/>
        <c:smooth val="0"/>
        <c:axId val="560515240"/>
        <c:axId val="560515632"/>
        <c:extLst/>
      </c:lineChart>
      <c:catAx>
        <c:axId val="560515240"/>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vert="horz"/>
          <a:lstStyle/>
          <a:p>
            <a:pPr>
              <a:defRPr/>
            </a:pPr>
            <a:endParaRPr lang="sk-SK"/>
          </a:p>
        </c:txPr>
        <c:crossAx val="560515632"/>
        <c:crosses val="autoZero"/>
        <c:auto val="0"/>
        <c:lblAlgn val="ctr"/>
        <c:lblOffset val="100"/>
        <c:noMultiLvlLbl val="0"/>
      </c:catAx>
      <c:valAx>
        <c:axId val="560515632"/>
        <c:scaling>
          <c:orientation val="minMax"/>
          <c:max val="65"/>
          <c:min val="30"/>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w="3175">
            <a:noFill/>
          </a:ln>
          <a:effectLst/>
        </c:spPr>
        <c:txPr>
          <a:bodyPr rot="-60000000" vert="horz"/>
          <a:lstStyle/>
          <a:p>
            <a:pPr>
              <a:defRPr/>
            </a:pPr>
            <a:endParaRPr lang="sk-SK"/>
          </a:p>
        </c:txPr>
        <c:crossAx val="560515240"/>
        <c:crosses val="autoZero"/>
        <c:crossBetween val="between"/>
      </c:valAx>
      <c:spPr>
        <a:noFill/>
        <a:ln w="3175">
          <a:noFill/>
          <a:prstDash val="sysDot"/>
        </a:ln>
        <a:effectLst/>
      </c:spPr>
    </c:plotArea>
    <c:legend>
      <c:legendPos val="t"/>
      <c:legendEntry>
        <c:idx val="3"/>
        <c:delete val="1"/>
      </c:legendEntry>
      <c:legendEntry>
        <c:idx val="4"/>
        <c:delete val="1"/>
      </c:legendEntry>
      <c:layout>
        <c:manualLayout>
          <c:xMode val="edge"/>
          <c:yMode val="edge"/>
          <c:x val="5.7142857142857143E-3"/>
          <c:y val="0.87207517329564554"/>
          <c:w val="0.97976578544606652"/>
          <c:h val="0.12792484524960185"/>
        </c:manualLayout>
      </c:layout>
      <c:overlay val="0"/>
    </c:legend>
    <c:plotVisOnly val="1"/>
    <c:dispBlanksAs val="gap"/>
    <c:showDLblsOverMax val="0"/>
  </c:chart>
  <c:spPr>
    <a:noFill/>
    <a:ln w="9525" cap="flat" cmpd="sng" algn="ctr">
      <a:noFill/>
      <a:round/>
    </a:ln>
    <a:effectLst/>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92709210695847E-2"/>
          <c:y val="4.2553191489361701E-2"/>
          <c:w val="0.90847981747355289"/>
          <c:h val="0.79580878782365005"/>
        </c:manualLayout>
      </c:layout>
      <c:areaChart>
        <c:grouping val="stacked"/>
        <c:varyColors val="0"/>
        <c:ser>
          <c:idx val="0"/>
          <c:order val="0"/>
          <c:tx>
            <c:strRef>
              <c:f>'Graf 11'!$G$24</c:f>
              <c:strCache>
                <c:ptCount val="1"/>
                <c:pt idx="0">
                  <c:v>Net debt</c:v>
                </c:pt>
              </c:strCache>
            </c:strRef>
          </c:tx>
          <c:spPr>
            <a:solidFill>
              <a:srgbClr val="2C9ADC"/>
            </a:solidFill>
            <a:ln w="19050" cap="rnd">
              <a:noFill/>
              <a:round/>
            </a:ln>
            <a:effectLst/>
          </c:spPr>
          <c:cat>
            <c:numRef>
              <c:f>'Graf 11'!$B$21:$F$21</c:f>
              <c:numCache>
                <c:formatCode>General</c:formatCode>
                <c:ptCount val="5"/>
                <c:pt idx="0">
                  <c:v>2022</c:v>
                </c:pt>
                <c:pt idx="1">
                  <c:v>2023</c:v>
                </c:pt>
                <c:pt idx="2">
                  <c:v>2024</c:v>
                </c:pt>
                <c:pt idx="3">
                  <c:v>2025</c:v>
                </c:pt>
                <c:pt idx="4">
                  <c:v>2026</c:v>
                </c:pt>
              </c:numCache>
            </c:numRef>
          </c:cat>
          <c:val>
            <c:numRef>
              <c:f>'Graf 11'!$B$24:$F$24</c:f>
              <c:numCache>
                <c:formatCode>0.0</c:formatCode>
                <c:ptCount val="5"/>
                <c:pt idx="0">
                  <c:v>47.683610070826276</c:v>
                </c:pt>
                <c:pt idx="1">
                  <c:v>49.656197887839099</c:v>
                </c:pt>
                <c:pt idx="2">
                  <c:v>51.108288114338905</c:v>
                </c:pt>
                <c:pt idx="3">
                  <c:v>50.319937644024414</c:v>
                </c:pt>
                <c:pt idx="4">
                  <c:v>50.195859780167766</c:v>
                </c:pt>
              </c:numCache>
            </c:numRef>
          </c:val>
          <c:extLst>
            <c:ext xmlns:c16="http://schemas.microsoft.com/office/drawing/2014/chart" uri="{C3380CC4-5D6E-409C-BE32-E72D297353CC}">
              <c16:uniqueId val="{00000000-740C-4193-9397-9387AB909FED}"/>
            </c:ext>
          </c:extLst>
        </c:ser>
        <c:ser>
          <c:idx val="1"/>
          <c:order val="1"/>
          <c:tx>
            <c:strRef>
              <c:f>'Graf 11'!$G$23</c:f>
              <c:strCache>
                <c:ptCount val="1"/>
                <c:pt idx="0">
                  <c:v>Liquid financial assests</c:v>
                </c:pt>
              </c:strCache>
            </c:strRef>
          </c:tx>
          <c:spPr>
            <a:solidFill>
              <a:schemeClr val="bg1">
                <a:lumMod val="85000"/>
              </a:schemeClr>
            </a:solidFill>
            <a:ln w="25400">
              <a:noFill/>
            </a:ln>
          </c:spPr>
          <c:cat>
            <c:numRef>
              <c:f>'Graf 11'!$B$21:$F$21</c:f>
              <c:numCache>
                <c:formatCode>General</c:formatCode>
                <c:ptCount val="5"/>
                <c:pt idx="0">
                  <c:v>2022</c:v>
                </c:pt>
                <c:pt idx="1">
                  <c:v>2023</c:v>
                </c:pt>
                <c:pt idx="2">
                  <c:v>2024</c:v>
                </c:pt>
                <c:pt idx="3">
                  <c:v>2025</c:v>
                </c:pt>
                <c:pt idx="4">
                  <c:v>2026</c:v>
                </c:pt>
              </c:numCache>
            </c:numRef>
          </c:cat>
          <c:val>
            <c:numRef>
              <c:f>'Graf 11'!$B$23:$F$23</c:f>
              <c:numCache>
                <c:formatCode>0.0</c:formatCode>
                <c:ptCount val="5"/>
                <c:pt idx="0">
                  <c:v>10.11991552679596</c:v>
                </c:pt>
                <c:pt idx="1">
                  <c:v>7.403802923600912</c:v>
                </c:pt>
                <c:pt idx="2">
                  <c:v>6.3877496534578349</c:v>
                </c:pt>
                <c:pt idx="3">
                  <c:v>5.4303594848333967</c:v>
                </c:pt>
                <c:pt idx="4">
                  <c:v>5.6585400179184964</c:v>
                </c:pt>
              </c:numCache>
            </c:numRef>
          </c:val>
          <c:extLst>
            <c:ext xmlns:c16="http://schemas.microsoft.com/office/drawing/2014/chart" uri="{C3380CC4-5D6E-409C-BE32-E72D297353CC}">
              <c16:uniqueId val="{00000001-740C-4193-9397-9387AB909FED}"/>
            </c:ext>
          </c:extLst>
        </c:ser>
        <c:dLbls>
          <c:showLegendKey val="0"/>
          <c:showVal val="0"/>
          <c:showCatName val="0"/>
          <c:showSerName val="0"/>
          <c:showPercent val="0"/>
          <c:showBubbleSize val="0"/>
        </c:dLbls>
        <c:axId val="560515240"/>
        <c:axId val="560515632"/>
      </c:areaChart>
      <c:lineChart>
        <c:grouping val="standard"/>
        <c:varyColors val="0"/>
        <c:ser>
          <c:idx val="2"/>
          <c:order val="2"/>
          <c:tx>
            <c:strRef>
              <c:f>'Graf 11'!$G$22</c:f>
              <c:strCache>
                <c:ptCount val="1"/>
                <c:pt idx="0">
                  <c:v>General government gross debt</c:v>
                </c:pt>
              </c:strCache>
            </c:strRef>
          </c:tx>
          <c:spPr>
            <a:ln>
              <a:solidFill>
                <a:srgbClr val="002060"/>
              </a:solidFill>
            </a:ln>
          </c:spPr>
          <c:marker>
            <c:symbol val="circle"/>
            <c:size val="6"/>
            <c:spPr>
              <a:solidFill>
                <a:srgbClr val="002060"/>
              </a:solidFill>
              <a:ln>
                <a:noFill/>
              </a:ln>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11'!$B$21:$F$21</c:f>
              <c:numCache>
                <c:formatCode>General</c:formatCode>
                <c:ptCount val="5"/>
                <c:pt idx="0">
                  <c:v>2022</c:v>
                </c:pt>
                <c:pt idx="1">
                  <c:v>2023</c:v>
                </c:pt>
                <c:pt idx="2">
                  <c:v>2024</c:v>
                </c:pt>
                <c:pt idx="3">
                  <c:v>2025</c:v>
                </c:pt>
                <c:pt idx="4">
                  <c:v>2026</c:v>
                </c:pt>
              </c:numCache>
            </c:numRef>
          </c:cat>
          <c:val>
            <c:numRef>
              <c:f>'Graf 11'!$B$22:$F$22</c:f>
              <c:numCache>
                <c:formatCode>0.0</c:formatCode>
                <c:ptCount val="5"/>
                <c:pt idx="0">
                  <c:v>57.80352559762224</c:v>
                </c:pt>
                <c:pt idx="1">
                  <c:v>57.060000811440013</c:v>
                </c:pt>
                <c:pt idx="2">
                  <c:v>57.496037767796736</c:v>
                </c:pt>
                <c:pt idx="3">
                  <c:v>55.75029712885781</c:v>
                </c:pt>
                <c:pt idx="4">
                  <c:v>55.854399798086263</c:v>
                </c:pt>
              </c:numCache>
            </c:numRef>
          </c:val>
          <c:smooth val="0"/>
          <c:extLst>
            <c:ext xmlns:c16="http://schemas.microsoft.com/office/drawing/2014/chart" uri="{C3380CC4-5D6E-409C-BE32-E72D297353CC}">
              <c16:uniqueId val="{00000002-740C-4193-9397-9387AB909FED}"/>
            </c:ext>
          </c:extLst>
        </c:ser>
        <c:ser>
          <c:idx val="3"/>
          <c:order val="3"/>
          <c:spPr>
            <a:ln w="28575">
              <a:noFill/>
            </a:ln>
          </c:spPr>
          <c:marker>
            <c:symbol val="diamond"/>
            <c:size val="7"/>
            <c:spPr>
              <a:noFill/>
              <a:ln>
                <a:noFill/>
              </a:ln>
            </c:spPr>
          </c:marker>
          <c:cat>
            <c:numRef>
              <c:f>'Graf 11'!$B$21:$F$21</c:f>
              <c:numCache>
                <c:formatCode>General</c:formatCode>
                <c:ptCount val="5"/>
                <c:pt idx="0">
                  <c:v>2022</c:v>
                </c:pt>
                <c:pt idx="1">
                  <c:v>2023</c:v>
                </c:pt>
                <c:pt idx="2">
                  <c:v>2024</c:v>
                </c:pt>
                <c:pt idx="3">
                  <c:v>2025</c:v>
                </c:pt>
                <c:pt idx="4">
                  <c:v>2026</c:v>
                </c:pt>
              </c:numCache>
            </c:numRef>
          </c:cat>
          <c:val>
            <c:numRef>
              <c:f>'Graf 11'!$B$24:$F$24</c:f>
              <c:numCache>
                <c:formatCode>0.0</c:formatCode>
                <c:ptCount val="5"/>
                <c:pt idx="0">
                  <c:v>47.683610070826276</c:v>
                </c:pt>
                <c:pt idx="1">
                  <c:v>49.656197887839099</c:v>
                </c:pt>
                <c:pt idx="2">
                  <c:v>51.108288114338905</c:v>
                </c:pt>
                <c:pt idx="3">
                  <c:v>50.319937644024414</c:v>
                </c:pt>
                <c:pt idx="4">
                  <c:v>50.195859780167766</c:v>
                </c:pt>
              </c:numCache>
            </c:numRef>
          </c:val>
          <c:smooth val="0"/>
          <c:extLst>
            <c:ext xmlns:c16="http://schemas.microsoft.com/office/drawing/2014/chart" uri="{C3380CC4-5D6E-409C-BE32-E72D297353CC}">
              <c16:uniqueId val="{00000003-740C-4193-9397-9387AB909FED}"/>
            </c:ext>
          </c:extLst>
        </c:ser>
        <c:ser>
          <c:idx val="6"/>
          <c:order val="4"/>
          <c:spPr>
            <a:ln w="28575">
              <a:noFill/>
            </a:ln>
          </c:spPr>
          <c:marker>
            <c:symbol val="circle"/>
            <c:size val="6"/>
            <c:spPr>
              <a:ln w="3175">
                <a:solidFill>
                  <a:schemeClr val="tx1"/>
                </a:solidFill>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11'!$B$21:$F$21</c:f>
              <c:numCache>
                <c:formatCode>General</c:formatCode>
                <c:ptCount val="5"/>
                <c:pt idx="0">
                  <c:v>2022</c:v>
                </c:pt>
                <c:pt idx="1">
                  <c:v>2023</c:v>
                </c:pt>
                <c:pt idx="2">
                  <c:v>2024</c:v>
                </c:pt>
                <c:pt idx="3">
                  <c:v>2025</c:v>
                </c:pt>
                <c:pt idx="4">
                  <c:v>2026</c:v>
                </c:pt>
              </c:numCache>
            </c:numRef>
          </c:cat>
          <c:val>
            <c:numRef>
              <c:f>'Graf 11'!$B$24:$F$24</c:f>
              <c:numCache>
                <c:formatCode>0.0</c:formatCode>
                <c:ptCount val="5"/>
                <c:pt idx="0">
                  <c:v>47.683610070826276</c:v>
                </c:pt>
                <c:pt idx="1">
                  <c:v>49.656197887839099</c:v>
                </c:pt>
                <c:pt idx="2">
                  <c:v>51.108288114338905</c:v>
                </c:pt>
                <c:pt idx="3">
                  <c:v>50.319937644024414</c:v>
                </c:pt>
                <c:pt idx="4">
                  <c:v>50.195859780167766</c:v>
                </c:pt>
              </c:numCache>
            </c:numRef>
          </c:val>
          <c:smooth val="0"/>
          <c:extLst>
            <c:ext xmlns:c16="http://schemas.microsoft.com/office/drawing/2014/chart" uri="{C3380CC4-5D6E-409C-BE32-E72D297353CC}">
              <c16:uniqueId val="{00000004-740C-4193-9397-9387AB909FED}"/>
            </c:ext>
          </c:extLst>
        </c:ser>
        <c:dLbls>
          <c:showLegendKey val="0"/>
          <c:showVal val="0"/>
          <c:showCatName val="0"/>
          <c:showSerName val="0"/>
          <c:showPercent val="0"/>
          <c:showBubbleSize val="0"/>
        </c:dLbls>
        <c:marker val="1"/>
        <c:smooth val="0"/>
        <c:axId val="560515240"/>
        <c:axId val="560515632"/>
        <c:extLst/>
      </c:lineChart>
      <c:catAx>
        <c:axId val="560515240"/>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vert="horz"/>
          <a:lstStyle/>
          <a:p>
            <a:pPr>
              <a:defRPr/>
            </a:pPr>
            <a:endParaRPr lang="sk-SK"/>
          </a:p>
        </c:txPr>
        <c:crossAx val="560515632"/>
        <c:crosses val="autoZero"/>
        <c:auto val="0"/>
        <c:lblAlgn val="ctr"/>
        <c:lblOffset val="100"/>
        <c:noMultiLvlLbl val="0"/>
      </c:catAx>
      <c:valAx>
        <c:axId val="560515632"/>
        <c:scaling>
          <c:orientation val="minMax"/>
          <c:max val="65"/>
          <c:min val="30"/>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w="3175">
            <a:noFill/>
          </a:ln>
          <a:effectLst/>
        </c:spPr>
        <c:txPr>
          <a:bodyPr rot="-60000000" vert="horz"/>
          <a:lstStyle/>
          <a:p>
            <a:pPr>
              <a:defRPr/>
            </a:pPr>
            <a:endParaRPr lang="sk-SK"/>
          </a:p>
        </c:txPr>
        <c:crossAx val="560515240"/>
        <c:crosses val="autoZero"/>
        <c:crossBetween val="between"/>
      </c:valAx>
      <c:spPr>
        <a:noFill/>
        <a:ln w="3175">
          <a:noFill/>
          <a:prstDash val="sysDot"/>
        </a:ln>
        <a:effectLst/>
      </c:spPr>
    </c:plotArea>
    <c:legend>
      <c:legendPos val="t"/>
      <c:legendEntry>
        <c:idx val="3"/>
        <c:delete val="1"/>
      </c:legendEntry>
      <c:legendEntry>
        <c:idx val="4"/>
        <c:delete val="1"/>
      </c:legendEntry>
      <c:layout>
        <c:manualLayout>
          <c:xMode val="edge"/>
          <c:yMode val="edge"/>
          <c:x val="5.7142857142857143E-3"/>
          <c:y val="0.87207517329564554"/>
          <c:w val="0.97976578544606652"/>
          <c:h val="0.12792484524960185"/>
        </c:manualLayout>
      </c:layout>
      <c:overlay val="0"/>
    </c:legend>
    <c:plotVisOnly val="1"/>
    <c:dispBlanksAs val="gap"/>
    <c:showDLblsOverMax val="0"/>
  </c:chart>
  <c:spPr>
    <a:noFill/>
    <a:ln w="9525" cap="flat" cmpd="sng" algn="ctr">
      <a:noFill/>
      <a:round/>
    </a:ln>
    <a:effectLst/>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87773402629306E-2"/>
          <c:y val="3.7486892271914186E-2"/>
          <c:w val="0.40921691871053223"/>
          <c:h val="0.86690931593510556"/>
        </c:manualLayout>
      </c:layout>
      <c:barChart>
        <c:barDir val="col"/>
        <c:grouping val="stacked"/>
        <c:varyColors val="0"/>
        <c:ser>
          <c:idx val="6"/>
          <c:order val="1"/>
          <c:tx>
            <c:strRef>
              <c:f>'Graf 12'!$D$26</c:f>
              <c:strCache>
                <c:ptCount val="1"/>
                <c:pt idx="0">
                  <c:v>Zosúladenie deficitu a dlhu (bez hotovosti VS)</c:v>
                </c:pt>
              </c:strCache>
            </c:strRef>
          </c:tx>
          <c:spPr>
            <a:solidFill>
              <a:sysClr val="window" lastClr="FFFFFF">
                <a:lumMod val="85000"/>
              </a:sysClr>
            </a:solidFill>
            <a:ln w="12700">
              <a:noFill/>
              <a:prstDash val="solid"/>
            </a:ln>
          </c:spPr>
          <c:invertIfNegative val="0"/>
          <c:cat>
            <c:strRef>
              <c:f>'Graf 12'!$H$21</c:f>
              <c:strCache>
                <c:ptCount val="1"/>
                <c:pt idx="0">
                  <c:v>2024-2026</c:v>
                </c:pt>
              </c:strCache>
            </c:strRef>
          </c:cat>
          <c:val>
            <c:numRef>
              <c:f>'Graf 12'!$H$26</c:f>
              <c:numCache>
                <c:formatCode>0.0</c:formatCode>
                <c:ptCount val="1"/>
                <c:pt idx="0">
                  <c:v>-0.12290391854986121</c:v>
                </c:pt>
              </c:numCache>
            </c:numRef>
          </c:val>
          <c:extLst>
            <c:ext xmlns:c16="http://schemas.microsoft.com/office/drawing/2014/chart" uri="{C3380CC4-5D6E-409C-BE32-E72D297353CC}">
              <c16:uniqueId val="{00000000-96A8-4B5E-A748-DED7C30B65D5}"/>
            </c:ext>
          </c:extLst>
        </c:ser>
        <c:ser>
          <c:idx val="7"/>
          <c:order val="2"/>
          <c:tx>
            <c:strRef>
              <c:f>'Graf 12'!$D$27</c:f>
              <c:strCache>
                <c:ptCount val="1"/>
                <c:pt idx="0">
                  <c:v>Zmena hotovosti VS</c:v>
                </c:pt>
              </c:strCache>
            </c:strRef>
          </c:tx>
          <c:spPr>
            <a:solidFill>
              <a:sysClr val="window" lastClr="FFFFFF">
                <a:lumMod val="75000"/>
              </a:sysClr>
            </a:solidFill>
            <a:ln w="28575">
              <a:noFill/>
            </a:ln>
          </c:spPr>
          <c:invertIfNegative val="0"/>
          <c:dLbls>
            <c:dLbl>
              <c:idx val="0"/>
              <c:layout>
                <c:manualLayout>
                  <c:x val="0.17320973827943278"/>
                  <c:y val="-5.7453625673323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A8-4B5E-A748-DED7C30B65D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12'!$H$21</c:f>
              <c:strCache>
                <c:ptCount val="1"/>
                <c:pt idx="0">
                  <c:v>2024-2026</c:v>
                </c:pt>
              </c:strCache>
            </c:strRef>
          </c:cat>
          <c:val>
            <c:numRef>
              <c:f>'Graf 12'!$H$27</c:f>
              <c:numCache>
                <c:formatCode>0.0</c:formatCode>
                <c:ptCount val="1"/>
                <c:pt idx="0">
                  <c:v>-0.61867119791049174</c:v>
                </c:pt>
              </c:numCache>
            </c:numRef>
          </c:val>
          <c:extLst>
            <c:ext xmlns:c16="http://schemas.microsoft.com/office/drawing/2014/chart" uri="{C3380CC4-5D6E-409C-BE32-E72D297353CC}">
              <c16:uniqueId val="{00000002-96A8-4B5E-A748-DED7C30B65D5}"/>
            </c:ext>
          </c:extLst>
        </c:ser>
        <c:ser>
          <c:idx val="3"/>
          <c:order val="3"/>
          <c:tx>
            <c:strRef>
              <c:f>'Graf 12'!$D$25</c:f>
              <c:strCache>
                <c:ptCount val="1"/>
                <c:pt idx="0">
                  <c:v>Deflátor HDP</c:v>
                </c:pt>
              </c:strCache>
            </c:strRef>
          </c:tx>
          <c:spPr>
            <a:solidFill>
              <a:srgbClr val="002060"/>
            </a:solidFill>
            <a:ln>
              <a:noFill/>
            </a:ln>
          </c:spPr>
          <c:invertIfNegative val="0"/>
          <c:dLbls>
            <c:spPr>
              <a:noFill/>
              <a:ln>
                <a:noFill/>
              </a:ln>
              <a:effectLst/>
            </c:spPr>
            <c:txPr>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12'!$H$21</c:f>
              <c:strCache>
                <c:ptCount val="1"/>
                <c:pt idx="0">
                  <c:v>2024-2026</c:v>
                </c:pt>
              </c:strCache>
            </c:strRef>
          </c:cat>
          <c:val>
            <c:numRef>
              <c:f>'Graf 12'!$H$25</c:f>
              <c:numCache>
                <c:formatCode>0.0</c:formatCode>
                <c:ptCount val="1"/>
                <c:pt idx="0">
                  <c:v>-6.256258361130854</c:v>
                </c:pt>
              </c:numCache>
            </c:numRef>
          </c:val>
          <c:extLst>
            <c:ext xmlns:c16="http://schemas.microsoft.com/office/drawing/2014/chart" uri="{C3380CC4-5D6E-409C-BE32-E72D297353CC}">
              <c16:uniqueId val="{00000003-96A8-4B5E-A748-DED7C30B65D5}"/>
            </c:ext>
          </c:extLst>
        </c:ser>
        <c:ser>
          <c:idx val="1"/>
          <c:order val="4"/>
          <c:tx>
            <c:strRef>
              <c:f>'Graf 12'!$D$24</c:f>
              <c:strCache>
                <c:ptCount val="1"/>
                <c:pt idx="0">
                  <c:v>Rast reálneho HDP</c:v>
                </c:pt>
              </c:strCache>
            </c:strRef>
          </c:tx>
          <c:spPr>
            <a:solidFill>
              <a:srgbClr val="2C9ADC">
                <a:lumMod val="75000"/>
              </a:srgbClr>
            </a:solidFill>
          </c:spPr>
          <c:invertIfNegative val="0"/>
          <c:dLbls>
            <c:spPr>
              <a:noFill/>
              <a:ln>
                <a:noFill/>
              </a:ln>
              <a:effectLst/>
            </c:spPr>
            <c:txPr>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12'!$H$21</c:f>
              <c:strCache>
                <c:ptCount val="1"/>
                <c:pt idx="0">
                  <c:v>2024-2026</c:v>
                </c:pt>
              </c:strCache>
            </c:strRef>
          </c:cat>
          <c:val>
            <c:numRef>
              <c:f>'Graf 12'!$H$24</c:f>
              <c:numCache>
                <c:formatCode>0.0</c:formatCode>
                <c:ptCount val="1"/>
                <c:pt idx="0">
                  <c:v>-3.5077675357625431</c:v>
                </c:pt>
              </c:numCache>
            </c:numRef>
          </c:val>
          <c:extLst>
            <c:ext xmlns:c16="http://schemas.microsoft.com/office/drawing/2014/chart" uri="{C3380CC4-5D6E-409C-BE32-E72D297353CC}">
              <c16:uniqueId val="{00000004-96A8-4B5E-A748-DED7C30B65D5}"/>
            </c:ext>
          </c:extLst>
        </c:ser>
        <c:ser>
          <c:idx val="4"/>
          <c:order val="5"/>
          <c:tx>
            <c:strRef>
              <c:f>'Graf 12'!$D$23</c:f>
              <c:strCache>
                <c:ptCount val="1"/>
                <c:pt idx="0">
                  <c:v>Úroky</c:v>
                </c:pt>
              </c:strCache>
            </c:strRef>
          </c:tx>
          <c:spPr>
            <a:solidFill>
              <a:srgbClr val="2C9ADC">
                <a:lumMod val="40000"/>
                <a:lumOff val="60000"/>
              </a:srgb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12'!$H$21</c:f>
              <c:strCache>
                <c:ptCount val="1"/>
                <c:pt idx="0">
                  <c:v>2024-2026</c:v>
                </c:pt>
              </c:strCache>
            </c:strRef>
          </c:cat>
          <c:val>
            <c:numRef>
              <c:f>'Graf 12'!$H$23</c:f>
              <c:numCache>
                <c:formatCode>0.0</c:formatCode>
                <c:ptCount val="1"/>
                <c:pt idx="0">
                  <c:v>4.0243476454054719</c:v>
                </c:pt>
              </c:numCache>
            </c:numRef>
          </c:val>
          <c:extLst>
            <c:ext xmlns:c16="http://schemas.microsoft.com/office/drawing/2014/chart" uri="{C3380CC4-5D6E-409C-BE32-E72D297353CC}">
              <c16:uniqueId val="{00000005-96A8-4B5E-A748-DED7C30B65D5}"/>
            </c:ext>
          </c:extLst>
        </c:ser>
        <c:ser>
          <c:idx val="2"/>
          <c:order val="6"/>
          <c:tx>
            <c:strRef>
              <c:f>'Graf 12'!$D$22</c:f>
              <c:strCache>
                <c:ptCount val="1"/>
                <c:pt idx="0">
                  <c:v>Primárne saldo</c:v>
                </c:pt>
              </c:strCache>
            </c:strRef>
          </c:tx>
          <c:spPr>
            <a:solidFill>
              <a:srgbClr val="369ADC"/>
            </a:solidFill>
            <a:ln w="12700">
              <a:noFill/>
              <a:prstDash val="solid"/>
            </a:ln>
          </c:spPr>
          <c:invertIfNegative val="0"/>
          <c:dLbls>
            <c:dLbl>
              <c:idx val="3"/>
              <c:layout>
                <c:manualLayout>
                  <c:x val="-7.2534594230884681E-17"/>
                  <c:y val="-6.0308339103366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A8-4B5E-A748-DED7C30B65D5}"/>
                </c:ext>
              </c:extLst>
            </c:dLbl>
            <c:dLbl>
              <c:idx val="4"/>
              <c:layout>
                <c:manualLayout>
                  <c:x val="-1.4506918846176936E-16"/>
                  <c:y val="-5.1692862088599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A8-4B5E-A748-DED7C30B65D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12'!$H$21</c:f>
              <c:strCache>
                <c:ptCount val="1"/>
                <c:pt idx="0">
                  <c:v>2024-2026</c:v>
                </c:pt>
              </c:strCache>
            </c:strRef>
          </c:cat>
          <c:val>
            <c:numRef>
              <c:f>'Graf 12'!$H$22</c:f>
              <c:numCache>
                <c:formatCode>0.0</c:formatCode>
                <c:ptCount val="1"/>
                <c:pt idx="0">
                  <c:v>5.275652354594528</c:v>
                </c:pt>
              </c:numCache>
            </c:numRef>
          </c:val>
          <c:extLst>
            <c:ext xmlns:c16="http://schemas.microsoft.com/office/drawing/2014/chart" uri="{C3380CC4-5D6E-409C-BE32-E72D297353CC}">
              <c16:uniqueId val="{00000008-96A8-4B5E-A748-DED7C30B65D5}"/>
            </c:ext>
          </c:extLst>
        </c:ser>
        <c:dLbls>
          <c:showLegendKey val="0"/>
          <c:showVal val="0"/>
          <c:showCatName val="0"/>
          <c:showSerName val="0"/>
          <c:showPercent val="0"/>
          <c:showBubbleSize val="0"/>
        </c:dLbls>
        <c:gapWidth val="150"/>
        <c:overlap val="100"/>
        <c:axId val="547679416"/>
        <c:axId val="547679808"/>
        <c:extLst/>
      </c:barChart>
      <c:lineChart>
        <c:grouping val="standard"/>
        <c:varyColors val="0"/>
        <c:ser>
          <c:idx val="0"/>
          <c:order val="0"/>
          <c:tx>
            <c:strRef>
              <c:f>'Graf 12'!$D$28</c:f>
              <c:strCache>
                <c:ptCount val="1"/>
                <c:pt idx="0">
                  <c:v>Zmena hrubého dlhu</c:v>
                </c:pt>
              </c:strCache>
            </c:strRef>
          </c:tx>
          <c:spPr>
            <a:ln w="25400" cmpd="sng">
              <a:noFill/>
              <a:prstDash val="solid"/>
            </a:ln>
          </c:spPr>
          <c:marker>
            <c:symbol val="circle"/>
            <c:size val="7"/>
            <c:spPr>
              <a:solidFill>
                <a:sysClr val="windowText" lastClr="000000"/>
              </a:solidFill>
              <a:ln w="9525">
                <a:solidFill>
                  <a:sysClr val="window" lastClr="FFFFFF"/>
                </a:solidFill>
              </a:ln>
            </c:spPr>
          </c:marker>
          <c:dPt>
            <c:idx val="11"/>
            <c:bubble3D val="0"/>
            <c:extLst>
              <c:ext xmlns:c16="http://schemas.microsoft.com/office/drawing/2014/chart" uri="{C3380CC4-5D6E-409C-BE32-E72D297353CC}">
                <c16:uniqueId val="{00000009-96A8-4B5E-A748-DED7C30B65D5}"/>
              </c:ext>
            </c:extLst>
          </c:dPt>
          <c:dLbls>
            <c:dLbl>
              <c:idx val="0"/>
              <c:layout>
                <c:manualLayout>
                  <c:x val="-0.15474181154051583"/>
                  <c:y val="7.273581211134960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6A8-4B5E-A748-DED7C30B65D5}"/>
                </c:ext>
              </c:extLst>
            </c:dLbl>
            <c:numFmt formatCode="#,##0.0" sourceLinked="0"/>
            <c:spPr>
              <a:solidFill>
                <a:sysClr val="window" lastClr="FFFFFF"/>
              </a:solidFill>
              <a:ln>
                <a:solidFill>
                  <a:sysClr val="windowText" lastClr="000000"/>
                </a:solid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[67]Dashboard!$Y$34</c:f>
              <c:strCache>
                <c:ptCount val="1"/>
                <c:pt idx="0">
                  <c:v>2024-2026</c:v>
                </c:pt>
              </c:strCache>
            </c:strRef>
          </c:cat>
          <c:val>
            <c:numRef>
              <c:f>'Graf 12'!$H$28</c:f>
              <c:numCache>
                <c:formatCode>0.0</c:formatCode>
                <c:ptCount val="1"/>
                <c:pt idx="0">
                  <c:v>-1.2056010133537498</c:v>
                </c:pt>
              </c:numCache>
            </c:numRef>
          </c:val>
          <c:smooth val="0"/>
          <c:extLst>
            <c:ext xmlns:c16="http://schemas.microsoft.com/office/drawing/2014/chart" uri="{C3380CC4-5D6E-409C-BE32-E72D297353CC}">
              <c16:uniqueId val="{0000000B-96A8-4B5E-A748-DED7C30B65D5}"/>
            </c:ext>
          </c:extLst>
        </c:ser>
        <c:dLbls>
          <c:showLegendKey val="0"/>
          <c:showVal val="0"/>
          <c:showCatName val="0"/>
          <c:showSerName val="0"/>
          <c:showPercent val="0"/>
          <c:showBubbleSize val="0"/>
        </c:dLbls>
        <c:marker val="1"/>
        <c:smooth val="0"/>
        <c:axId val="547679416"/>
        <c:axId val="547679808"/>
      </c:lineChart>
      <c:catAx>
        <c:axId val="547679416"/>
        <c:scaling>
          <c:orientation val="minMax"/>
        </c:scaling>
        <c:delete val="0"/>
        <c:axPos val="b"/>
        <c:numFmt formatCode="General" sourceLinked="1"/>
        <c:majorTickMark val="none"/>
        <c:minorTickMark val="none"/>
        <c:tickLblPos val="low"/>
        <c:spPr>
          <a:ln w="12700">
            <a:solidFill>
              <a:srgbClr val="686767"/>
            </a:solidFill>
            <a:prstDash val="solid"/>
          </a:ln>
        </c:spPr>
        <c:txPr>
          <a:bodyPr rot="0" vert="horz"/>
          <a:lstStyle/>
          <a:p>
            <a:pPr>
              <a:defRPr/>
            </a:pPr>
            <a:endParaRPr lang="sk-SK"/>
          </a:p>
        </c:txPr>
        <c:crossAx val="547679808"/>
        <c:crosses val="autoZero"/>
        <c:auto val="1"/>
        <c:lblAlgn val="ctr"/>
        <c:lblOffset val="100"/>
        <c:tickLblSkip val="1"/>
        <c:tickMarkSkip val="1"/>
        <c:noMultiLvlLbl val="0"/>
      </c:catAx>
      <c:valAx>
        <c:axId val="547679808"/>
        <c:scaling>
          <c:orientation val="minMax"/>
          <c:max val="12"/>
          <c:min val="-12"/>
        </c:scaling>
        <c:delete val="0"/>
        <c:axPos val="l"/>
        <c:majorGridlines>
          <c:spPr>
            <a:ln w="3175">
              <a:solidFill>
                <a:srgbClr val="686767">
                  <a:alpha val="25000"/>
                </a:srgbClr>
              </a:solidFill>
              <a:prstDash val="sysDot"/>
            </a:ln>
          </c:spPr>
        </c:majorGridlines>
        <c:numFmt formatCode="#,##0" sourceLinked="0"/>
        <c:majorTickMark val="none"/>
        <c:minorTickMark val="none"/>
        <c:tickLblPos val="nextTo"/>
        <c:spPr>
          <a:ln w="3175">
            <a:noFill/>
            <a:prstDash val="sysDot"/>
          </a:ln>
        </c:spPr>
        <c:txPr>
          <a:bodyPr rot="0" vert="horz"/>
          <a:lstStyle/>
          <a:p>
            <a:pPr>
              <a:defRPr/>
            </a:pPr>
            <a:endParaRPr lang="sk-SK"/>
          </a:p>
        </c:txPr>
        <c:crossAx val="547679416"/>
        <c:crosses val="autoZero"/>
        <c:crossBetween val="between"/>
        <c:majorUnit val="3"/>
      </c:valAx>
      <c:spPr>
        <a:noFill/>
        <a:ln w="25400">
          <a:noFill/>
        </a:ln>
      </c:spPr>
    </c:plotArea>
    <c:legend>
      <c:legendPos val="r"/>
      <c:layout>
        <c:manualLayout>
          <c:xMode val="edge"/>
          <c:yMode val="edge"/>
          <c:x val="0.5424181754086429"/>
          <c:y val="0.11088711954118408"/>
          <c:w val="0.41495959705403052"/>
          <c:h val="0.85798565957392181"/>
        </c:manualLayout>
      </c:layout>
      <c:overlay val="0"/>
      <c:spPr>
        <a:no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000000000001465" l="0.70000000000000062" r="0.70000000000000062" t="0.75000000000001465" header="0.30000000000000032" footer="0.30000000000000032"/>
    <c:pageSetup paperSize="9"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87773402629306E-2"/>
          <c:y val="3.7486892271914186E-2"/>
          <c:w val="0.40921691871053223"/>
          <c:h val="0.86690931593510556"/>
        </c:manualLayout>
      </c:layout>
      <c:barChart>
        <c:barDir val="col"/>
        <c:grouping val="stacked"/>
        <c:varyColors val="0"/>
        <c:ser>
          <c:idx val="6"/>
          <c:order val="1"/>
          <c:tx>
            <c:strRef>
              <c:f>'Graf 12'!$I$26</c:f>
              <c:strCache>
                <c:ptCount val="1"/>
                <c:pt idx="0">
                  <c:v>Stock-flow adjustment (without GG cash and deposits)</c:v>
                </c:pt>
              </c:strCache>
            </c:strRef>
          </c:tx>
          <c:spPr>
            <a:solidFill>
              <a:sysClr val="window" lastClr="FFFFFF">
                <a:lumMod val="85000"/>
              </a:sysClr>
            </a:solidFill>
            <a:ln w="12700">
              <a:noFill/>
              <a:prstDash val="solid"/>
            </a:ln>
          </c:spPr>
          <c:invertIfNegative val="0"/>
          <c:cat>
            <c:strRef>
              <c:f>'Graf 12'!$H$21</c:f>
              <c:strCache>
                <c:ptCount val="1"/>
                <c:pt idx="0">
                  <c:v>2024-2026</c:v>
                </c:pt>
              </c:strCache>
            </c:strRef>
          </c:cat>
          <c:val>
            <c:numRef>
              <c:f>'Graf 12'!$H$26</c:f>
              <c:numCache>
                <c:formatCode>0.0</c:formatCode>
                <c:ptCount val="1"/>
                <c:pt idx="0">
                  <c:v>-0.12290391854986121</c:v>
                </c:pt>
              </c:numCache>
            </c:numRef>
          </c:val>
          <c:extLst>
            <c:ext xmlns:c16="http://schemas.microsoft.com/office/drawing/2014/chart" uri="{C3380CC4-5D6E-409C-BE32-E72D297353CC}">
              <c16:uniqueId val="{00000000-00D6-4820-A7F7-C55EA50F2932}"/>
            </c:ext>
          </c:extLst>
        </c:ser>
        <c:ser>
          <c:idx val="7"/>
          <c:order val="2"/>
          <c:tx>
            <c:strRef>
              <c:f>'Graf 12'!$I$27</c:f>
              <c:strCache>
                <c:ptCount val="1"/>
                <c:pt idx="0">
                  <c:v>Change in cash and deposits of GG</c:v>
                </c:pt>
              </c:strCache>
            </c:strRef>
          </c:tx>
          <c:spPr>
            <a:solidFill>
              <a:sysClr val="window" lastClr="FFFFFF">
                <a:lumMod val="75000"/>
              </a:sysClr>
            </a:solidFill>
            <a:ln w="28575">
              <a:noFill/>
            </a:ln>
          </c:spPr>
          <c:invertIfNegative val="0"/>
          <c:dLbls>
            <c:dLbl>
              <c:idx val="0"/>
              <c:layout>
                <c:manualLayout>
                  <c:x val="0.17320973827943278"/>
                  <c:y val="-5.7453625673323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D6-4820-A7F7-C55EA50F29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12'!$H$21</c:f>
              <c:strCache>
                <c:ptCount val="1"/>
                <c:pt idx="0">
                  <c:v>2024-2026</c:v>
                </c:pt>
              </c:strCache>
            </c:strRef>
          </c:cat>
          <c:val>
            <c:numRef>
              <c:f>'Graf 12'!$H$27</c:f>
              <c:numCache>
                <c:formatCode>0.0</c:formatCode>
                <c:ptCount val="1"/>
                <c:pt idx="0">
                  <c:v>-0.61867119791049174</c:v>
                </c:pt>
              </c:numCache>
            </c:numRef>
          </c:val>
          <c:extLst>
            <c:ext xmlns:c16="http://schemas.microsoft.com/office/drawing/2014/chart" uri="{C3380CC4-5D6E-409C-BE32-E72D297353CC}">
              <c16:uniqueId val="{00000002-00D6-4820-A7F7-C55EA50F2932}"/>
            </c:ext>
          </c:extLst>
        </c:ser>
        <c:ser>
          <c:idx val="3"/>
          <c:order val="3"/>
          <c:tx>
            <c:strRef>
              <c:f>'Graf 12'!$I$25</c:f>
              <c:strCache>
                <c:ptCount val="1"/>
                <c:pt idx="0">
                  <c:v>GDP deflator</c:v>
                </c:pt>
              </c:strCache>
            </c:strRef>
          </c:tx>
          <c:spPr>
            <a:solidFill>
              <a:srgbClr val="002060"/>
            </a:solidFill>
            <a:ln>
              <a:noFill/>
            </a:ln>
          </c:spPr>
          <c:invertIfNegative val="0"/>
          <c:dLbls>
            <c:spPr>
              <a:noFill/>
              <a:ln>
                <a:noFill/>
              </a:ln>
              <a:effectLst/>
            </c:spPr>
            <c:txPr>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12'!$H$21</c:f>
              <c:strCache>
                <c:ptCount val="1"/>
                <c:pt idx="0">
                  <c:v>2024-2026</c:v>
                </c:pt>
              </c:strCache>
            </c:strRef>
          </c:cat>
          <c:val>
            <c:numRef>
              <c:f>'Graf 12'!$H$25</c:f>
              <c:numCache>
                <c:formatCode>0.0</c:formatCode>
                <c:ptCount val="1"/>
                <c:pt idx="0">
                  <c:v>-6.256258361130854</c:v>
                </c:pt>
              </c:numCache>
            </c:numRef>
          </c:val>
          <c:extLst>
            <c:ext xmlns:c16="http://schemas.microsoft.com/office/drawing/2014/chart" uri="{C3380CC4-5D6E-409C-BE32-E72D297353CC}">
              <c16:uniqueId val="{00000003-00D6-4820-A7F7-C55EA50F2932}"/>
            </c:ext>
          </c:extLst>
        </c:ser>
        <c:ser>
          <c:idx val="1"/>
          <c:order val="4"/>
          <c:tx>
            <c:strRef>
              <c:f>'Graf 12'!$I$24</c:f>
              <c:strCache>
                <c:ptCount val="1"/>
                <c:pt idx="0">
                  <c:v>Real GDP growth</c:v>
                </c:pt>
              </c:strCache>
            </c:strRef>
          </c:tx>
          <c:spPr>
            <a:solidFill>
              <a:srgbClr val="2C9ADC">
                <a:lumMod val="75000"/>
              </a:srgbClr>
            </a:solidFill>
          </c:spPr>
          <c:invertIfNegative val="0"/>
          <c:dLbls>
            <c:spPr>
              <a:noFill/>
              <a:ln>
                <a:noFill/>
              </a:ln>
              <a:effectLst/>
            </c:spPr>
            <c:txPr>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12'!$H$21</c:f>
              <c:strCache>
                <c:ptCount val="1"/>
                <c:pt idx="0">
                  <c:v>2024-2026</c:v>
                </c:pt>
              </c:strCache>
            </c:strRef>
          </c:cat>
          <c:val>
            <c:numRef>
              <c:f>'Graf 12'!$H$24</c:f>
              <c:numCache>
                <c:formatCode>0.0</c:formatCode>
                <c:ptCount val="1"/>
                <c:pt idx="0">
                  <c:v>-3.5077675357625431</c:v>
                </c:pt>
              </c:numCache>
            </c:numRef>
          </c:val>
          <c:extLst>
            <c:ext xmlns:c16="http://schemas.microsoft.com/office/drawing/2014/chart" uri="{C3380CC4-5D6E-409C-BE32-E72D297353CC}">
              <c16:uniqueId val="{00000004-00D6-4820-A7F7-C55EA50F2932}"/>
            </c:ext>
          </c:extLst>
        </c:ser>
        <c:ser>
          <c:idx val="4"/>
          <c:order val="5"/>
          <c:tx>
            <c:strRef>
              <c:f>'Graf 12'!$I$23</c:f>
              <c:strCache>
                <c:ptCount val="1"/>
                <c:pt idx="0">
                  <c:v>Interest</c:v>
                </c:pt>
              </c:strCache>
            </c:strRef>
          </c:tx>
          <c:spPr>
            <a:solidFill>
              <a:srgbClr val="2C9ADC">
                <a:lumMod val="40000"/>
                <a:lumOff val="60000"/>
              </a:srgb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12'!$H$21</c:f>
              <c:strCache>
                <c:ptCount val="1"/>
                <c:pt idx="0">
                  <c:v>2024-2026</c:v>
                </c:pt>
              </c:strCache>
            </c:strRef>
          </c:cat>
          <c:val>
            <c:numRef>
              <c:f>'Graf 12'!$H$23</c:f>
              <c:numCache>
                <c:formatCode>0.0</c:formatCode>
                <c:ptCount val="1"/>
                <c:pt idx="0">
                  <c:v>4.0243476454054719</c:v>
                </c:pt>
              </c:numCache>
            </c:numRef>
          </c:val>
          <c:extLst>
            <c:ext xmlns:c16="http://schemas.microsoft.com/office/drawing/2014/chart" uri="{C3380CC4-5D6E-409C-BE32-E72D297353CC}">
              <c16:uniqueId val="{00000005-00D6-4820-A7F7-C55EA50F2932}"/>
            </c:ext>
          </c:extLst>
        </c:ser>
        <c:ser>
          <c:idx val="2"/>
          <c:order val="6"/>
          <c:tx>
            <c:strRef>
              <c:f>'Graf 12'!$I$22</c:f>
              <c:strCache>
                <c:ptCount val="1"/>
                <c:pt idx="0">
                  <c:v>Primary balance</c:v>
                </c:pt>
              </c:strCache>
            </c:strRef>
          </c:tx>
          <c:spPr>
            <a:solidFill>
              <a:srgbClr val="369ADC"/>
            </a:solidFill>
            <a:ln w="12700">
              <a:noFill/>
              <a:prstDash val="solid"/>
            </a:ln>
          </c:spPr>
          <c:invertIfNegative val="0"/>
          <c:dLbls>
            <c:dLbl>
              <c:idx val="3"/>
              <c:layout>
                <c:manualLayout>
                  <c:x val="-7.2534594230884681E-17"/>
                  <c:y val="-6.0308339103366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D6-4820-A7F7-C55EA50F2932}"/>
                </c:ext>
              </c:extLst>
            </c:dLbl>
            <c:dLbl>
              <c:idx val="4"/>
              <c:layout>
                <c:manualLayout>
                  <c:x val="-1.4506918846176936E-16"/>
                  <c:y val="-5.1692862088599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D6-4820-A7F7-C55EA50F293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12'!$H$21</c:f>
              <c:strCache>
                <c:ptCount val="1"/>
                <c:pt idx="0">
                  <c:v>2024-2026</c:v>
                </c:pt>
              </c:strCache>
            </c:strRef>
          </c:cat>
          <c:val>
            <c:numRef>
              <c:f>'Graf 12'!$H$22</c:f>
              <c:numCache>
                <c:formatCode>0.0</c:formatCode>
                <c:ptCount val="1"/>
                <c:pt idx="0">
                  <c:v>5.275652354594528</c:v>
                </c:pt>
              </c:numCache>
            </c:numRef>
          </c:val>
          <c:extLst>
            <c:ext xmlns:c16="http://schemas.microsoft.com/office/drawing/2014/chart" uri="{C3380CC4-5D6E-409C-BE32-E72D297353CC}">
              <c16:uniqueId val="{00000008-00D6-4820-A7F7-C55EA50F2932}"/>
            </c:ext>
          </c:extLst>
        </c:ser>
        <c:dLbls>
          <c:showLegendKey val="0"/>
          <c:showVal val="0"/>
          <c:showCatName val="0"/>
          <c:showSerName val="0"/>
          <c:showPercent val="0"/>
          <c:showBubbleSize val="0"/>
        </c:dLbls>
        <c:gapWidth val="150"/>
        <c:overlap val="100"/>
        <c:axId val="547679416"/>
        <c:axId val="547679808"/>
        <c:extLst/>
      </c:barChart>
      <c:lineChart>
        <c:grouping val="standard"/>
        <c:varyColors val="0"/>
        <c:ser>
          <c:idx val="0"/>
          <c:order val="0"/>
          <c:tx>
            <c:strRef>
              <c:f>'Graf 12'!$I$28</c:f>
              <c:strCache>
                <c:ptCount val="1"/>
                <c:pt idx="0">
                  <c:v>Y-o-y change of gross debt</c:v>
                </c:pt>
              </c:strCache>
            </c:strRef>
          </c:tx>
          <c:spPr>
            <a:ln w="25400" cmpd="sng">
              <a:noFill/>
              <a:prstDash val="solid"/>
            </a:ln>
          </c:spPr>
          <c:marker>
            <c:symbol val="circle"/>
            <c:size val="7"/>
            <c:spPr>
              <a:solidFill>
                <a:sysClr val="windowText" lastClr="000000"/>
              </a:solidFill>
              <a:ln w="9525">
                <a:solidFill>
                  <a:sysClr val="window" lastClr="FFFFFF"/>
                </a:solidFill>
              </a:ln>
            </c:spPr>
          </c:marker>
          <c:dPt>
            <c:idx val="11"/>
            <c:bubble3D val="0"/>
            <c:extLst>
              <c:ext xmlns:c16="http://schemas.microsoft.com/office/drawing/2014/chart" uri="{C3380CC4-5D6E-409C-BE32-E72D297353CC}">
                <c16:uniqueId val="{00000009-00D6-4820-A7F7-C55EA50F2932}"/>
              </c:ext>
            </c:extLst>
          </c:dPt>
          <c:dLbls>
            <c:dLbl>
              <c:idx val="0"/>
              <c:layout>
                <c:manualLayout>
                  <c:x val="-0.15474181154051583"/>
                  <c:y val="7.273581211134960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D6-4820-A7F7-C55EA50F2932}"/>
                </c:ext>
              </c:extLst>
            </c:dLbl>
            <c:numFmt formatCode="#,##0.0" sourceLinked="0"/>
            <c:spPr>
              <a:solidFill>
                <a:sysClr val="window" lastClr="FFFFFF"/>
              </a:solidFill>
              <a:ln>
                <a:solidFill>
                  <a:sysClr val="windowText" lastClr="000000"/>
                </a:solid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[67]Dashboard!$Y$34</c:f>
              <c:strCache>
                <c:ptCount val="1"/>
                <c:pt idx="0">
                  <c:v>2024-2026</c:v>
                </c:pt>
              </c:strCache>
            </c:strRef>
          </c:cat>
          <c:val>
            <c:numRef>
              <c:f>'Graf 12'!$H$28</c:f>
              <c:numCache>
                <c:formatCode>0.0</c:formatCode>
                <c:ptCount val="1"/>
                <c:pt idx="0">
                  <c:v>-1.2056010133537498</c:v>
                </c:pt>
              </c:numCache>
            </c:numRef>
          </c:val>
          <c:smooth val="0"/>
          <c:extLst>
            <c:ext xmlns:c16="http://schemas.microsoft.com/office/drawing/2014/chart" uri="{C3380CC4-5D6E-409C-BE32-E72D297353CC}">
              <c16:uniqueId val="{0000000B-00D6-4820-A7F7-C55EA50F2932}"/>
            </c:ext>
          </c:extLst>
        </c:ser>
        <c:dLbls>
          <c:showLegendKey val="0"/>
          <c:showVal val="0"/>
          <c:showCatName val="0"/>
          <c:showSerName val="0"/>
          <c:showPercent val="0"/>
          <c:showBubbleSize val="0"/>
        </c:dLbls>
        <c:marker val="1"/>
        <c:smooth val="0"/>
        <c:axId val="547679416"/>
        <c:axId val="547679808"/>
      </c:lineChart>
      <c:catAx>
        <c:axId val="547679416"/>
        <c:scaling>
          <c:orientation val="minMax"/>
        </c:scaling>
        <c:delete val="0"/>
        <c:axPos val="b"/>
        <c:numFmt formatCode="General" sourceLinked="1"/>
        <c:majorTickMark val="none"/>
        <c:minorTickMark val="none"/>
        <c:tickLblPos val="low"/>
        <c:spPr>
          <a:ln w="12700">
            <a:solidFill>
              <a:srgbClr val="686767"/>
            </a:solidFill>
            <a:prstDash val="solid"/>
          </a:ln>
        </c:spPr>
        <c:txPr>
          <a:bodyPr rot="0" vert="horz"/>
          <a:lstStyle/>
          <a:p>
            <a:pPr>
              <a:defRPr/>
            </a:pPr>
            <a:endParaRPr lang="sk-SK"/>
          </a:p>
        </c:txPr>
        <c:crossAx val="547679808"/>
        <c:crosses val="autoZero"/>
        <c:auto val="1"/>
        <c:lblAlgn val="ctr"/>
        <c:lblOffset val="100"/>
        <c:tickLblSkip val="1"/>
        <c:tickMarkSkip val="1"/>
        <c:noMultiLvlLbl val="0"/>
      </c:catAx>
      <c:valAx>
        <c:axId val="547679808"/>
        <c:scaling>
          <c:orientation val="minMax"/>
          <c:max val="12"/>
          <c:min val="-12"/>
        </c:scaling>
        <c:delete val="0"/>
        <c:axPos val="l"/>
        <c:majorGridlines>
          <c:spPr>
            <a:ln w="3175">
              <a:solidFill>
                <a:srgbClr val="686767">
                  <a:alpha val="25000"/>
                </a:srgbClr>
              </a:solidFill>
              <a:prstDash val="sysDot"/>
            </a:ln>
          </c:spPr>
        </c:majorGridlines>
        <c:numFmt formatCode="#,##0" sourceLinked="0"/>
        <c:majorTickMark val="none"/>
        <c:minorTickMark val="none"/>
        <c:tickLblPos val="nextTo"/>
        <c:spPr>
          <a:ln w="3175">
            <a:noFill/>
            <a:prstDash val="sysDot"/>
          </a:ln>
        </c:spPr>
        <c:txPr>
          <a:bodyPr rot="0" vert="horz"/>
          <a:lstStyle/>
          <a:p>
            <a:pPr>
              <a:defRPr/>
            </a:pPr>
            <a:endParaRPr lang="sk-SK"/>
          </a:p>
        </c:txPr>
        <c:crossAx val="547679416"/>
        <c:crosses val="autoZero"/>
        <c:crossBetween val="between"/>
        <c:majorUnit val="3"/>
      </c:valAx>
      <c:spPr>
        <a:noFill/>
        <a:ln w="25400">
          <a:noFill/>
        </a:ln>
      </c:spPr>
    </c:plotArea>
    <c:legend>
      <c:legendPos val="r"/>
      <c:layout>
        <c:manualLayout>
          <c:xMode val="edge"/>
          <c:yMode val="edge"/>
          <c:x val="0.5424181754086429"/>
          <c:y val="2.9254378916921103E-2"/>
          <c:w val="0.41495959705403052"/>
          <c:h val="0.95594472119556484"/>
        </c:manualLayout>
      </c:layout>
      <c:overlay val="0"/>
      <c:spPr>
        <a:no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000000000001465" l="0.70000000000000062" r="0.70000000000000062" t="0.75000000000001465" header="0.30000000000000032" footer="0.30000000000000032"/>
    <c:pageSetup paperSize="9" orientation="portrait"/>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B3B8805D-2C94-4DDD-B492-BC4B627D82EA}">
          <cx:dataPt idx="0">
            <cx:spPr>
              <a:solidFill>
                <a:srgbClr val="00B050"/>
              </a:solidFill>
            </cx:spPr>
          </cx:dataPt>
          <cx:dataPt idx="1">
            <cx:spPr>
              <a:solidFill>
                <a:srgbClr val="2C9ADC"/>
              </a:solidFill>
            </cx:spPr>
          </cx:dataPt>
          <cx:dataPt idx="2">
            <cx:spPr>
              <a:solidFill>
                <a:srgbClr val="FF5050"/>
              </a:solidFill>
            </cx:spPr>
          </cx:dataPt>
          <cx:dataPt idx="3">
            <cx:spPr>
              <a:solidFill>
                <a:schemeClr val="tx1">
                  <a:lumMod val="50000"/>
                  <a:lumOff val="50000"/>
                </a:schemeClr>
              </a:solidFill>
            </cx:spPr>
          </cx:dataPt>
          <cx:dataPt idx="4">
            <cx:spPr>
              <a:solidFill>
                <a:srgbClr val="6600FF"/>
              </a:solidFill>
            </cx:spPr>
          </cx:dataPt>
          <cx:dataPt idx="5">
            <cx:spPr>
              <a:solidFill>
                <a:schemeClr val="tx1"/>
              </a:solidFill>
            </cx:spPr>
          </cx:dataPt>
          <cx:dataPt idx="6">
            <cx:spPr>
              <a:solidFill>
                <a:srgbClr val="FFC000"/>
              </a:solidFill>
            </cx:spPr>
          </cx:dataPt>
          <cx:dataLabels>
            <cx:txPr>
              <a:bodyPr spcFirstLastPara="1" vertOverflow="ellipsis" wrap="square" lIns="0" tIns="0" rIns="0" bIns="0" anchor="ctr" anchorCtr="1">
                <a:spAutoFit/>
              </a:bodyPr>
              <a:lstStyle/>
              <a:p>
                <a:pPr>
                  <a:defRPr lang="sk-SK" sz="800" b="1" i="0" u="none" strike="noStrike" kern="1200" spc="0" baseline="0">
                    <a:solidFill>
                      <a:sysClr val="window" lastClr="FFFFFF"/>
                    </a:solidFill>
                    <a:latin typeface="Arial Narrow" panose="020B0606020202030204" pitchFamily="34" charset="0"/>
                    <a:ea typeface="Arial Narrow" panose="020B0606020202030204" pitchFamily="34" charset="0"/>
                    <a:cs typeface="Arial Narrow" panose="020B0606020202030204" pitchFamily="34" charset="0"/>
                  </a:defRPr>
                </a:pPr>
                <a:endParaRPr lang="sk-SK" sz="800">
                  <a:latin typeface="Arial Narrow" panose="020B0606020202030204" pitchFamily="34" charset="0"/>
                </a:endParaRPr>
              </a:p>
            </cx:txPr>
            <cx:visibility seriesName="0" categoryName="1" value="0"/>
            <cx:separator>, </cx:separator>
            <cx:dataLabel idx="0">
              <cx:visibility seriesName="0" categoryName="1" value="1"/>
              <cx:separator>
</cx:separator>
            </cx:dataLabel>
            <cx:dataLabel idx="1">
              <cx:visibility seriesName="0" categoryName="1" value="1"/>
              <cx:separator>
</cx:separator>
            </cx:dataLabel>
            <cx:dataLabel idx="2">
              <cx:visibility seriesName="0" categoryName="1" value="1"/>
              <cx:separator>
</cx:separator>
            </cx:dataLabel>
            <cx:dataLabel idx="3">
              <cx:visibility seriesName="0" categoryName="1" value="1"/>
              <cx:separator>
</cx:separator>
            </cx:dataLabel>
            <cx:dataLabel idx="4">
              <cx:visibility seriesName="0" categoryName="1" value="1"/>
              <cx:separator>
</cx:separator>
            </cx:dataLabel>
            <cx:dataLabel idx="5">
              <cx:visibility seriesName="0" categoryName="1" value="1"/>
              <cx:separator>
</cx:separator>
            </cx:dataLabel>
            <cx:dataLabel idx="6" pos="ctr">
              <cx:txPr>
                <a:bodyPr spcFirstLastPara="1" vertOverflow="ellipsis" wrap="square" lIns="0" tIns="0" rIns="0" bIns="0" anchor="ctr" anchorCtr="1">
                  <a:spAutoFit/>
                </a:bodyPr>
                <a:lstStyle/>
                <a:p>
                  <a:pPr>
                    <a:defRPr sz="700"/>
                  </a:pPr>
                  <a:r>
                    <a:rPr lang="sk-SK" sz="800">
                      <a:latin typeface="Arial Narrow" panose="020B0606020202030204" pitchFamily="34" charset="0"/>
                    </a:rPr>
                    <a:t>Zníženie neefektívnych dotácii
344</a:t>
                  </a:r>
                </a:p>
              </cx:txPr>
              <cx:visibility seriesName="0" categoryName="1" value="1"/>
              <cx:separator>
</cx:separator>
            </cx:dataLabel>
          </cx:dataLabels>
          <cx:dataId val="0"/>
          <cx:layoutPr>
            <cx:parentLabelLayout val="banner"/>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treemap" uniqueId="{B3B8805D-2C94-4DDD-B492-BC4B627D82EA}">
          <cx:dataPt idx="0">
            <cx:spPr>
              <a:solidFill>
                <a:srgbClr val="00B050"/>
              </a:solidFill>
            </cx:spPr>
          </cx:dataPt>
          <cx:dataPt idx="1">
            <cx:spPr>
              <a:solidFill>
                <a:srgbClr val="2C9ADC"/>
              </a:solidFill>
            </cx:spPr>
          </cx:dataPt>
          <cx:dataPt idx="2">
            <cx:spPr>
              <a:solidFill>
                <a:srgbClr val="FF5050"/>
              </a:solidFill>
            </cx:spPr>
          </cx:dataPt>
          <cx:dataPt idx="3">
            <cx:spPr>
              <a:solidFill>
                <a:schemeClr val="tx1">
                  <a:lumMod val="50000"/>
                  <a:lumOff val="50000"/>
                </a:schemeClr>
              </a:solidFill>
            </cx:spPr>
          </cx:dataPt>
          <cx:dataPt idx="4">
            <cx:spPr>
              <a:solidFill>
                <a:srgbClr val="6600FF"/>
              </a:solidFill>
            </cx:spPr>
          </cx:dataPt>
          <cx:dataPt idx="5">
            <cx:spPr>
              <a:solidFill>
                <a:schemeClr val="tx1"/>
              </a:solidFill>
            </cx:spPr>
          </cx:dataPt>
          <cx:dataPt idx="6">
            <cx:spPr>
              <a:solidFill>
                <a:srgbClr val="FFC000"/>
              </a:solidFill>
            </cx:spPr>
          </cx:dataPt>
          <cx:dataLabels>
            <cx:txPr>
              <a:bodyPr spcFirstLastPara="1" vertOverflow="ellipsis" wrap="square" lIns="0" tIns="0" rIns="0" bIns="0" anchor="ctr" anchorCtr="1">
                <a:spAutoFit/>
              </a:bodyPr>
              <a:lstStyle/>
              <a:p>
                <a:pPr>
                  <a:defRPr lang="sk-SK" sz="800" b="1" i="0" u="none" strike="noStrike" kern="1200" spc="0" baseline="0">
                    <a:solidFill>
                      <a:sysClr val="window" lastClr="FFFFFF"/>
                    </a:solidFill>
                    <a:latin typeface="Arial Narrow" panose="020B0606020202030204" pitchFamily="34" charset="0"/>
                    <a:ea typeface="Arial Narrow" panose="020B0606020202030204" pitchFamily="34" charset="0"/>
                    <a:cs typeface="Arial Narrow" panose="020B0606020202030204" pitchFamily="34" charset="0"/>
                  </a:defRPr>
                </a:pPr>
                <a:endParaRPr lang="sk-SK" sz="800">
                  <a:latin typeface="Arial Narrow" panose="020B0606020202030204" pitchFamily="34" charset="0"/>
                </a:endParaRPr>
              </a:p>
            </cx:txPr>
            <cx:visibility seriesName="0" categoryName="1" value="0"/>
            <cx:separator>
</cx:separator>
            <cx:dataLabel idx="0">
              <cx:visibility seriesName="0" categoryName="1" value="1"/>
              <cx:separator>
</cx:separator>
            </cx:dataLabel>
            <cx:dataLabel idx="1">
              <cx:visibility seriesName="0" categoryName="1" value="1"/>
              <cx:separator>
</cx:separator>
            </cx:dataLabel>
            <cx:dataLabel idx="2">
              <cx:visibility seriesName="0" categoryName="1" value="1"/>
              <cx:separator>
</cx:separator>
            </cx:dataLabel>
            <cx:dataLabel idx="3">
              <cx:visibility seriesName="0" categoryName="1" value="1"/>
              <cx:separator>
</cx:separator>
            </cx:dataLabel>
            <cx:dataLabel idx="4">
              <cx:txPr>
                <a:bodyPr spcFirstLastPara="1" vertOverflow="ellipsis" wrap="square" lIns="0" tIns="0" rIns="0" bIns="0" anchor="ctr" anchorCtr="1">
                  <a:spAutoFit/>
                </a:bodyPr>
                <a:lstStyle/>
                <a:p>
                  <a:pPr>
                    <a:defRPr sz="700"/>
                  </a:pPr>
                  <a:r>
                    <a:rPr lang="sk-SK" sz="800">
                      <a:latin typeface="Arial Narrow" panose="020B0606020202030204" pitchFamily="34" charset="0"/>
                    </a:rPr>
                    <a:t>Streamlining operatins
211</a:t>
                  </a:r>
                </a:p>
              </cx:txPr>
              <cx:visibility seriesName="0" categoryName="1" value="1"/>
              <cx:separator>
</cx:separator>
            </cx:dataLabel>
            <cx:dataLabel idx="5">
              <cx:visibility seriesName="0" categoryName="1" value="1"/>
              <cx:separator>
</cx:separator>
            </cx:dataLabel>
            <cx:dataLabel idx="6" pos="ctr">
              <cx:txPr>
                <a:bodyPr spcFirstLastPara="1" vertOverflow="ellipsis" wrap="square" lIns="0" tIns="0" rIns="0" bIns="0" anchor="ctr" anchorCtr="1">
                  <a:spAutoFit/>
                </a:bodyPr>
                <a:lstStyle/>
                <a:p>
                  <a:pPr>
                    <a:defRPr sz="700"/>
                  </a:pPr>
                  <a:r>
                    <a:rPr lang="sk-SK" sz="800">
                      <a:latin typeface="Arial Narrow" panose="020B0606020202030204" pitchFamily="34" charset="0"/>
                    </a:rPr>
                    <a:t>Reduction of inefficient subsidies
344</a:t>
                  </a:r>
                </a:p>
              </cx:txPr>
              <cx:visibility seriesName="0" categoryName="1" value="1"/>
              <cx:separator>
</cx:separator>
            </cx:dataLabel>
          </cx:dataLabels>
          <cx:dataId val="0"/>
          <cx:layoutPr>
            <cx:parentLabelLayout val="banner"/>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6">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1">
        <a:lumMod val="65000"/>
        <a:lumOff val="35000"/>
      </a:schemeClr>
    </cs:fontRef>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bg1"/>
    </cs:fontRef>
    <cs:defRPr sz="1000" b="1" i="0" u="none" strike="noStrike" kern="1200" spc="0" baseline="0"/>
    <cs:bodyPr lIns="38100" tIns="19050" rIns="38100" bIns="19050">
      <a:spAutoFit/>
    </cs:bodyPr>
  </cs:dataLabel>
  <cs:dataLabelCallout>
    <cs:lnRef idx="0">
      <cs:styleClr val="auto"/>
    </cs:lnRef>
    <cs:fillRef idx="0"/>
    <cs:effectRef idx="0"/>
    <cs:fontRef idx="minor">
      <a:schemeClr val="tx1">
        <a:lumMod val="65000"/>
        <a:lumOff val="35000"/>
      </a:schemeClr>
    </cs:fontRef>
    <cs:spPr>
      <a:solidFill>
        <a:schemeClr val="lt1"/>
      </a:solidFill>
      <a:ln>
        <a:solidFill>
          <a:schemeClr val="ph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bg1"/>
        </a:solidFill>
      </a:ln>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416">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1">
        <a:lumMod val="65000"/>
        <a:lumOff val="35000"/>
      </a:schemeClr>
    </cs:fontRef>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bg1"/>
    </cs:fontRef>
    <cs:defRPr sz="1000" b="1" i="0" u="none" strike="noStrike" kern="1200" spc="0" baseline="0"/>
    <cs:bodyPr lIns="38100" tIns="19050" rIns="38100" bIns="19050">
      <a:spAutoFit/>
    </cs:bodyPr>
  </cs:dataLabel>
  <cs:dataLabelCallout>
    <cs:lnRef idx="0">
      <cs:styleClr val="auto"/>
    </cs:lnRef>
    <cs:fillRef idx="0"/>
    <cs:effectRef idx="0"/>
    <cs:fontRef idx="minor">
      <a:schemeClr val="tx1">
        <a:lumMod val="65000"/>
        <a:lumOff val="35000"/>
      </a:schemeClr>
    </cs:fontRef>
    <cs:spPr>
      <a:solidFill>
        <a:schemeClr val="lt1"/>
      </a:solidFill>
      <a:ln>
        <a:solidFill>
          <a:schemeClr val="ph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bg1"/>
        </a:solidFill>
      </a:ln>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Contents!A1"/><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Contents!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Contents!A1"/><Relationship Id="rId5" Type="http://schemas.openxmlformats.org/officeDocument/2006/relationships/chart" Target="../charts/chart12.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hyperlink" Target="#Contents!A1"/><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hyperlink" Target="#Contents!A1"/><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1282700</xdr:colOff>
      <xdr:row>1</xdr:row>
      <xdr:rowOff>161925</xdr:rowOff>
    </xdr:to>
    <xdr:sp macro="" textlink="">
      <xdr:nvSpPr>
        <xdr:cNvPr id="4" name="Rounded Rectangle 5_ContentButton">
          <a:hlinkClick xmlns:r="http://schemas.openxmlformats.org/officeDocument/2006/relationships" r:id="rId1"/>
        </xdr:cNvPr>
        <xdr:cNvSpPr/>
      </xdr:nvSpPr>
      <xdr:spPr>
        <a:xfrm>
          <a:off x="0" y="19050"/>
          <a:ext cx="1282700" cy="342900"/>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800" b="1">
              <a:solidFill>
                <a:srgbClr val="FFFFFF"/>
              </a:solidFill>
              <a:latin typeface="Arial Narrow" panose="020B0606020202030204" pitchFamily="34" charset="0"/>
            </a:rPr>
            <a:t>Obsah /</a:t>
          </a:r>
          <a:r>
            <a:rPr lang="sk-SK" sz="800" b="1" baseline="0">
              <a:solidFill>
                <a:srgbClr val="FFFFFF"/>
              </a:solidFill>
              <a:latin typeface="Arial Narrow" panose="020B0606020202030204" pitchFamily="34" charset="0"/>
            </a:rPr>
            <a:t> </a:t>
          </a:r>
          <a:r>
            <a:rPr lang="sk-SK" sz="800" b="1">
              <a:solidFill>
                <a:srgbClr val="FFFFFF"/>
              </a:solidFill>
              <a:latin typeface="Arial Narrow" panose="020B0606020202030204" pitchFamily="34" charset="0"/>
            </a:rPr>
            <a:t>Table of Content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1412</xdr:colOff>
      <xdr:row>0</xdr:row>
      <xdr:rowOff>0</xdr:rowOff>
    </xdr:from>
    <xdr:to>
      <xdr:col>0</xdr:col>
      <xdr:colOff>1598084</xdr:colOff>
      <xdr:row>2</xdr:row>
      <xdr:rowOff>148166</xdr:rowOff>
    </xdr:to>
    <xdr:sp macro="" textlink="">
      <xdr:nvSpPr>
        <xdr:cNvPr id="7" name="Zaoblený obdĺžnik 6">
          <a:hlinkClick xmlns:r="http://schemas.openxmlformats.org/officeDocument/2006/relationships" r:id="rId1"/>
        </xdr:cNvPr>
        <xdr:cNvSpPr/>
      </xdr:nvSpPr>
      <xdr:spPr>
        <a:xfrm>
          <a:off x="1412" y="0"/>
          <a:ext cx="1596672" cy="486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k-SK" sz="1100" b="1">
              <a:solidFill>
                <a:schemeClr val="lt1"/>
              </a:solidFill>
              <a:effectLst/>
              <a:latin typeface="+mn-lt"/>
              <a:ea typeface="+mn-ea"/>
              <a:cs typeface="+mn-cs"/>
            </a:rPr>
            <a:t>Obsah /</a:t>
          </a:r>
          <a:br>
            <a:rPr lang="sk-SK" sz="1100" b="1">
              <a:solidFill>
                <a:schemeClr val="lt1"/>
              </a:solidFill>
              <a:effectLst/>
              <a:latin typeface="+mn-lt"/>
              <a:ea typeface="+mn-ea"/>
              <a:cs typeface="+mn-cs"/>
            </a:rPr>
          </a:br>
          <a:r>
            <a:rPr lang="sk-SK" sz="1100" b="1">
              <a:solidFill>
                <a:schemeClr val="lt1"/>
              </a:solidFill>
              <a:effectLst/>
              <a:latin typeface="+mn-lt"/>
              <a:ea typeface="+mn-ea"/>
              <a:cs typeface="+mn-cs"/>
            </a:rPr>
            <a:t>Table of Content</a:t>
          </a:r>
          <a:endParaRPr lang="sk-SK" sz="1000">
            <a:effectLst/>
          </a:endParaRPr>
        </a:p>
      </xdr:txBody>
    </xdr:sp>
    <xdr:clientData/>
  </xdr:twoCellAnchor>
  <xdr:twoCellAnchor>
    <xdr:from>
      <xdr:col>10</xdr:col>
      <xdr:colOff>22225</xdr:colOff>
      <xdr:row>3</xdr:row>
      <xdr:rowOff>63500</xdr:rowOff>
    </xdr:from>
    <xdr:to>
      <xdr:col>15</xdr:col>
      <xdr:colOff>311151</xdr:colOff>
      <xdr:row>19</xdr:row>
      <xdr:rowOff>146050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1066800</xdr:colOff>
      <xdr:row>5</xdr:row>
      <xdr:rowOff>11430</xdr:rowOff>
    </xdr:from>
    <xdr:to>
      <xdr:col>8</xdr:col>
      <xdr:colOff>45720</xdr:colOff>
      <xdr:row>18</xdr:row>
      <xdr:rowOff>38100</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868680</xdr:colOff>
      <xdr:row>31</xdr:row>
      <xdr:rowOff>114300</xdr:rowOff>
    </xdr:from>
    <xdr:to>
      <xdr:col>7</xdr:col>
      <xdr:colOff>365760</xdr:colOff>
      <xdr:row>43</xdr:row>
      <xdr:rowOff>95250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318910</xdr:colOff>
      <xdr:row>31</xdr:row>
      <xdr:rowOff>68440</xdr:rowOff>
    </xdr:from>
    <xdr:to>
      <xdr:col>16</xdr:col>
      <xdr:colOff>15875</xdr:colOff>
      <xdr:row>47</xdr:row>
      <xdr:rowOff>83256</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339725</xdr:colOff>
      <xdr:row>2</xdr:row>
      <xdr:rowOff>152400</xdr:rowOff>
    </xdr:to>
    <xdr:sp macro="" textlink="">
      <xdr:nvSpPr>
        <xdr:cNvPr id="5" name="Rounded Rectangle 5_ContentButton">
          <a:hlinkClick xmlns:r="http://schemas.openxmlformats.org/officeDocument/2006/relationships" r:id="rId1"/>
        </xdr:cNvPr>
        <xdr:cNvSpPr/>
      </xdr:nvSpPr>
      <xdr:spPr>
        <a:xfrm>
          <a:off x="0" y="0"/>
          <a:ext cx="1282700" cy="514350"/>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161925</xdr:colOff>
      <xdr:row>2</xdr:row>
      <xdr:rowOff>128588</xdr:rowOff>
    </xdr:to>
    <xdr:sp macro="" textlink="">
      <xdr:nvSpPr>
        <xdr:cNvPr id="2" name="Rounded Rectangle 5_ContentButton">
          <a:hlinkClick xmlns:r="http://schemas.openxmlformats.org/officeDocument/2006/relationships" r:id="rId1"/>
        </xdr:cNvPr>
        <xdr:cNvSpPr/>
      </xdr:nvSpPr>
      <xdr:spPr>
        <a:xfrm>
          <a:off x="0" y="0"/>
          <a:ext cx="1381125" cy="5095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3</xdr:col>
      <xdr:colOff>53339</xdr:colOff>
      <xdr:row>7</xdr:row>
      <xdr:rowOff>87630</xdr:rowOff>
    </xdr:from>
    <xdr:to>
      <xdr:col>9</xdr:col>
      <xdr:colOff>504824</xdr:colOff>
      <xdr:row>17</xdr:row>
      <xdr:rowOff>114300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598170</xdr:colOff>
      <xdr:row>7</xdr:row>
      <xdr:rowOff>55245</xdr:rowOff>
    </xdr:from>
    <xdr:to>
      <xdr:col>17</xdr:col>
      <xdr:colOff>551864</xdr:colOff>
      <xdr:row>17</xdr:row>
      <xdr:rowOff>180975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1313</xdr:colOff>
      <xdr:row>24</xdr:row>
      <xdr:rowOff>91966</xdr:rowOff>
    </xdr:from>
    <xdr:to>
      <xdr:col>9</xdr:col>
      <xdr:colOff>581025</xdr:colOff>
      <xdr:row>34</xdr:row>
      <xdr:rowOff>152400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28575</xdr:colOff>
      <xdr:row>24</xdr:row>
      <xdr:rowOff>57150</xdr:rowOff>
    </xdr:from>
    <xdr:to>
      <xdr:col>17</xdr:col>
      <xdr:colOff>591869</xdr:colOff>
      <xdr:row>34</xdr:row>
      <xdr:rowOff>182880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0.17925</cdr:x>
      <cdr:y>0.68489</cdr:y>
    </cdr:from>
    <cdr:to>
      <cdr:x>0.30384</cdr:x>
      <cdr:y>0.83615</cdr:y>
    </cdr:to>
    <cdr:sp macro="" textlink="">
      <cdr:nvSpPr>
        <cdr:cNvPr id="2" name="Textové pole 1"/>
        <cdr:cNvSpPr txBox="1"/>
      </cdr:nvSpPr>
      <cdr:spPr>
        <a:xfrm xmlns:a="http://schemas.openxmlformats.org/drawingml/2006/main">
          <a:off x="647334" y="1247986"/>
          <a:ext cx="449924" cy="275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800">
              <a:solidFill>
                <a:schemeClr val="bg1"/>
              </a:solidFill>
              <a:latin typeface="Arial Narrow" panose="020B0606020202030204" pitchFamily="34" charset="0"/>
            </a:rPr>
            <a:t>2,7 mld.</a:t>
          </a:r>
        </a:p>
      </cdr:txBody>
    </cdr:sp>
  </cdr:relSizeAnchor>
  <cdr:relSizeAnchor xmlns:cdr="http://schemas.openxmlformats.org/drawingml/2006/chartDrawing">
    <cdr:from>
      <cdr:x>0.47888</cdr:x>
      <cdr:y>0.63053</cdr:y>
    </cdr:from>
    <cdr:to>
      <cdr:x>0.60347</cdr:x>
      <cdr:y>0.78179</cdr:y>
    </cdr:to>
    <cdr:sp macro="" textlink="">
      <cdr:nvSpPr>
        <cdr:cNvPr id="4" name="Textové pole 1"/>
        <cdr:cNvSpPr txBox="1"/>
      </cdr:nvSpPr>
      <cdr:spPr>
        <a:xfrm xmlns:a="http://schemas.openxmlformats.org/drawingml/2006/main">
          <a:off x="1729374" y="1148926"/>
          <a:ext cx="449924" cy="275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800">
              <a:solidFill>
                <a:schemeClr val="bg1"/>
              </a:solidFill>
              <a:latin typeface="Arial Narrow" panose="020B0606020202030204" pitchFamily="34" charset="0"/>
            </a:rPr>
            <a:t>6,0 mld.</a:t>
          </a:r>
        </a:p>
      </cdr:txBody>
    </cdr:sp>
  </cdr:relSizeAnchor>
  <cdr:relSizeAnchor xmlns:cdr="http://schemas.openxmlformats.org/drawingml/2006/chartDrawing">
    <cdr:from>
      <cdr:x>0.77368</cdr:x>
      <cdr:y>0.57988</cdr:y>
    </cdr:from>
    <cdr:to>
      <cdr:x>0.89827</cdr:x>
      <cdr:y>0.73114</cdr:y>
    </cdr:to>
    <cdr:sp macro="" textlink="">
      <cdr:nvSpPr>
        <cdr:cNvPr id="5" name="Textové pole 1"/>
        <cdr:cNvSpPr txBox="1"/>
      </cdr:nvSpPr>
      <cdr:spPr>
        <a:xfrm xmlns:a="http://schemas.openxmlformats.org/drawingml/2006/main">
          <a:off x="2794000" y="1056640"/>
          <a:ext cx="449924" cy="275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800">
              <a:solidFill>
                <a:schemeClr val="bg1"/>
              </a:solidFill>
              <a:latin typeface="Arial Narrow" panose="020B0606020202030204" pitchFamily="34" charset="0"/>
            </a:rPr>
            <a:t>6,4</a:t>
          </a:r>
          <a:r>
            <a:rPr lang="sk-SK" sz="800" baseline="0">
              <a:solidFill>
                <a:schemeClr val="bg1"/>
              </a:solidFill>
              <a:latin typeface="Arial Narrow" panose="020B0606020202030204" pitchFamily="34" charset="0"/>
            </a:rPr>
            <a:t> </a:t>
          </a:r>
          <a:r>
            <a:rPr lang="sk-SK" sz="800">
              <a:solidFill>
                <a:schemeClr val="bg1"/>
              </a:solidFill>
              <a:latin typeface="Arial Narrow" panose="020B0606020202030204" pitchFamily="34" charset="0"/>
            </a:rPr>
            <a:t>mld.</a:t>
          </a:r>
        </a:p>
      </cdr:txBody>
    </cdr:sp>
  </cdr:relSizeAnchor>
</c:userShapes>
</file>

<file path=xl/drawings/drawing6.xml><?xml version="1.0" encoding="utf-8"?>
<c:userShapes xmlns:c="http://schemas.openxmlformats.org/drawingml/2006/chart">
  <cdr:relSizeAnchor xmlns:cdr="http://schemas.openxmlformats.org/drawingml/2006/chartDrawing">
    <cdr:from>
      <cdr:x>0.17925</cdr:x>
      <cdr:y>0.68489</cdr:y>
    </cdr:from>
    <cdr:to>
      <cdr:x>0.30384</cdr:x>
      <cdr:y>0.83615</cdr:y>
    </cdr:to>
    <cdr:sp macro="" textlink="">
      <cdr:nvSpPr>
        <cdr:cNvPr id="2" name="Textové pole 1"/>
        <cdr:cNvSpPr txBox="1"/>
      </cdr:nvSpPr>
      <cdr:spPr>
        <a:xfrm xmlns:a="http://schemas.openxmlformats.org/drawingml/2006/main">
          <a:off x="647334" y="1247986"/>
          <a:ext cx="449924" cy="275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800">
              <a:solidFill>
                <a:schemeClr val="bg1"/>
              </a:solidFill>
              <a:latin typeface="Arial Narrow" panose="020B0606020202030204" pitchFamily="34" charset="0"/>
            </a:rPr>
            <a:t>2,7 mld.</a:t>
          </a:r>
        </a:p>
      </cdr:txBody>
    </cdr:sp>
  </cdr:relSizeAnchor>
  <cdr:relSizeAnchor xmlns:cdr="http://schemas.openxmlformats.org/drawingml/2006/chartDrawing">
    <cdr:from>
      <cdr:x>0.47888</cdr:x>
      <cdr:y>0.63053</cdr:y>
    </cdr:from>
    <cdr:to>
      <cdr:x>0.60347</cdr:x>
      <cdr:y>0.78179</cdr:y>
    </cdr:to>
    <cdr:sp macro="" textlink="">
      <cdr:nvSpPr>
        <cdr:cNvPr id="4" name="Textové pole 1"/>
        <cdr:cNvSpPr txBox="1"/>
      </cdr:nvSpPr>
      <cdr:spPr>
        <a:xfrm xmlns:a="http://schemas.openxmlformats.org/drawingml/2006/main">
          <a:off x="1729374" y="1148926"/>
          <a:ext cx="449924" cy="275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800">
              <a:solidFill>
                <a:schemeClr val="bg1"/>
              </a:solidFill>
              <a:latin typeface="Arial Narrow" panose="020B0606020202030204" pitchFamily="34" charset="0"/>
            </a:rPr>
            <a:t>6,0 mld.</a:t>
          </a:r>
        </a:p>
      </cdr:txBody>
    </cdr:sp>
  </cdr:relSizeAnchor>
  <cdr:relSizeAnchor xmlns:cdr="http://schemas.openxmlformats.org/drawingml/2006/chartDrawing">
    <cdr:from>
      <cdr:x>0.77368</cdr:x>
      <cdr:y>0.57988</cdr:y>
    </cdr:from>
    <cdr:to>
      <cdr:x>0.89827</cdr:x>
      <cdr:y>0.73114</cdr:y>
    </cdr:to>
    <cdr:sp macro="" textlink="">
      <cdr:nvSpPr>
        <cdr:cNvPr id="5" name="Textové pole 1"/>
        <cdr:cNvSpPr txBox="1"/>
      </cdr:nvSpPr>
      <cdr:spPr>
        <a:xfrm xmlns:a="http://schemas.openxmlformats.org/drawingml/2006/main">
          <a:off x="2794000" y="1056640"/>
          <a:ext cx="449924" cy="275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800">
              <a:solidFill>
                <a:schemeClr val="bg1"/>
              </a:solidFill>
              <a:latin typeface="Arial Narrow" panose="020B0606020202030204" pitchFamily="34" charset="0"/>
            </a:rPr>
            <a:t>6,4</a:t>
          </a:r>
          <a:r>
            <a:rPr lang="sk-SK" sz="800" baseline="0">
              <a:solidFill>
                <a:schemeClr val="bg1"/>
              </a:solidFill>
              <a:latin typeface="Arial Narrow" panose="020B0606020202030204" pitchFamily="34" charset="0"/>
            </a:rPr>
            <a:t> </a:t>
          </a:r>
          <a:r>
            <a:rPr lang="sk-SK" sz="800">
              <a:solidFill>
                <a:schemeClr val="bg1"/>
              </a:solidFill>
              <a:latin typeface="Arial Narrow" panose="020B0606020202030204" pitchFamily="34" charset="0"/>
            </a:rPr>
            <a:t>mld.</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161925</xdr:colOff>
      <xdr:row>2</xdr:row>
      <xdr:rowOff>128588</xdr:rowOff>
    </xdr:to>
    <xdr:sp macro="" textlink="">
      <xdr:nvSpPr>
        <xdr:cNvPr id="2" name="Rounded Rectangle 5_ContentButton">
          <a:hlinkClick xmlns:r="http://schemas.openxmlformats.org/officeDocument/2006/relationships" r:id="rId1"/>
        </xdr:cNvPr>
        <xdr:cNvSpPr/>
      </xdr:nvSpPr>
      <xdr:spPr>
        <a:xfrm>
          <a:off x="0" y="0"/>
          <a:ext cx="1381125" cy="5095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2</xdr:col>
      <xdr:colOff>561975</xdr:colOff>
      <xdr:row>13</xdr:row>
      <xdr:rowOff>2539</xdr:rowOff>
    </xdr:from>
    <xdr:to>
      <xdr:col>4</xdr:col>
      <xdr:colOff>190499</xdr:colOff>
      <xdr:row>31</xdr:row>
      <xdr:rowOff>28575</xdr:rowOff>
    </xdr:to>
    <mc:AlternateContent xmlns:mc="http://schemas.openxmlformats.org/markup-compatibility/2006">
      <mc:Choice xmlns:cx1="http://schemas.microsoft.com/office/drawing/2015/9/8/chartex" Requires="cx1">
        <xdr:graphicFrame macro="">
          <xdr:nvGraphicFramePr>
            <xdr:cNvPr id="7" name="Graf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sk-SK" sz="1100"/>
                <a:t>Tento graf nie je k dispozícii vo vašej verzii programu Excel.
Ak tento tvar upravíte alebo ak zošit uložíte v inom formáte súboru, graf sa natrvalo poškodí.</a:t>
              </a:r>
            </a:p>
          </xdr:txBody>
        </xdr:sp>
      </mc:Fallback>
    </mc:AlternateContent>
    <xdr:clientData/>
  </xdr:twoCellAnchor>
  <xdr:twoCellAnchor>
    <xdr:from>
      <xdr:col>6</xdr:col>
      <xdr:colOff>600073</xdr:colOff>
      <xdr:row>12</xdr:row>
      <xdr:rowOff>171449</xdr:rowOff>
    </xdr:from>
    <xdr:to>
      <xdr:col>9</xdr:col>
      <xdr:colOff>485775</xdr:colOff>
      <xdr:row>31</xdr:row>
      <xdr:rowOff>19050</xdr:rowOff>
    </xdr:to>
    <mc:AlternateContent xmlns:mc="http://schemas.openxmlformats.org/markup-compatibility/2006">
      <mc:Choice xmlns:cx1="http://schemas.microsoft.com/office/drawing/2015/9/8/chartex" Requires="cx1">
        <xdr:graphicFrame macro="">
          <xdr:nvGraphicFramePr>
            <xdr:cNvPr id="8" name="Graf 7"/>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sk-SK" sz="1100"/>
                <a:t>Tento graf nie je k dispozícii vo vašej verzii programu Excel.
Ak tento tvar upravíte alebo ak zošit uložíte v inom formáte súboru, graf sa natrvalo poškodí.</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339725</xdr:colOff>
      <xdr:row>3</xdr:row>
      <xdr:rowOff>0</xdr:rowOff>
    </xdr:to>
    <xdr:sp macro="" textlink="">
      <xdr:nvSpPr>
        <xdr:cNvPr id="7" name="Rounded Rectangle 5_ContentButton">
          <a:hlinkClick xmlns:r="http://schemas.openxmlformats.org/officeDocument/2006/relationships" r:id="rId1"/>
        </xdr:cNvPr>
        <xdr:cNvSpPr/>
      </xdr:nvSpPr>
      <xdr:spPr>
        <a:xfrm>
          <a:off x="0" y="0"/>
          <a:ext cx="1282700" cy="514350"/>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7</xdr:col>
      <xdr:colOff>207818</xdr:colOff>
      <xdr:row>9</xdr:row>
      <xdr:rowOff>43295</xdr:rowOff>
    </xdr:from>
    <xdr:to>
      <xdr:col>18</xdr:col>
      <xdr:colOff>309997</xdr:colOff>
      <xdr:row>23</xdr:row>
      <xdr:rowOff>129887</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380999</xdr:colOff>
      <xdr:row>27</xdr:row>
      <xdr:rowOff>58882</xdr:rowOff>
    </xdr:from>
    <xdr:to>
      <xdr:col>21</xdr:col>
      <xdr:colOff>332508</xdr:colOff>
      <xdr:row>39</xdr:row>
      <xdr:rowOff>51954</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24246</xdr:colOff>
      <xdr:row>27</xdr:row>
      <xdr:rowOff>10392</xdr:rowOff>
    </xdr:from>
    <xdr:to>
      <xdr:col>13</xdr:col>
      <xdr:colOff>346364</xdr:colOff>
      <xdr:row>38</xdr:row>
      <xdr:rowOff>171179</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891886</xdr:colOff>
      <xdr:row>9</xdr:row>
      <xdr:rowOff>34636</xdr:rowOff>
    </xdr:from>
    <xdr:to>
      <xdr:col>4</xdr:col>
      <xdr:colOff>110838</xdr:colOff>
      <xdr:row>23</xdr:row>
      <xdr:rowOff>121228</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168274</xdr:colOff>
      <xdr:row>3</xdr:row>
      <xdr:rowOff>41275</xdr:rowOff>
    </xdr:from>
    <xdr:to>
      <xdr:col>14</xdr:col>
      <xdr:colOff>104139</xdr:colOff>
      <xdr:row>18</xdr:row>
      <xdr:rowOff>50800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53974</xdr:colOff>
      <xdr:row>21</xdr:row>
      <xdr:rowOff>44449</xdr:rowOff>
    </xdr:from>
    <xdr:to>
      <xdr:col>14</xdr:col>
      <xdr:colOff>266700</xdr:colOff>
      <xdr:row>35</xdr:row>
      <xdr:rowOff>132714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800100</xdr:colOff>
      <xdr:row>2</xdr:row>
      <xdr:rowOff>161925</xdr:rowOff>
    </xdr:to>
    <xdr:sp macro="" textlink="">
      <xdr:nvSpPr>
        <xdr:cNvPr id="4" name="Rounded Rectangle 5_ContentButton">
          <a:hlinkClick xmlns:r="http://schemas.openxmlformats.org/officeDocument/2006/relationships" r:id="rId3"/>
        </xdr:cNvPr>
        <xdr:cNvSpPr/>
      </xdr:nvSpPr>
      <xdr:spPr>
        <a:xfrm>
          <a:off x="0" y="0"/>
          <a:ext cx="1371600" cy="5048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263524</xdr:colOff>
      <xdr:row>2</xdr:row>
      <xdr:rowOff>85726</xdr:rowOff>
    </xdr:from>
    <xdr:to>
      <xdr:col>13</xdr:col>
      <xdr:colOff>323850</xdr:colOff>
      <xdr:row>16</xdr:row>
      <xdr:rowOff>95250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263525</xdr:colOff>
      <xdr:row>21</xdr:row>
      <xdr:rowOff>85725</xdr:rowOff>
    </xdr:from>
    <xdr:to>
      <xdr:col>12</xdr:col>
      <xdr:colOff>568325</xdr:colOff>
      <xdr:row>40</xdr:row>
      <xdr:rowOff>53975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800100</xdr:colOff>
      <xdr:row>2</xdr:row>
      <xdr:rowOff>166688</xdr:rowOff>
    </xdr:to>
    <xdr:sp macro="" textlink="">
      <xdr:nvSpPr>
        <xdr:cNvPr id="4" name="Rounded Rectangle 5_ContentButton">
          <a:hlinkClick xmlns:r="http://schemas.openxmlformats.org/officeDocument/2006/relationships" r:id="rId3"/>
        </xdr:cNvPr>
        <xdr:cNvSpPr/>
      </xdr:nvSpPr>
      <xdr:spPr>
        <a:xfrm>
          <a:off x="0" y="0"/>
          <a:ext cx="1381125" cy="5095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57150</xdr:colOff>
      <xdr:row>2</xdr:row>
      <xdr:rowOff>136208</xdr:rowOff>
    </xdr:to>
    <xdr:sp macro="" textlink="">
      <xdr:nvSpPr>
        <xdr:cNvPr id="4" name="Rounded Rectangle 5_ContentButton">
          <a:hlinkClick xmlns:r="http://schemas.openxmlformats.org/officeDocument/2006/relationships" r:id="rId1"/>
        </xdr:cNvPr>
        <xdr:cNvSpPr/>
      </xdr:nvSpPr>
      <xdr:spPr>
        <a:xfrm>
          <a:off x="0" y="0"/>
          <a:ext cx="1276350" cy="51720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364781</xdr:colOff>
      <xdr:row>6</xdr:row>
      <xdr:rowOff>67925</xdr:rowOff>
    </xdr:from>
    <xdr:to>
      <xdr:col>6</xdr:col>
      <xdr:colOff>174282</xdr:colOff>
      <xdr:row>24</xdr:row>
      <xdr:rowOff>103188</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1535906</xdr:colOff>
      <xdr:row>3</xdr:row>
      <xdr:rowOff>11906</xdr:rowOff>
    </xdr:to>
    <xdr:sp macro="" textlink="">
      <xdr:nvSpPr>
        <xdr:cNvPr id="6" name="Rounded Rectangle 5_ContentButton">
          <a:hlinkClick xmlns:r="http://schemas.openxmlformats.org/officeDocument/2006/relationships" r:id="rId2"/>
        </xdr:cNvPr>
        <xdr:cNvSpPr/>
      </xdr:nvSpPr>
      <xdr:spPr>
        <a:xfrm>
          <a:off x="0" y="0"/>
          <a:ext cx="1535906" cy="51196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8</xdr:col>
      <xdr:colOff>38806</xdr:colOff>
      <xdr:row>6</xdr:row>
      <xdr:rowOff>80309</xdr:rowOff>
    </xdr:from>
    <xdr:to>
      <xdr:col>15</xdr:col>
      <xdr:colOff>253119</xdr:colOff>
      <xdr:row>24</xdr:row>
      <xdr:rowOff>112991</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187325</xdr:colOff>
      <xdr:row>16</xdr:row>
      <xdr:rowOff>114300</xdr:rowOff>
    </xdr:from>
    <xdr:to>
      <xdr:col>4</xdr:col>
      <xdr:colOff>228600</xdr:colOff>
      <xdr:row>31</xdr:row>
      <xdr:rowOff>114300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1381124</xdr:colOff>
      <xdr:row>2</xdr:row>
      <xdr:rowOff>166687</xdr:rowOff>
    </xdr:to>
    <xdr:sp macro="" textlink="">
      <xdr:nvSpPr>
        <xdr:cNvPr id="5" name="Rounded Rectangle 5_ContentButton">
          <a:hlinkClick xmlns:r="http://schemas.openxmlformats.org/officeDocument/2006/relationships" r:id="rId2"/>
        </xdr:cNvPr>
        <xdr:cNvSpPr/>
      </xdr:nvSpPr>
      <xdr:spPr>
        <a:xfrm>
          <a:off x="0" y="0"/>
          <a:ext cx="1381124" cy="547687"/>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4</xdr:col>
      <xdr:colOff>508000</xdr:colOff>
      <xdr:row>16</xdr:row>
      <xdr:rowOff>82550</xdr:rowOff>
    </xdr:from>
    <xdr:to>
      <xdr:col>11</xdr:col>
      <xdr:colOff>352425</xdr:colOff>
      <xdr:row>31</xdr:row>
      <xdr:rowOff>82550</xdr:rowOff>
    </xdr:to>
    <xdr:graphicFrame macro="">
      <xdr:nvGraphicFramePr>
        <xdr:cNvPr id="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314325</xdr:colOff>
      <xdr:row>15</xdr:row>
      <xdr:rowOff>133350</xdr:rowOff>
    </xdr:from>
    <xdr:to>
      <xdr:col>12</xdr:col>
      <xdr:colOff>73937</xdr:colOff>
      <xdr:row>37</xdr:row>
      <xdr:rowOff>168594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247650</xdr:colOff>
      <xdr:row>16</xdr:row>
      <xdr:rowOff>0</xdr:rowOff>
    </xdr:from>
    <xdr:to>
      <xdr:col>26</xdr:col>
      <xdr:colOff>264437</xdr:colOff>
      <xdr:row>38</xdr:row>
      <xdr:rowOff>35244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1428750</xdr:colOff>
      <xdr:row>3</xdr:row>
      <xdr:rowOff>83343</xdr:rowOff>
    </xdr:to>
    <xdr:sp macro="" textlink="">
      <xdr:nvSpPr>
        <xdr:cNvPr id="5" name="Rounded Rectangle 5_ContentButton">
          <a:hlinkClick xmlns:r="http://schemas.openxmlformats.org/officeDocument/2006/relationships" r:id="rId3"/>
        </xdr:cNvPr>
        <xdr:cNvSpPr/>
      </xdr:nvSpPr>
      <xdr:spPr>
        <a:xfrm>
          <a:off x="0" y="0"/>
          <a:ext cx="1428750" cy="583406"/>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161925</xdr:colOff>
      <xdr:row>2</xdr:row>
      <xdr:rowOff>128588</xdr:rowOff>
    </xdr:to>
    <xdr:sp macro="" textlink="">
      <xdr:nvSpPr>
        <xdr:cNvPr id="2" name="Rounded Rectangle 5_ContentButton">
          <a:hlinkClick xmlns:r="http://schemas.openxmlformats.org/officeDocument/2006/relationships" r:id="rId1"/>
        </xdr:cNvPr>
        <xdr:cNvSpPr/>
      </xdr:nvSpPr>
      <xdr:spPr>
        <a:xfrm>
          <a:off x="0" y="0"/>
          <a:ext cx="1381125" cy="5095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3</xdr:col>
      <xdr:colOff>50800</xdr:colOff>
      <xdr:row>2</xdr:row>
      <xdr:rowOff>107950</xdr:rowOff>
    </xdr:from>
    <xdr:to>
      <xdr:col>10</xdr:col>
      <xdr:colOff>228600</xdr:colOff>
      <xdr:row>18</xdr:row>
      <xdr:rowOff>133350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558800</xdr:colOff>
      <xdr:row>2</xdr:row>
      <xdr:rowOff>57150</xdr:rowOff>
    </xdr:from>
    <xdr:to>
      <xdr:col>18</xdr:col>
      <xdr:colOff>127000</xdr:colOff>
      <xdr:row>18</xdr:row>
      <xdr:rowOff>82550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128588</xdr:rowOff>
    </xdr:to>
    <xdr:sp macro="" textlink="">
      <xdr:nvSpPr>
        <xdr:cNvPr id="2" name="Rounded Rectangle 5_ContentButton">
          <a:hlinkClick xmlns:r="http://schemas.openxmlformats.org/officeDocument/2006/relationships" r:id="rId1"/>
        </xdr:cNvPr>
        <xdr:cNvSpPr/>
      </xdr:nvSpPr>
      <xdr:spPr>
        <a:xfrm>
          <a:off x="0" y="0"/>
          <a:ext cx="1381125" cy="4968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3</xdr:col>
      <xdr:colOff>187325</xdr:colOff>
      <xdr:row>2</xdr:row>
      <xdr:rowOff>52388</xdr:rowOff>
    </xdr:from>
    <xdr:to>
      <xdr:col>8</xdr:col>
      <xdr:colOff>41275</xdr:colOff>
      <xdr:row>17</xdr:row>
      <xdr:rowOff>173037</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552450</xdr:colOff>
      <xdr:row>2</xdr:row>
      <xdr:rowOff>69850</xdr:rowOff>
    </xdr:from>
    <xdr:to>
      <xdr:col>14</xdr:col>
      <xdr:colOff>234950</xdr:colOff>
      <xdr:row>18</xdr:row>
      <xdr:rowOff>82550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339725</xdr:colOff>
      <xdr:row>2</xdr:row>
      <xdr:rowOff>152400</xdr:rowOff>
    </xdr:to>
    <xdr:sp macro="" textlink="">
      <xdr:nvSpPr>
        <xdr:cNvPr id="5" name="Rounded Rectangle 5_ContentButton">
          <a:hlinkClick xmlns:r="http://schemas.openxmlformats.org/officeDocument/2006/relationships" r:id="rId1"/>
        </xdr:cNvPr>
        <xdr:cNvSpPr/>
      </xdr:nvSpPr>
      <xdr:spPr>
        <a:xfrm>
          <a:off x="0" y="0"/>
          <a:ext cx="1282700" cy="514350"/>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339725</xdr:colOff>
      <xdr:row>3</xdr:row>
      <xdr:rowOff>0</xdr:rowOff>
    </xdr:to>
    <xdr:sp macro="" textlink="">
      <xdr:nvSpPr>
        <xdr:cNvPr id="5" name="Rounded Rectangle 5_ContentButton">
          <a:hlinkClick xmlns:r="http://schemas.openxmlformats.org/officeDocument/2006/relationships" r:id="rId1"/>
        </xdr:cNvPr>
        <xdr:cNvSpPr/>
      </xdr:nvSpPr>
      <xdr:spPr>
        <a:xfrm>
          <a:off x="0" y="0"/>
          <a:ext cx="1282700" cy="514350"/>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777874</xdr:colOff>
      <xdr:row>3</xdr:row>
      <xdr:rowOff>0</xdr:rowOff>
    </xdr:to>
    <xdr:sp macro="" textlink="">
      <xdr:nvSpPr>
        <xdr:cNvPr id="4" name="Rounded Rectangle 5_ContentButton">
          <a:hlinkClick xmlns:r="http://schemas.openxmlformats.org/officeDocument/2006/relationships" r:id="rId1"/>
        </xdr:cNvPr>
        <xdr:cNvSpPr/>
      </xdr:nvSpPr>
      <xdr:spPr>
        <a:xfrm>
          <a:off x="0" y="0"/>
          <a:ext cx="1293812" cy="52387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806450</xdr:colOff>
      <xdr:row>3</xdr:row>
      <xdr:rowOff>0</xdr:rowOff>
    </xdr:to>
    <xdr:sp macro="" textlink="">
      <xdr:nvSpPr>
        <xdr:cNvPr id="5" name="Rounded Rectangle 5_ContentButton">
          <a:hlinkClick xmlns:r="http://schemas.openxmlformats.org/officeDocument/2006/relationships" r:id="rId1"/>
        </xdr:cNvPr>
        <xdr:cNvSpPr/>
      </xdr:nvSpPr>
      <xdr:spPr>
        <a:xfrm>
          <a:off x="0" y="0"/>
          <a:ext cx="1282700" cy="51954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C3\SVK\REAL\Svk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C3\CZE\REER\REERTOT99%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rozpoctovarada.sharepoint.com/My%20Documents/moldova/Oct2000mission/data/eff9911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rozpoctovarada.sharepoint.com/DATA/WE/NLD/WEO/Current/WEO138annu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Proracun\Skupni\SABJF\Bilance\GLOB92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idrozd/Desktop/NPC_2013_2015_OS_09/NPC_2010/Documents%20and%20Settings/PANTOLIN/My%20Local%20Documents/Slovenia/Wages_employ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rozpoctovarada.sharepoint.com/Users/ebugyi/AppData/Local/Microsoft/Windows/Temporary%20Internet%20Files/Content.Outlook/JG459QFK/Documents%20and%20Settings/PANTOLIN/My%20Local%20Documents/Slovenia/Wages_employ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rozpoctovarada.sharepoint.com/Documents%20and%20Settings/PANTOLIN/My%20Local%20Documents/Slovenia/Wages_employ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ocuments%20and%20Settings\PANTOLIN\My%20Local%20Documents\Slovenia\Wages_employ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havlat/AppData/Local/Microsoft/Windows/Temporary%20Internet%20Files/Content.Outlook/RKZTYI1L/K&#352;D%2014_16erik_final_dlh_2013030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FP_NEW/2_FISKAL/04_Modely/02_Dlh%20VS/01%20-%20Prognoza/K&#352;D%2019_21_08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Users\idrozd\AppData\Local\Microsoft\Windows\Temporary%20Internet%20Files\Content.IE5\XHBZ5SQ7\Vychodiska_ESA95_kod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Slovenia\SV%20MONITOR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2\eur\DATA\C3\SVK\EXT\Svkb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rozpoctovarada.sharepoint.com/Users/PC-003MM/Documents/14_MATERIALY_RRZ/A_HodnotenieRozpoctu/Hodnotenie%20VVS%202013-2016/FINAL%20DATA/VRVS_DATA_M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AL\CZYWP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FP_NEW/2_FISKAL/05_Dlh/11%20-%20DSA/DSA_2026_0610_DBP_V2.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icajko\AppData\Local\Microsoft\Windows\Temporary%20Internet%20Files\Content.Outlook\X5UMJ5BC\Annex_1-EDP_notif_tables-Oct2016-lock-anonym.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2\eur\Colombia\WEO\GEEColombiaOct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WIN\Temporary%20Internet%20Files\OLKE156\Money\Monetary%20Conditions\mcichart_core_inf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2\eur\Agnes\Slovenia\00Art4\data\Qdrive\GEN\Macro\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T8S\EU11\DATA\O1\SVN\Macro\Monito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FP_NEW/2_FISKAL/04_Modely/01_Konsolidacne%20usilie%20a%20fiskalny%20impulz/Strukturalne_saldo_MODEL_DBP201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FP_NEW/2_FISKAL/04_Modely/01_Konsolidacne%20usilie%20a%20fiskalny%20impulz/Strukturalne_saldo_MODEL_FK_maj_2016_22012016_preliminary_PJ_scenar%20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SVN\BOP\REER%20and%20competitiveness\Competitivenes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lshoobridge\Local%20Settings\Temporary%20Internet%20Files\OLK10\Charts\Svk%20Charts%20Data%202005_curren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mf1s\vol1\data\wrs\eu1\system2000\WRSTA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rozpoctovarada.sharepoint.com/WIN/Temporary%20Internet%20Files/OLK93A2/Macedonia/Missions/July2000/BriefingPaper/MacroframeworkJun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FIS\M-T%20fiscal%20June10%2020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FP_NEW/5_MATERIALY/5_3_Strategicke_materialy/Program_stability/2021/Tabu&#318;ky/PS_2021_Tabulky_Komple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IFP_NEW/1_DANE/1_5_Vybor/EDV/2019_zasadnutia/DV_2019_02/1-PROGNOZA/Prispevky_k_prognoze_201902_medzirocne_v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FP_NEW/5_MATERIALY/5_3_Strategicke_materialy/Navrh%20rozpoctoveho%20planu%20DBP/2017/Dane/Prispevky_k_prognoze_RVS_vs_201709_pre_DBP.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jkubala\AppData\Roaming\Microsoft\Excel\K&#352;D%2019_21%20aktualny_DBP%20(version%202).xlsb"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FP_NEW/2_FISKAL/05_Dlh/01%20-%20Prognoza/2022/DLH_Model_2022_PS_2022.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C3\CZE\MON\CZE%20Money.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eur\DATA\C3\SVN\BOP\SVN%20-%20BOP_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dtzanninis\My%20Local%20Documents\Slovenia\CZE%20--%20Main%20Fiscal%20Fil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eur\CPLAZO\IMAE\PR\INF1-ALEX.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eur\DATA\C3\SVN\Rep\Statistical%20Appendix\2003\Statistical%20Appendix%20Tabl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2\eur\EUR\DATA\C2\POL\MONEY\POLIR.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2\eur\DATA\C3\SVK\REAL\SEI-TBL\vulnerability%20indicator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IFP_NEW/5_MATERIALY/5_3_Strategicke_materialy/Navrh%20rozpoctoveho%20planu%20DBP/2023/Vstupy/Dlh/DLH_Model_2023_DBP_cie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assum"/>
      <sheetName val="table"/>
      <sheetName val="work Q real"/>
      <sheetName val="work Q current"/>
      <sheetName val="Disp inc"/>
      <sheetName val="F1-reerproj"/>
      <sheetName val="Tab ann curr"/>
      <sheetName val="Tab ann cst"/>
      <sheetName val="tab quart"/>
      <sheetName val="ControlSheet"/>
      <sheetName val="CompCht"/>
      <sheetName val="tab Defl"/>
      <sheetName val="auth  inves"/>
      <sheetName val="auth inves 2"/>
      <sheetName val="auth curr"/>
      <sheetName val="auth  const"/>
      <sheetName val="auth disp inc"/>
      <sheetName val="To WEO "/>
      <sheetName val="WEO Q1&amp;2"/>
      <sheetName val="WEO Q3"/>
      <sheetName val="work Q current (2)"/>
      <sheetName val="J - GDPsec-real"/>
      <sheetName val="K-sect, Q-const."/>
      <sheetName val="K1-sect, Q-curr."/>
      <sheetName val="M- GDPsec-nom"/>
      <sheetName val="output for Qdata charts"/>
      <sheetName val="unemployment"/>
      <sheetName val="WEO 3"/>
      <sheetName val="WEO p3"/>
      <sheetName val="WEO p"/>
      <sheetName val="Svkreal"/>
      <sheetName val="BoP"/>
      <sheetName val="RES"/>
      <sheetName val="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 val="Annual Tables"/>
      <sheetName val="Annual Raw Data"/>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WEO_Ass"/>
      <sheetName val="vul-ind_SRversion"/>
      <sheetName val="vul-ind_PDRversion"/>
      <sheetName val="BOP_Stress_"/>
      <sheetName val="Inv__Income"/>
      <sheetName val="SA-Tab_27"/>
      <sheetName val="SA-Tab_28"/>
      <sheetName val="SA_Tab_29"/>
      <sheetName val="SA_Tab_30"/>
      <sheetName val="Oper_Budg_"/>
      <sheetName val="Old_Summ_BoP"/>
      <sheetName val="Old_Brf-T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 val="my_table"/>
      <sheetName val="Assu__summary"/>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Wage_Data"/>
      <sheetName val="Wages_by_sector"/>
      <sheetName val="Priv_S_wages"/>
      <sheetName val="Pub_S_wages"/>
      <sheetName val="Wages_Manuf_"/>
      <sheetName val="Real_wages"/>
      <sheetName val="Real_wages_by_sector"/>
      <sheetName val="Employment_Data_Sectors_(wages)"/>
      <sheetName val="Employment_data_by_sectors"/>
      <sheetName val="Employment_Full_time_equivalent"/>
      <sheetName val="Employment_data"/>
      <sheetName val="Total_Employment"/>
      <sheetName val="Employment_public_services"/>
      <sheetName val="Employment_table"/>
      <sheetName val="Wages_and_Consumption"/>
      <sheetName val="Wages_and_tax_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
          <cell r="H6">
            <v>31509</v>
          </cell>
        </row>
      </sheetData>
      <sheetData sheetId="29"/>
      <sheetData sheetId="30"/>
      <sheetData sheetId="31"/>
      <sheetData sheetId="32"/>
      <sheetData sheetId="33"/>
      <sheetData sheetId="34"/>
      <sheetData sheetId="35"/>
      <sheetData sheetId="3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 val="\\data3\users3\Users\dsimard\Ap"/>
      <sheetName val="Imp"/>
      <sheetName val="DSA output"/>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WIN\TEMP\MFLOW96.XLS"/>
      <sheetName val="[MFLOW96.XLS]_WIN_TEMP_MFLOW9_2"/>
      <sheetName val="[MFLOW96.XLS]_WIN_TEMP_MFLOW9_3"/>
      <sheetName val="[MFLOW96.XLS]_WIN_TEMP_MFLOW9_4"/>
      <sheetName val="[MFLOW96.XLS]_WIN_TEMP_MFLOW9_5"/>
      <sheetName val="[MFLOW96.XLS]\WIN\TEMP\MFLOW96."/>
      <sheetName val="[MFLOW96.XLS]_WIN_TEMP_MFLOW9_6"/>
      <sheetName val="[MFLOW96.XLS]_WIN_TEMP_MFLOW_25"/>
      <sheetName val="[MFLOW96.XLS]_WIN_TEMP_MFLOW9_7"/>
      <sheetName val="[MFLOW96.XLS]_WIN_TEMP_MFLOW9_8"/>
      <sheetName val="[MFLOW96.XLS]_WIN_TEMP_MFLOW9_9"/>
      <sheetName val="[MFLOW96.XLS]_WIN_TEMP_MFLOW_10"/>
      <sheetName val="[MFLOW96.XLS]_WIN_TEMP_MFLOW_11"/>
      <sheetName val="[MFLOW96.XLS]_WIN_TEMP_MFLOW_13"/>
      <sheetName val="[MFLOW96.XLS]_WIN_TEMP_MFLOW_12"/>
      <sheetName val="[MFLOW96.XLS]_WIN_TEMP_MFLOW_16"/>
      <sheetName val="[MFLOW96.XLS]_WIN_TEMP_MFLOW_14"/>
      <sheetName val="[MFLOW96.XLS]_WIN_TEMP_MFLOW_15"/>
      <sheetName val="[MFLOW96.XLS]_WIN_TEMP_MFLOW_17"/>
      <sheetName val="[MFLOW96.XLS]_WIN_TEMP_MFLOW_20"/>
      <sheetName val="[MFLOW96.XLS]_WIN_TEMP_MFLOW_18"/>
      <sheetName val="[MFLOW96.XLS]_WIN_TEMP_MFLOW_19"/>
      <sheetName val="[MFLOW96.XLS]_WIN_TEMP_MFLOW_21"/>
      <sheetName val="[MFLOW96.XLS]_WIN_TEMP_MFLOW_22"/>
      <sheetName val="[MFLOW96.XLS]_WIN_TEMP_MFLOW_23"/>
      <sheetName val="[MFLOW96.XLS]_WIN_TEMP_MFLOW_24"/>
      <sheetName val="[MFLOW96.XLS]_WIN_TEMP_MFLOW_26"/>
      <sheetName val="[MFLOW96.XLS]_WIN_TEMP_MFLOW_27"/>
      <sheetName val="[MFLOW96.XLS]_WIN_TEMP_MFLOW_28"/>
      <sheetName val="[MFLOW96.XLS]_WIN_TEMP_MFLOW_29"/>
      <sheetName val="[MFLOW96.XLS]_WIN_TEMP_MFLOW_31"/>
      <sheetName val="[MFLOW96.XLS]_WIN_TEMP_MFLOW_30"/>
      <sheetName val="[MFLOW96.XLS]_WIN_TEMP_MFLOW_32"/>
      <sheetName val="[MFLOW96.XLS]_WIN_TEMP_MFLOW_33"/>
      <sheetName val="[MFLOW96.XLS]_WIN_TEMP_MFLOW_34"/>
      <sheetName val="[MFLOW96.XLS]_WIN_TEMP_MFLOW_37"/>
      <sheetName val="[MFLOW96.XLS]_WIN_TEMP_MFLOW_35"/>
      <sheetName val="[MFLOW96.XLS]_WIN_TEMP_MFLOW_36"/>
      <sheetName val="[MFLOW96.XLS]_WIN_TEMP_MFLOW_39"/>
      <sheetName val="[MFLOW96.XLS]_WIN_TEMP_MFLOW_38"/>
      <sheetName val="[MFLOW96.XLS]_WIN_TEMP_MFLOW_40"/>
      <sheetName val="[MFLOW96.XLS]_WIN_TEMP_MFLOW_41"/>
      <sheetName val="[MFLOW96.XLS]_WIN_TEMP_MFLOW_42"/>
      <sheetName val="[MFLOW96.XLS]_WIN_TEMP_MFLOW_45"/>
      <sheetName val="[MFLOW96.XLS]_WIN_TEMP_MFLOW_43"/>
      <sheetName val="[MFLOW96.XLS]_WIN_TEMP_MFLOW_44"/>
      <sheetName val="[MFLOW96.XLS]_WIN_TEMP_MFLOW_46"/>
      <sheetName val="[MFLOW96.XLS]_WIN_TEMP_MFLOW_53"/>
      <sheetName val="[MFLOW96.XLS]_WIN_TEMP_MFLOW_49"/>
      <sheetName val="[MFLOW96.XLS]_WIN_TEMP_MFLOW_47"/>
      <sheetName val="[MFLOW96.XLS]_WIN_TEMP_MFLOW_48"/>
      <sheetName val="[MFLOW96.XLS]_WIN_TEMP_MFLOW_50"/>
      <sheetName val="[MFLOW96.XLS]_WIN_TEMP_MFLOW_51"/>
      <sheetName val="[MFLOW96.XLS]_WIN_TEMP_MFLOW_52"/>
    </sheetNames>
    <definedNames>
      <definedName name="[Macros Import].qbop"/>
      <definedName name="atrade"/>
      <definedName name="mflowsa"/>
      <definedName name="mflowsq"/>
      <definedName name="mstocksa"/>
      <definedName name="mstocksq"/>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sheetDataSet>
      <sheetData sheetId="0" refreshError="1"/>
      <sheetData sheetId="1" refreshError="1"/>
      <sheetData sheetId="2" refreshError="1"/>
      <sheetData sheetId="3" refreshError="1">
        <row r="39">
          <cell r="V39">
            <v>41275</v>
          </cell>
        </row>
        <row r="40">
          <cell r="V40">
            <v>41640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splatnost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cell r="G1" t="str">
            <v>CPI112</v>
          </cell>
          <cell r="H1" t="str">
            <v>CPI132</v>
          </cell>
          <cell r="I1" t="str">
            <v>CPI134</v>
          </cell>
          <cell r="J1" t="str">
            <v>CPI136</v>
          </cell>
          <cell r="L1" t="str">
            <v>CPI158</v>
          </cell>
          <cell r="U1" t="str">
            <v>WPI111</v>
          </cell>
          <cell r="V1" t="str">
            <v>WPI112</v>
          </cell>
          <cell r="W1" t="str">
            <v>WPI132</v>
          </cell>
          <cell r="X1" t="str">
            <v>WPI134</v>
          </cell>
          <cell r="AA1" t="str">
            <v>WPI158</v>
          </cell>
          <cell r="AL1" t="str">
            <v>enda111</v>
          </cell>
          <cell r="AM1" t="str">
            <v>enda112</v>
          </cell>
          <cell r="AN1" t="str">
            <v>enda132</v>
          </cell>
          <cell r="AO1" t="str">
            <v>enda134</v>
          </cell>
          <cell r="AP1" t="str">
            <v>enda136</v>
          </cell>
          <cell r="AR1" t="str">
            <v>enda158</v>
          </cell>
          <cell r="BI1" t="str">
            <v>u111lnulcmx</v>
          </cell>
          <cell r="BJ1" t="str">
            <v>u112lnulcmx</v>
          </cell>
          <cell r="BK1" t="str">
            <v>u132lnulcmx</v>
          </cell>
          <cell r="BL1" t="str">
            <v>u134lnulcmx</v>
          </cell>
          <cell r="BM1" t="str">
            <v>u136lnulcmx</v>
          </cell>
          <cell r="BP1" t="str">
            <v>u158lnulcmx</v>
          </cell>
        </row>
        <row r="2">
          <cell r="F2" t="str">
            <v>CPI111</v>
          </cell>
          <cell r="G2" t="str">
            <v>CPI112</v>
          </cell>
          <cell r="H2" t="str">
            <v>CPI132</v>
          </cell>
          <cell r="I2" t="str">
            <v>CPI134</v>
          </cell>
          <cell r="J2" t="str">
            <v>CPI136</v>
          </cell>
          <cell r="K2" t="str">
            <v>cpi936</v>
          </cell>
          <cell r="L2" t="str">
            <v>CPI158</v>
          </cell>
          <cell r="U2" t="str">
            <v>WPI111</v>
          </cell>
          <cell r="V2" t="str">
            <v>WPI112</v>
          </cell>
          <cell r="W2" t="str">
            <v>WPI132</v>
          </cell>
          <cell r="X2" t="str">
            <v>WPI134</v>
          </cell>
          <cell r="Z2" t="str">
            <v>wpi936</v>
          </cell>
          <cell r="AA2" t="str">
            <v>WPI158</v>
          </cell>
        </row>
        <row r="9">
          <cell r="B9" t="str">
            <v>1990m1</v>
          </cell>
        </row>
        <row r="10">
          <cell r="B10" t="str">
            <v>+</v>
          </cell>
        </row>
        <row r="11">
          <cell r="B11" t="str">
            <v>+</v>
          </cell>
        </row>
        <row r="12">
          <cell r="B12" t="str">
            <v>+</v>
          </cell>
        </row>
        <row r="13">
          <cell r="B13" t="str">
            <v>+</v>
          </cell>
        </row>
        <row r="14">
          <cell r="B14" t="str">
            <v>+</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38">
          <cell r="T138" t="str">
            <v>October</v>
          </cell>
        </row>
        <row r="146">
          <cell r="AT146" t="str">
            <v>$NOMXRG6</v>
          </cell>
          <cell r="AU146" t="str">
            <v>$NOMXRG6</v>
          </cell>
          <cell r="BR146" t="str">
            <v>$NULCG6</v>
          </cell>
        </row>
        <row r="147">
          <cell r="BB147" t="str">
            <v>Index, Jan-Sept 1990=100</v>
          </cell>
        </row>
        <row r="148">
          <cell r="BU148" t="str">
            <v>$ULCCR</v>
          </cell>
        </row>
        <row r="149">
          <cell r="AY149" t="str">
            <v>Index, Jan-Sept 1990=100</v>
          </cell>
          <cell r="BR149" t="str">
            <v>$NULCG6</v>
          </cell>
          <cell r="BU149" t="str">
            <v>$ULCCR</v>
          </cell>
        </row>
        <row r="150">
          <cell r="AT150" t="str">
            <v>$NOMXRG6</v>
          </cell>
          <cell r="AU150" t="str">
            <v>$NOMXRG6</v>
          </cell>
          <cell r="AY150" t="str">
            <v>NEER</v>
          </cell>
          <cell r="AZ150" t="str">
            <v>REER</v>
          </cell>
          <cell r="BA150" t="str">
            <v>REER</v>
          </cell>
          <cell r="BB150" t="str">
            <v>REER</v>
          </cell>
          <cell r="BU150" t="str">
            <v>CZ</v>
          </cell>
        </row>
        <row r="151">
          <cell r="AT151" t="str">
            <v xml:space="preserve">Weighted </v>
          </cell>
          <cell r="AU151" t="str">
            <v xml:space="preserve">Weighted </v>
          </cell>
          <cell r="AY151" t="str">
            <v>(czech/</v>
          </cell>
          <cell r="AZ151" t="str">
            <v>(CPI based)</v>
          </cell>
          <cell r="BA151" t="str">
            <v>(ULC based)</v>
          </cell>
          <cell r="BB151" t="str">
            <v>(PPI based)</v>
          </cell>
        </row>
        <row r="152">
          <cell r="D152">
            <v>1</v>
          </cell>
          <cell r="E152" t="str">
            <v>weights1</v>
          </cell>
          <cell r="AT152" t="str">
            <v>average</v>
          </cell>
          <cell r="AU152" t="str">
            <v>average</v>
          </cell>
          <cell r="AY152" t="str">
            <v>$nomxrg6)</v>
          </cell>
        </row>
        <row r="153">
          <cell r="D153">
            <v>1</v>
          </cell>
          <cell r="E153" t="str">
            <v>weights2</v>
          </cell>
          <cell r="AT153" t="str">
            <v>EXCL  SVK</v>
          </cell>
          <cell r="AU153" t="str">
            <v>Incl. SVK</v>
          </cell>
          <cell r="AY153" t="str">
            <v>neer</v>
          </cell>
          <cell r="AZ153" t="str">
            <v>reerc</v>
          </cell>
          <cell r="BA153" t="str">
            <v>reeru</v>
          </cell>
          <cell r="BB153" t="str">
            <v>reerp</v>
          </cell>
        </row>
        <row r="154">
          <cell r="B154" t="str">
            <v>1990m1</v>
          </cell>
          <cell r="D154" t="str">
            <v>1990</v>
          </cell>
          <cell r="E154" t="str">
            <v>Jan.</v>
          </cell>
          <cell r="AT154">
            <v>97.717685390932786</v>
          </cell>
          <cell r="AU154">
            <v>98.416450466774521</v>
          </cell>
          <cell r="AW154" t="str">
            <v>1990</v>
          </cell>
          <cell r="AX154">
            <v>32874</v>
          </cell>
          <cell r="AY154">
            <v>102.86789797269462</v>
          </cell>
          <cell r="AZ154">
            <v>1.009642963192813</v>
          </cell>
          <cell r="BA154">
            <v>101.34981705649405</v>
          </cell>
          <cell r="BB154">
            <v>99.628468216542174</v>
          </cell>
          <cell r="BR154">
            <v>95.691962942667203</v>
          </cell>
          <cell r="BU154">
            <v>96.990004549817399</v>
          </cell>
        </row>
        <row r="155">
          <cell r="B155" t="str">
            <v>+</v>
          </cell>
          <cell r="E155" t="str">
            <v>Feb.</v>
          </cell>
          <cell r="AT155">
            <v>98.694340675689048</v>
          </cell>
          <cell r="AU155">
            <v>98.681386638521047</v>
          </cell>
          <cell r="AX155" t="str">
            <v>Feb</v>
          </cell>
          <cell r="AY155">
            <v>99.947925183606046</v>
          </cell>
          <cell r="AZ155">
            <v>0.90584955274081691</v>
          </cell>
          <cell r="BA155">
            <v>121.51084486892017</v>
          </cell>
          <cell r="BB155">
            <v>95.434709131531818</v>
          </cell>
          <cell r="BR155">
            <v>97.295901743191223</v>
          </cell>
          <cell r="BU155">
            <v>118.23284369610742</v>
          </cell>
        </row>
        <row r="156">
          <cell r="B156" t="str">
            <v>+</v>
          </cell>
          <cell r="E156" t="str">
            <v>March</v>
          </cell>
          <cell r="AT156">
            <v>97.05110994886661</v>
          </cell>
          <cell r="AU156">
            <v>97.273091054262636</v>
          </cell>
          <cell r="AX156" t="str">
            <v>Mar</v>
          </cell>
          <cell r="AY156">
            <v>100.91072848615903</v>
          </cell>
          <cell r="AZ156">
            <v>1.0486060074945365</v>
          </cell>
          <cell r="BA156">
            <v>100.67124941272503</v>
          </cell>
          <cell r="BB156">
            <v>95.744050870788996</v>
          </cell>
          <cell r="BR156">
            <v>96.411216455223325</v>
          </cell>
          <cell r="BU156">
            <v>97.06475626257911</v>
          </cell>
        </row>
        <row r="157">
          <cell r="B157" t="str">
            <v>+</v>
          </cell>
          <cell r="E157" t="str">
            <v>April</v>
          </cell>
          <cell r="AT157">
            <v>97.861274899808009</v>
          </cell>
          <cell r="AU157">
            <v>97.953743391250597</v>
          </cell>
          <cell r="AX157" t="str">
            <v>Apr</v>
          </cell>
          <cell r="AY157">
            <v>100.37548391924503</v>
          </cell>
          <cell r="AZ157">
            <v>1.0096271689377452</v>
          </cell>
          <cell r="BA157">
            <v>109.83384012522315</v>
          </cell>
          <cell r="BB157">
            <v>95.834237220419894</v>
          </cell>
          <cell r="BR157">
            <v>98.084662018047695</v>
          </cell>
          <cell r="BU157">
            <v>107.73723245506008</v>
          </cell>
        </row>
        <row r="158">
          <cell r="B158" t="str">
            <v>+</v>
          </cell>
          <cell r="E158" t="str">
            <v>May</v>
          </cell>
          <cell r="AT158">
            <v>99.359154931874428</v>
          </cell>
          <cell r="AU158">
            <v>99.420541140641703</v>
          </cell>
          <cell r="AX158" t="str">
            <v>May</v>
          </cell>
          <cell r="AY158">
            <v>100.24539209966674</v>
          </cell>
          <cell r="AZ158">
            <v>1.0162113742847021</v>
          </cell>
          <cell r="BA158">
            <v>92.923132830933994</v>
          </cell>
          <cell r="BB158">
            <v>96.390366140930439</v>
          </cell>
          <cell r="BR158">
            <v>100.4380590649068</v>
          </cell>
          <cell r="BU158">
            <v>93.336326050436085</v>
          </cell>
        </row>
        <row r="159">
          <cell r="B159" t="str">
            <v>+</v>
          </cell>
          <cell r="E159" t="str">
            <v>June</v>
          </cell>
          <cell r="AT159">
            <v>98.343276122542179</v>
          </cell>
          <cell r="AU159">
            <v>98.19585606908349</v>
          </cell>
          <cell r="AX159" t="str">
            <v>Jun</v>
          </cell>
          <cell r="AY159">
            <v>99.406466786284071</v>
          </cell>
          <cell r="AZ159">
            <v>1.0058013162293933</v>
          </cell>
          <cell r="BA159">
            <v>84.715863612560582</v>
          </cell>
          <cell r="BB159">
            <v>96.891987257323052</v>
          </cell>
          <cell r="BR159">
            <v>99.255834884469436</v>
          </cell>
          <cell r="BU159">
            <v>84.090965021808145</v>
          </cell>
        </row>
        <row r="160">
          <cell r="B160" t="str">
            <v>+</v>
          </cell>
          <cell r="E160" t="str">
            <v>July</v>
          </cell>
          <cell r="AT160">
            <v>100.99506326366676</v>
          </cell>
          <cell r="AU160">
            <v>100.75071112984503</v>
          </cell>
          <cell r="AX160" t="str">
            <v>Jul</v>
          </cell>
          <cell r="AY160">
            <v>99.043344271983258</v>
          </cell>
          <cell r="AZ160">
            <v>0.99825031296119759</v>
          </cell>
          <cell r="BA160">
            <v>99.269294223742563</v>
          </cell>
          <cell r="BB160">
            <v>104.75520681254494</v>
          </cell>
          <cell r="BR160">
            <v>101.59603165985909</v>
          </cell>
          <cell r="BU160">
            <v>100.86029315246286</v>
          </cell>
        </row>
        <row r="161">
          <cell r="B161" t="str">
            <v>+</v>
          </cell>
          <cell r="E161" t="str">
            <v>Aug.</v>
          </cell>
          <cell r="AT161">
            <v>104.91338781055948</v>
          </cell>
          <cell r="AU161">
            <v>104.44079718244988</v>
          </cell>
          <cell r="AX161" t="str">
            <v>Aug</v>
          </cell>
          <cell r="AY161">
            <v>98.224383732714244</v>
          </cell>
          <cell r="AZ161">
            <v>0.90352240973764386</v>
          </cell>
          <cell r="BA161">
            <v>103.45943013678517</v>
          </cell>
          <cell r="BB161">
            <v>106.43162390008962</v>
          </cell>
          <cell r="BR161">
            <v>105.45309736673832</v>
          </cell>
          <cell r="BU161">
            <v>109.10834530749199</v>
          </cell>
        </row>
        <row r="162">
          <cell r="B162" t="str">
            <v>+</v>
          </cell>
          <cell r="E162" t="str">
            <v>Sept.</v>
          </cell>
          <cell r="AT162">
            <v>104.9977106428299</v>
          </cell>
          <cell r="AU162">
            <v>104.80403238341049</v>
          </cell>
          <cell r="AX162" t="str">
            <v>Sep</v>
          </cell>
          <cell r="AY162">
            <v>99.270019289441464</v>
          </cell>
          <cell r="AZ162">
            <v>0.91320229072180292</v>
          </cell>
          <cell r="BA162">
            <v>91.537025512535052</v>
          </cell>
          <cell r="BB162">
            <v>108.51287026828214</v>
          </cell>
          <cell r="BR162">
            <v>105.77323386489692</v>
          </cell>
          <cell r="BU162">
            <v>96.828036591818503</v>
          </cell>
        </row>
        <row r="163">
          <cell r="B163" t="str">
            <v>+</v>
          </cell>
          <cell r="E163" t="str">
            <v>Oct.</v>
          </cell>
          <cell r="AT163">
            <v>108.03511331402491</v>
          </cell>
          <cell r="AU163">
            <v>100.51672143309382</v>
          </cell>
          <cell r="AX163" t="str">
            <v>Oct</v>
          </cell>
          <cell r="AY163">
            <v>75.108316466956168</v>
          </cell>
          <cell r="AZ163">
            <v>0.74689509092898387</v>
          </cell>
          <cell r="BA163">
            <v>74.167223530066138</v>
          </cell>
          <cell r="BB163">
            <v>83.098393824811879</v>
          </cell>
          <cell r="BR163">
            <v>109.03270591450871</v>
          </cell>
          <cell r="BU163">
            <v>80.8718464368485</v>
          </cell>
        </row>
        <row r="164">
          <cell r="B164" t="str">
            <v>+</v>
          </cell>
          <cell r="E164" t="str">
            <v>Nov.</v>
          </cell>
          <cell r="AT164">
            <v>110.25461006996127</v>
          </cell>
          <cell r="AU164">
            <v>98.078043867544167</v>
          </cell>
          <cell r="AX164" t="str">
            <v>Nov</v>
          </cell>
          <cell r="AY164">
            <v>62.85120983133713</v>
          </cell>
          <cell r="AZ164">
            <v>0.69176599641183467</v>
          </cell>
          <cell r="BA164">
            <v>61.131368779774348</v>
          </cell>
          <cell r="BB164">
            <v>70.658774539049006</v>
          </cell>
          <cell r="BR164">
            <v>111.45691523948409</v>
          </cell>
          <cell r="BU164">
            <v>68.13961671431845</v>
          </cell>
        </row>
        <row r="165">
          <cell r="B165" t="str">
            <v>+</v>
          </cell>
          <cell r="E165" t="str">
            <v>Dec.</v>
          </cell>
          <cell r="AT165">
            <v>109.57587247556651</v>
          </cell>
          <cell r="AU165">
            <v>97.051535915857428</v>
          </cell>
          <cell r="AX165" t="str">
            <v>Dec</v>
          </cell>
          <cell r="AY165">
            <v>61.776502297974325</v>
          </cell>
          <cell r="AZ165">
            <v>0.63812772138269314</v>
          </cell>
          <cell r="BA165">
            <v>62.844166995599274</v>
          </cell>
          <cell r="BB165">
            <v>69.310923367402808</v>
          </cell>
          <cell r="BR165">
            <v>111.18025598994335</v>
          </cell>
          <cell r="BU165">
            <v>69.874898629541946</v>
          </cell>
        </row>
        <row r="166">
          <cell r="B166" t="str">
            <v>+</v>
          </cell>
          <cell r="D166" t="str">
            <v>1991</v>
          </cell>
          <cell r="E166" t="str">
            <v>Jan.</v>
          </cell>
          <cell r="AT166">
            <v>108.54750735239962</v>
          </cell>
          <cell r="AU166">
            <v>93.176921128356256</v>
          </cell>
          <cell r="AW166" t="str">
            <v>1991</v>
          </cell>
          <cell r="AX166">
            <v>33239</v>
          </cell>
          <cell r="AY166">
            <v>54.558086574227595</v>
          </cell>
          <cell r="AZ166">
            <v>0.52270821897392594</v>
          </cell>
          <cell r="BA166">
            <v>51.364390991125177</v>
          </cell>
          <cell r="BB166">
            <v>74.876734071685775</v>
          </cell>
          <cell r="BR166">
            <v>110.29792595046035</v>
          </cell>
          <cell r="BU166">
            <v>56.657582052894838</v>
          </cell>
        </row>
        <row r="167">
          <cell r="B167" t="str">
            <v>+</v>
          </cell>
          <cell r="E167" t="str">
            <v>Feb.</v>
          </cell>
          <cell r="AT167">
            <v>110.55782393024619</v>
          </cell>
          <cell r="AU167">
            <v>94.663773765112893</v>
          </cell>
          <cell r="AX167" t="str">
            <v>Feb</v>
          </cell>
          <cell r="AY167">
            <v>54.015349274176515</v>
          </cell>
          <cell r="AZ167">
            <v>0.47988117591450397</v>
          </cell>
          <cell r="BA167">
            <v>66.260717614034021</v>
          </cell>
          <cell r="BB167">
            <v>77.700151743643303</v>
          </cell>
          <cell r="BR167">
            <v>112.61713711212916</v>
          </cell>
          <cell r="BU167">
            <v>74.625828375392715</v>
          </cell>
        </row>
        <row r="168">
          <cell r="B168" t="str">
            <v>+</v>
          </cell>
          <cell r="E168" t="str">
            <v>March</v>
          </cell>
          <cell r="AT168">
            <v>103.04659999685349</v>
          </cell>
          <cell r="AU168">
            <v>88.752868194270221</v>
          </cell>
          <cell r="AX168" t="str">
            <v>Mar</v>
          </cell>
          <cell r="AY168">
            <v>55.290903978447936</v>
          </cell>
          <cell r="AZ168">
            <v>0.56039049020909004</v>
          </cell>
          <cell r="BA168">
            <v>67.049183290076414</v>
          </cell>
          <cell r="BB168">
            <v>82.650913539433446</v>
          </cell>
          <cell r="BR168">
            <v>106.1393269872501</v>
          </cell>
          <cell r="BU168">
            <v>71.170229925970645</v>
          </cell>
        </row>
        <row r="169">
          <cell r="B169" t="str">
            <v>+</v>
          </cell>
          <cell r="E169" t="str">
            <v>April</v>
          </cell>
          <cell r="AT169">
            <v>97.816125768129965</v>
          </cell>
          <cell r="AU169">
            <v>84.485746977459087</v>
          </cell>
          <cell r="AX169" t="str">
            <v>Apr</v>
          </cell>
          <cell r="AY169">
            <v>55.912880617050263</v>
          </cell>
          <cell r="AZ169">
            <v>0.54919522992492209</v>
          </cell>
          <cell r="BA169">
            <v>68.294798327569112</v>
          </cell>
          <cell r="BB169">
            <v>85.696392246293911</v>
          </cell>
          <cell r="BR169">
            <v>102.14514072132152</v>
          </cell>
          <cell r="BU169">
            <v>69.764403483260537</v>
          </cell>
        </row>
        <row r="170">
          <cell r="B170" t="str">
            <v>+</v>
          </cell>
          <cell r="E170" t="str">
            <v>May</v>
          </cell>
          <cell r="AT170">
            <v>96.983402569415432</v>
          </cell>
          <cell r="AU170">
            <v>83.820470546965012</v>
          </cell>
          <cell r="AX170" t="str">
            <v>May</v>
          </cell>
          <cell r="AY170">
            <v>56.055952541289635</v>
          </cell>
          <cell r="AZ170">
            <v>0.55724065940892986</v>
          </cell>
          <cell r="BA170">
            <v>67.016623851274247</v>
          </cell>
          <cell r="BB170">
            <v>88.494629135030536</v>
          </cell>
          <cell r="BR170">
            <v>102.4437403724986</v>
          </cell>
          <cell r="BU170">
            <v>68.658849102556374</v>
          </cell>
        </row>
        <row r="171">
          <cell r="B171" t="str">
            <v>+</v>
          </cell>
          <cell r="E171" t="str">
            <v>June</v>
          </cell>
          <cell r="AT171">
            <v>93.631198316466879</v>
          </cell>
          <cell r="AU171">
            <v>81.126055579085715</v>
          </cell>
          <cell r="AX171" t="str">
            <v>Jun</v>
          </cell>
          <cell r="AY171">
            <v>56.615537036050299</v>
          </cell>
          <cell r="AZ171">
            <v>0.55913778196545905</v>
          </cell>
          <cell r="BA171">
            <v>77.436766469813278</v>
          </cell>
          <cell r="BB171">
            <v>91.651718075236374</v>
          </cell>
          <cell r="BR171">
            <v>98.610193879527401</v>
          </cell>
          <cell r="BU171">
            <v>76.365565071626918</v>
          </cell>
        </row>
        <row r="172">
          <cell r="B172" t="str">
            <v>+</v>
          </cell>
          <cell r="E172" t="str">
            <v>July</v>
          </cell>
          <cell r="AT172">
            <v>93.491304844653499</v>
          </cell>
          <cell r="AU172">
            <v>80.962816004955386</v>
          </cell>
          <cell r="AX172" t="str">
            <v>Jul</v>
          </cell>
          <cell r="AY172">
            <v>56.49905789331369</v>
          </cell>
          <cell r="AZ172">
            <v>0.55047749176402194</v>
          </cell>
          <cell r="BA172">
            <v>76.845312270519429</v>
          </cell>
          <cell r="BB172">
            <v>91.357517662392098</v>
          </cell>
          <cell r="BR172">
            <v>97.854489402868367</v>
          </cell>
          <cell r="BU172">
            <v>75.201530961901767</v>
          </cell>
        </row>
        <row r="173">
          <cell r="B173" t="str">
            <v>+</v>
          </cell>
          <cell r="E173" t="str">
            <v>Aug.</v>
          </cell>
          <cell r="AT173">
            <v>95.50747901008836</v>
          </cell>
          <cell r="AU173">
            <v>82.582625374267238</v>
          </cell>
          <cell r="AX173" t="str">
            <v>Aug</v>
          </cell>
          <cell r="AY173">
            <v>56.157780520566568</v>
          </cell>
          <cell r="AZ173">
            <v>0.50339852751922243</v>
          </cell>
          <cell r="BA173">
            <v>72.974655446471928</v>
          </cell>
          <cell r="BB173">
            <v>91.426603220650108</v>
          </cell>
          <cell r="BR173">
            <v>99.735028326539265</v>
          </cell>
          <cell r="BU173">
            <v>72.786077522109011</v>
          </cell>
        </row>
        <row r="174">
          <cell r="B174" t="str">
            <v>+</v>
          </cell>
          <cell r="E174" t="str">
            <v>Sept.</v>
          </cell>
          <cell r="AT174">
            <v>97.868471725571823</v>
          </cell>
          <cell r="AU174">
            <v>84.455658830774411</v>
          </cell>
          <cell r="AX174" t="str">
            <v>Sep</v>
          </cell>
          <cell r="AY174">
            <v>55.715493594823606</v>
          </cell>
          <cell r="AZ174">
            <v>0.49966963053337499</v>
          </cell>
          <cell r="BA174">
            <v>78.780878001789503</v>
          </cell>
          <cell r="BB174">
            <v>91.31354856636348</v>
          </cell>
          <cell r="BR174">
            <v>102.7981466749476</v>
          </cell>
          <cell r="BU174">
            <v>80.990606046535845</v>
          </cell>
        </row>
        <row r="175">
          <cell r="B175" t="str">
            <v>+</v>
          </cell>
          <cell r="E175" t="str">
            <v>Oct.</v>
          </cell>
          <cell r="AT175">
            <v>98.261358323037882</v>
          </cell>
          <cell r="AU175">
            <v>84.808943865025583</v>
          </cell>
          <cell r="AX175" t="str">
            <v>Oct</v>
          </cell>
          <cell r="AY175">
            <v>55.752640753576912</v>
          </cell>
          <cell r="AZ175">
            <v>0.53751826927998125</v>
          </cell>
          <cell r="BA175">
            <v>80.301046718473103</v>
          </cell>
          <cell r="BB175">
            <v>91.889365073420862</v>
          </cell>
          <cell r="BR175">
            <v>104.02007099628467</v>
          </cell>
          <cell r="BU175">
            <v>83.534696557266415</v>
          </cell>
        </row>
        <row r="176">
          <cell r="B176" t="str">
            <v>+</v>
          </cell>
          <cell r="E176" t="str">
            <v>Nov.</v>
          </cell>
          <cell r="AT176">
            <v>101.73617156770416</v>
          </cell>
          <cell r="AU176">
            <v>87.594039313353676</v>
          </cell>
          <cell r="AX176" t="str">
            <v>Nov</v>
          </cell>
          <cell r="AY176">
            <v>55.215393479311601</v>
          </cell>
          <cell r="AZ176">
            <v>0.58819341531803637</v>
          </cell>
          <cell r="BA176">
            <v>80.993403669080749</v>
          </cell>
          <cell r="BB176">
            <v>91.827677077459356</v>
          </cell>
          <cell r="BR176">
            <v>108.32028665722207</v>
          </cell>
          <cell r="BU176">
            <v>87.738054065151104</v>
          </cell>
        </row>
        <row r="177">
          <cell r="B177" t="str">
            <v>+</v>
          </cell>
          <cell r="E177" t="str">
            <v>Dec.</v>
          </cell>
          <cell r="AT177">
            <v>104.8529055988687</v>
          </cell>
          <cell r="AU177">
            <v>90.064435136100983</v>
          </cell>
          <cell r="AX177" t="str">
            <v>Dec</v>
          </cell>
          <cell r="AY177">
            <v>54.700026761852506</v>
          </cell>
          <cell r="AZ177">
            <v>0.54520374429306806</v>
          </cell>
          <cell r="BA177">
            <v>87.86435322380315</v>
          </cell>
          <cell r="BB177">
            <v>91.481117726075098</v>
          </cell>
          <cell r="BR177">
            <v>111.37038443362279</v>
          </cell>
          <cell r="BU177">
            <v>97.861300405548192</v>
          </cell>
        </row>
        <row r="178">
          <cell r="B178" t="str">
            <v>+</v>
          </cell>
          <cell r="D178" t="str">
            <v>1992</v>
          </cell>
          <cell r="E178" t="str">
            <v>Jan.</v>
          </cell>
          <cell r="AT178">
            <v>104.48723301661377</v>
          </cell>
          <cell r="AU178">
            <v>89.980666226623214</v>
          </cell>
          <cell r="AW178" t="str">
            <v>1992</v>
          </cell>
          <cell r="AX178">
            <v>33604</v>
          </cell>
          <cell r="AY178">
            <v>55.259209273165851</v>
          </cell>
          <cell r="AZ178">
            <v>0.50191922404464284</v>
          </cell>
          <cell r="BA178">
            <v>83.609144967629291</v>
          </cell>
          <cell r="BB178">
            <v>90.926560824615621</v>
          </cell>
          <cell r="BR178">
            <v>110.47021413309579</v>
          </cell>
          <cell r="BU178">
            <v>92.369272928763678</v>
          </cell>
        </row>
        <row r="179">
          <cell r="B179" t="str">
            <v>+</v>
          </cell>
          <cell r="E179" t="str">
            <v>Feb.</v>
          </cell>
          <cell r="AT179">
            <v>102.10114552056056</v>
          </cell>
          <cell r="AU179">
            <v>88.112170462747386</v>
          </cell>
          <cell r="AX179" t="str">
            <v>Feb</v>
          </cell>
          <cell r="AY179">
            <v>55.725338712473693</v>
          </cell>
          <cell r="AZ179">
            <v>0.47289124089802442</v>
          </cell>
          <cell r="BA179">
            <v>84.0200233328287</v>
          </cell>
          <cell r="BB179">
            <v>91.014189822846134</v>
          </cell>
          <cell r="BR179">
            <v>107.69599003388875</v>
          </cell>
          <cell r="BU179">
            <v>90.492144019161586</v>
          </cell>
        </row>
        <row r="180">
          <cell r="B180" t="str">
            <v>+</v>
          </cell>
          <cell r="E180" t="str">
            <v>March</v>
          </cell>
          <cell r="AT180">
            <v>99.674204506221344</v>
          </cell>
          <cell r="AU180">
            <v>86.2552109682223</v>
          </cell>
          <cell r="AX180" t="str">
            <v>Mar</v>
          </cell>
          <cell r="AY180">
            <v>56.338311050802439</v>
          </cell>
          <cell r="AZ180">
            <v>0.53779372040718754</v>
          </cell>
          <cell r="BA180">
            <v>85.348176132429998</v>
          </cell>
          <cell r="BB180">
            <v>92.232958779605141</v>
          </cell>
          <cell r="BR180">
            <v>105.59519621476437</v>
          </cell>
          <cell r="BU180">
            <v>90.12949828016292</v>
          </cell>
        </row>
        <row r="181">
          <cell r="B181" t="str">
            <v>+</v>
          </cell>
          <cell r="E181" t="str">
            <v>April</v>
          </cell>
          <cell r="AT181">
            <v>100.39161437633206</v>
          </cell>
          <cell r="AU181">
            <v>86.794272742874313</v>
          </cell>
          <cell r="AX181" t="str">
            <v>Apr</v>
          </cell>
          <cell r="AY181">
            <v>56.12819460661035</v>
          </cell>
          <cell r="AZ181">
            <v>0.52031027090067539</v>
          </cell>
          <cell r="BA181">
            <v>82.962583096389537</v>
          </cell>
          <cell r="BB181">
            <v>92.772626968143811</v>
          </cell>
          <cell r="BR181">
            <v>106.78641712218815</v>
          </cell>
          <cell r="BU181">
            <v>88.598593641428437</v>
          </cell>
        </row>
        <row r="182">
          <cell r="B182" t="str">
            <v>+</v>
          </cell>
          <cell r="E182" t="str">
            <v>May</v>
          </cell>
          <cell r="AT182">
            <v>102.10606253072423</v>
          </cell>
          <cell r="AU182">
            <v>88.069112068699297</v>
          </cell>
          <cell r="AX182" t="str">
            <v>May</v>
          </cell>
          <cell r="AY182">
            <v>55.606727354075247</v>
          </cell>
          <cell r="AZ182">
            <v>0.52875625203352927</v>
          </cell>
          <cell r="BA182">
            <v>89.522180191088466</v>
          </cell>
          <cell r="BB182">
            <v>93.001698001445021</v>
          </cell>
          <cell r="BR182">
            <v>108.9704112267649</v>
          </cell>
          <cell r="BU182">
            <v>97.559100469823221</v>
          </cell>
        </row>
        <row r="183">
          <cell r="B183" t="str">
            <v>+</v>
          </cell>
          <cell r="E183" t="str">
            <v>June</v>
          </cell>
          <cell r="AT183">
            <v>104.80447043781381</v>
          </cell>
          <cell r="AU183">
            <v>90.13691880629348</v>
          </cell>
          <cell r="AX183" t="str">
            <v>Jun</v>
          </cell>
          <cell r="AY183">
            <v>54.97563313774311</v>
          </cell>
          <cell r="AZ183">
            <v>0.51822981815012714</v>
          </cell>
          <cell r="BA183">
            <v>80.220735873208923</v>
          </cell>
          <cell r="BB183">
            <v>92.865824432529138</v>
          </cell>
          <cell r="BR183">
            <v>112.47219189814078</v>
          </cell>
          <cell r="BU183">
            <v>90.231950955048944</v>
          </cell>
        </row>
        <row r="184">
          <cell r="B184" t="str">
            <v>+</v>
          </cell>
          <cell r="E184" t="str">
            <v>July</v>
          </cell>
          <cell r="AT184">
            <v>109.82828275681985</v>
          </cell>
          <cell r="AU184">
            <v>94.910614800746771</v>
          </cell>
          <cell r="AX184" t="str">
            <v>Jul</v>
          </cell>
          <cell r="AY184">
            <v>56.029281527488742</v>
          </cell>
          <cell r="AZ184">
            <v>0.52196485425297834</v>
          </cell>
          <cell r="BA184">
            <v>84.790186559722642</v>
          </cell>
          <cell r="BB184">
            <v>96.507376411799996</v>
          </cell>
          <cell r="BR184">
            <v>118.53657121506585</v>
          </cell>
          <cell r="BU184">
            <v>100.51398667635931</v>
          </cell>
        </row>
        <row r="185">
          <cell r="B185" t="str">
            <v>+</v>
          </cell>
          <cell r="E185" t="str">
            <v>Aug.</v>
          </cell>
          <cell r="AT185">
            <v>112.31505206954623</v>
          </cell>
          <cell r="AU185">
            <v>95.937216774002039</v>
          </cell>
          <cell r="AX185" t="str">
            <v>Aug</v>
          </cell>
          <cell r="AY185">
            <v>53.501955004322753</v>
          </cell>
          <cell r="AZ185">
            <v>0.46212444178161682</v>
          </cell>
          <cell r="BA185">
            <v>81.626432357852977</v>
          </cell>
          <cell r="BB185">
            <v>93.135226312378833</v>
          </cell>
          <cell r="BR185">
            <v>121.89324328227858</v>
          </cell>
          <cell r="BU185">
            <v>99.50364616835374</v>
          </cell>
        </row>
        <row r="186">
          <cell r="B186" t="str">
            <v>+</v>
          </cell>
          <cell r="E186" t="str">
            <v>Sept.</v>
          </cell>
          <cell r="AT186">
            <v>111.59843876002805</v>
          </cell>
          <cell r="AU186">
            <v>95.540891522854579</v>
          </cell>
          <cell r="AX186" t="str">
            <v>Sep</v>
          </cell>
          <cell r="AY186">
            <v>53.984185077433558</v>
          </cell>
          <cell r="AZ186">
            <v>0.46461534940216043</v>
          </cell>
          <cell r="BA186">
            <v>81.925760410346285</v>
          </cell>
          <cell r="BB186">
            <v>95.833387244499704</v>
          </cell>
          <cell r="BR186">
            <v>121.40140706967321</v>
          </cell>
          <cell r="BU186">
            <v>99.465563779279123</v>
          </cell>
        </row>
        <row r="187">
          <cell r="B187" t="str">
            <v>+</v>
          </cell>
          <cell r="E187" t="str">
            <v>Oct.</v>
          </cell>
          <cell r="AT187">
            <v>107.79762349204474</v>
          </cell>
          <cell r="AU187">
            <v>92.924519093703367</v>
          </cell>
          <cell r="AX187" t="str">
            <v>Oct</v>
          </cell>
          <cell r="AY187">
            <v>55.479366182888569</v>
          </cell>
          <cell r="AZ187">
            <v>0.51685485848213586</v>
          </cell>
          <cell r="BA187">
            <v>88.159426020806222</v>
          </cell>
          <cell r="BB187">
            <v>100.72685496254793</v>
          </cell>
          <cell r="BR187">
            <v>117.53701277641271</v>
          </cell>
          <cell r="BU187">
            <v>103.62676723089406</v>
          </cell>
        </row>
        <row r="188">
          <cell r="B188" t="str">
            <v>+</v>
          </cell>
          <cell r="E188" t="str">
            <v>Nov.</v>
          </cell>
          <cell r="AT188">
            <v>101.49811574661865</v>
          </cell>
          <cell r="AU188">
            <v>87.907928721792601</v>
          </cell>
          <cell r="AX188" t="str">
            <v>Nov</v>
          </cell>
          <cell r="AY188">
            <v>56.527811581069173</v>
          </cell>
          <cell r="AZ188">
            <v>0.58733078310468356</v>
          </cell>
          <cell r="BA188">
            <v>92.126541625813147</v>
          </cell>
          <cell r="BB188">
            <v>104.49852848523471</v>
          </cell>
          <cell r="BR188">
            <v>111.00441158319794</v>
          </cell>
          <cell r="BU188">
            <v>102.27124775036245</v>
          </cell>
        </row>
        <row r="189">
          <cell r="B189" t="str">
            <v>+</v>
          </cell>
          <cell r="E189" t="str">
            <v>Dec.</v>
          </cell>
          <cell r="AT189">
            <v>101.4309490719499</v>
          </cell>
          <cell r="AU189">
            <v>87.825663053643353</v>
          </cell>
          <cell r="AX189" t="str">
            <v>Dec</v>
          </cell>
          <cell r="AY189">
            <v>56.466318920958159</v>
          </cell>
          <cell r="AZ189">
            <v>0.54467255674537707</v>
          </cell>
          <cell r="BA189">
            <v>93.310905737565932</v>
          </cell>
          <cell r="BB189">
            <v>104.67214134739345</v>
          </cell>
          <cell r="BR189">
            <v>110.92576832344108</v>
          </cell>
          <cell r="BU189">
            <v>103.51264302275993</v>
          </cell>
        </row>
        <row r="190">
          <cell r="B190" t="str">
            <v>+</v>
          </cell>
          <cell r="D190" t="str">
            <v>1993</v>
          </cell>
          <cell r="E190" t="str">
            <v>Jan.</v>
          </cell>
          <cell r="AT190">
            <v>99.109558282660913</v>
          </cell>
          <cell r="AU190">
            <v>86.063409372529421</v>
          </cell>
          <cell r="AW190" t="str">
            <v>1993</v>
          </cell>
          <cell r="AX190">
            <v>33970</v>
          </cell>
          <cell r="AY190">
            <v>57.115684349787053</v>
          </cell>
          <cell r="AZ190">
            <v>0.49491628187393039</v>
          </cell>
          <cell r="BA190">
            <v>93.654498359360133</v>
          </cell>
          <cell r="BB190">
            <v>112.23791113848783</v>
          </cell>
          <cell r="BR190">
            <v>108.29879700559285</v>
          </cell>
          <cell r="BU190">
            <v>101.43336229713368</v>
          </cell>
        </row>
        <row r="191">
          <cell r="B191" t="str">
            <v>+</v>
          </cell>
          <cell r="E191" t="str">
            <v>Feb.</v>
          </cell>
          <cell r="AT191">
            <v>97.357756139332366</v>
          </cell>
          <cell r="AU191">
            <v>84.774034609122992</v>
          </cell>
          <cell r="AX191" t="str">
            <v>Feb</v>
          </cell>
          <cell r="AY191">
            <v>57.945082835354</v>
          </cell>
          <cell r="AZ191">
            <v>0.47334006101170639</v>
          </cell>
          <cell r="BA191">
            <v>93.73774518344085</v>
          </cell>
          <cell r="BB191">
            <v>114.56545813830773</v>
          </cell>
          <cell r="BR191">
            <v>106.39483427575698</v>
          </cell>
          <cell r="BU191">
            <v>99.738674481956025</v>
          </cell>
        </row>
        <row r="192">
          <cell r="B192" t="str">
            <v>+</v>
          </cell>
          <cell r="E192" t="str">
            <v>March</v>
          </cell>
          <cell r="AT192">
            <v>96.964790414758795</v>
          </cell>
          <cell r="AU192">
            <v>84.455849825019826</v>
          </cell>
          <cell r="AX192" t="str">
            <v>Mar</v>
          </cell>
          <cell r="AY192">
            <v>58.149865425301343</v>
          </cell>
          <cell r="AZ192">
            <v>0.52731149208694328</v>
          </cell>
          <cell r="BA192">
            <v>95.6806466827923</v>
          </cell>
          <cell r="BB192">
            <v>115.57642065439403</v>
          </cell>
          <cell r="BR192">
            <v>106.1576239233615</v>
          </cell>
          <cell r="BU192">
            <v>101.57897787661986</v>
          </cell>
        </row>
        <row r="193">
          <cell r="B193" t="str">
            <v>+</v>
          </cell>
          <cell r="E193" t="str">
            <v>April</v>
          </cell>
          <cell r="AT193">
            <v>100.0551372286594</v>
          </cell>
          <cell r="AU193">
            <v>86.802958161562884</v>
          </cell>
          <cell r="AX193" t="str">
            <v>Apr</v>
          </cell>
          <cell r="AY193">
            <v>57.421529417366635</v>
          </cell>
          <cell r="AZ193">
            <v>0.50876388469734279</v>
          </cell>
          <cell r="BA193">
            <v>94.158590688607163</v>
          </cell>
          <cell r="BB193">
            <v>115.19325046803561</v>
          </cell>
          <cell r="BR193">
            <v>109.74526011834655</v>
          </cell>
          <cell r="BU193">
            <v>103.34138292182843</v>
          </cell>
        </row>
        <row r="194">
          <cell r="B194" t="str">
            <v>+</v>
          </cell>
          <cell r="E194" t="str">
            <v>May</v>
          </cell>
          <cell r="AT194">
            <v>100.18413252643079</v>
          </cell>
          <cell r="AU194">
            <v>86.848845539561921</v>
          </cell>
          <cell r="AX194" t="str">
            <v>May</v>
          </cell>
          <cell r="AY194">
            <v>57.129121222526145</v>
          </cell>
          <cell r="AZ194">
            <v>0.52822287627554354</v>
          </cell>
          <cell r="BA194">
            <v>96.854603742161913</v>
          </cell>
          <cell r="BB194">
            <v>115.95632307977576</v>
          </cell>
          <cell r="BR194">
            <v>110.06813666962888</v>
          </cell>
          <cell r="BU194">
            <v>106.61306531284293</v>
          </cell>
        </row>
        <row r="195">
          <cell r="B195" t="str">
            <v>+</v>
          </cell>
          <cell r="E195" t="str">
            <v>June</v>
          </cell>
          <cell r="AT195">
            <v>97.973494600773193</v>
          </cell>
          <cell r="AU195">
            <v>85.155995219653647</v>
          </cell>
          <cell r="AX195" t="str">
            <v>Jun</v>
          </cell>
          <cell r="AY195">
            <v>57.489793283476899</v>
          </cell>
          <cell r="AZ195">
            <v>0.52333103896538491</v>
          </cell>
          <cell r="BA195">
            <v>102.41248693665175</v>
          </cell>
          <cell r="BB195">
            <v>118.01739555428223</v>
          </cell>
          <cell r="BR195">
            <v>107.7680015111452</v>
          </cell>
          <cell r="BU195">
            <v>110.37514544675828</v>
          </cell>
        </row>
        <row r="196">
          <cell r="B196" t="str">
            <v>+</v>
          </cell>
          <cell r="E196" t="str">
            <v>July</v>
          </cell>
          <cell r="AT196">
            <v>94.659386864761885</v>
          </cell>
          <cell r="AU196">
            <v>81.008179736361996</v>
          </cell>
          <cell r="AX196" t="str">
            <v>Jul</v>
          </cell>
          <cell r="AY196">
            <v>57.996384480229487</v>
          </cell>
          <cell r="AZ196">
            <v>0.51958168623795009</v>
          </cell>
          <cell r="BA196">
            <v>102.12183701090227</v>
          </cell>
          <cell r="BB196">
            <v>120.40677174589869</v>
          </cell>
          <cell r="BR196">
            <v>104.2409149423403</v>
          </cell>
          <cell r="BU196">
            <v>106.45973487274661</v>
          </cell>
        </row>
        <row r="197">
          <cell r="B197" t="str">
            <v>+</v>
          </cell>
          <cell r="E197" t="str">
            <v>Aug.</v>
          </cell>
          <cell r="AT197">
            <v>95.146676887487516</v>
          </cell>
          <cell r="AU197">
            <v>80.802059011573334</v>
          </cell>
          <cell r="AX197" t="str">
            <v>Aug</v>
          </cell>
          <cell r="AY197">
            <v>58.01054950005409</v>
          </cell>
          <cell r="AZ197">
            <v>0.48548465689332138</v>
          </cell>
          <cell r="BA197">
            <v>102.33797595015494</v>
          </cell>
          <cell r="BB197">
            <v>121.74527216982113</v>
          </cell>
          <cell r="BR197">
            <v>104.91547321491366</v>
          </cell>
          <cell r="BU197">
            <v>107.37542955209469</v>
          </cell>
        </row>
        <row r="198">
          <cell r="B198" t="str">
            <v>+</v>
          </cell>
          <cell r="E198" t="str">
            <v>Sept.</v>
          </cell>
          <cell r="AT198">
            <v>98.526105114151378</v>
          </cell>
          <cell r="AU198">
            <v>83.435046164154556</v>
          </cell>
          <cell r="AX198" t="str">
            <v>Sep</v>
          </cell>
          <cell r="AY198">
            <v>57.6212361845689</v>
          </cell>
          <cell r="AZ198">
            <v>0.47719119328193266</v>
          </cell>
          <cell r="BA198">
            <v>99.426539568562404</v>
          </cell>
          <cell r="BB198">
            <v>122.59863817796432</v>
          </cell>
          <cell r="BR198">
            <v>108.69752125842918</v>
          </cell>
          <cell r="BU198">
            <v>108.08128818569294</v>
          </cell>
        </row>
        <row r="199">
          <cell r="B199" t="str">
            <v>+</v>
          </cell>
          <cell r="E199" t="str">
            <v>Oct.</v>
          </cell>
          <cell r="AT199">
            <v>97.281229440974187</v>
          </cell>
          <cell r="AU199">
            <v>82.592971024048083</v>
          </cell>
          <cell r="AX199" t="str">
            <v>Oct</v>
          </cell>
          <cell r="AY199">
            <v>58.217291803783475</v>
          </cell>
          <cell r="AZ199">
            <v>0.52092006293441795</v>
          </cell>
          <cell r="BA199">
            <v>106.79476024803587</v>
          </cell>
          <cell r="BB199">
            <v>125.19071254430838</v>
          </cell>
          <cell r="BR199">
            <v>107.19885986473182</v>
          </cell>
          <cell r="BU199">
            <v>114.49029084764814</v>
          </cell>
        </row>
        <row r="200">
          <cell r="B200" t="str">
            <v>+</v>
          </cell>
          <cell r="AY200">
            <v>58.506040312859533</v>
          </cell>
          <cell r="AZ200">
            <v>0.5901055816720554</v>
          </cell>
          <cell r="BA200">
            <v>102.95024720873762</v>
          </cell>
          <cell r="BB200">
            <v>126.22005615382726</v>
          </cell>
          <cell r="BR200">
            <v>104.02696339393587</v>
          </cell>
          <cell r="BU200">
            <v>107.10305588005691</v>
          </cell>
        </row>
        <row r="201">
          <cell r="B201" t="str">
            <v>+</v>
          </cell>
          <cell r="AY201">
            <v>58.539475852722923</v>
          </cell>
          <cell r="AZ201">
            <v>0.54002173907925877</v>
          </cell>
          <cell r="BA201">
            <v>101.94895183888708</v>
          </cell>
          <cell r="BB201">
            <v>127.78599258269801</v>
          </cell>
          <cell r="BR201">
            <v>104.22766650071105</v>
          </cell>
          <cell r="BU201">
            <v>106.26599840593111</v>
          </cell>
        </row>
        <row r="202">
          <cell r="B202" t="str">
            <v>+</v>
          </cell>
          <cell r="AY202">
            <v>58.686797979728709</v>
          </cell>
          <cell r="AZ202">
            <v>0.49219152015457668</v>
          </cell>
          <cell r="BA202">
            <v>103.89923388721343</v>
          </cell>
          <cell r="BB202">
            <v>127.24782485090257</v>
          </cell>
          <cell r="BR202">
            <v>103.71768974334496</v>
          </cell>
          <cell r="BU202">
            <v>107.76896872167472</v>
          </cell>
        </row>
        <row r="203">
          <cell r="B203" t="str">
            <v>+</v>
          </cell>
          <cell r="AY203">
            <v>58.512051153900032</v>
          </cell>
          <cell r="AZ203">
            <v>0.46583880811168621</v>
          </cell>
          <cell r="BA203">
            <v>104.0781767563637</v>
          </cell>
          <cell r="BB203">
            <v>126.72927078211971</v>
          </cell>
          <cell r="BR203">
            <v>104.93841999759694</v>
          </cell>
          <cell r="BU203">
            <v>109.225173639856</v>
          </cell>
        </row>
        <row r="204">
          <cell r="B204" t="str">
            <v>+</v>
          </cell>
          <cell r="AY204">
            <v>58.256436021626691</v>
          </cell>
          <cell r="AZ204">
            <v>0.50706163561399498</v>
          </cell>
          <cell r="BA204">
            <v>101.83154455286547</v>
          </cell>
          <cell r="BB204">
            <v>126.75091583400464</v>
          </cell>
          <cell r="BR204">
            <v>106.36789359219681</v>
          </cell>
          <cell r="BU204">
            <v>108.32318905510245</v>
          </cell>
        </row>
        <row r="205">
          <cell r="B205" t="str">
            <v>+</v>
          </cell>
          <cell r="AY205">
            <v>58.152780907580237</v>
          </cell>
          <cell r="AZ205">
            <v>0.49976394690650044</v>
          </cell>
          <cell r="BA205">
            <v>104.4752682468324</v>
          </cell>
          <cell r="BB205">
            <v>127.58613590811495</v>
          </cell>
          <cell r="BR205">
            <v>105.38392749462197</v>
          </cell>
          <cell r="BU205">
            <v>110.10737831594025</v>
          </cell>
        </row>
        <row r="206">
          <cell r="B206" t="str">
            <v>+</v>
          </cell>
          <cell r="AY206">
            <v>57.830853856170549</v>
          </cell>
          <cell r="AZ206">
            <v>0.52513312910879206</v>
          </cell>
          <cell r="BA206">
            <v>102.6366163830851</v>
          </cell>
          <cell r="BB206">
            <v>128.02554913621626</v>
          </cell>
          <cell r="BR206">
            <v>106.81663562281649</v>
          </cell>
          <cell r="BU206">
            <v>109.64018720584259</v>
          </cell>
        </row>
        <row r="207">
          <cell r="B207" t="str">
            <v>+</v>
          </cell>
          <cell r="AZ207">
            <v>0.51348097145076543</v>
          </cell>
        </row>
        <row r="208">
          <cell r="B208" t="str">
            <v>+</v>
          </cell>
          <cell r="AZ208">
            <v>0.50145143880579912</v>
          </cell>
        </row>
        <row r="209">
          <cell r="B209" t="str">
            <v>+</v>
          </cell>
          <cell r="AZ209">
            <v>0.47119476502599783</v>
          </cell>
        </row>
        <row r="210">
          <cell r="B210" t="str">
            <v>+</v>
          </cell>
          <cell r="AZ210">
            <v>0.46201037289063729</v>
          </cell>
        </row>
        <row r="211">
          <cell r="B211" t="str">
            <v>+</v>
          </cell>
        </row>
        <row r="212">
          <cell r="B212" t="str">
            <v>+</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1">
          <cell r="B221" t="str">
            <v>+</v>
          </cell>
        </row>
        <row r="222">
          <cell r="B222" t="str">
            <v>+</v>
          </cell>
        </row>
        <row r="223">
          <cell r="B223" t="str">
            <v>+</v>
          </cell>
        </row>
        <row r="224">
          <cell r="B224"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v>
          </cell>
        </row>
        <row r="239">
          <cell r="B239" t="str">
            <v>+</v>
          </cell>
        </row>
        <row r="240">
          <cell r="B240" t="str">
            <v>+</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v>
          </cell>
        </row>
        <row r="257">
          <cell r="B257" t="str">
            <v>+</v>
          </cell>
        </row>
        <row r="258">
          <cell r="B258" t="str">
            <v>+</v>
          </cell>
        </row>
      </sheetData>
      <sheetData sheetId="15" refreshError="1">
        <row r="1">
          <cell r="O1" t="str">
            <v>Rprofit</v>
          </cell>
          <cell r="R1" t="str">
            <v>$NULCG6</v>
          </cell>
          <cell r="S1" t="str">
            <v>$ULCCR</v>
          </cell>
          <cell r="T1" t="str">
            <v>Rulc$</v>
          </cell>
          <cell r="W1" t="str">
            <v>neer</v>
          </cell>
          <cell r="X1" t="str">
            <v>reerc</v>
          </cell>
          <cell r="Y1" t="str">
            <v>reeru</v>
          </cell>
          <cell r="Z1" t="str">
            <v>reerp</v>
          </cell>
        </row>
        <row r="9">
          <cell r="A9" t="str">
            <v>1990m1</v>
          </cell>
          <cell r="O9">
            <v>101.72719023627046</v>
          </cell>
        </row>
        <row r="10">
          <cell r="A10" t="str">
            <v>+</v>
          </cell>
          <cell r="O10">
            <v>127.32281137144518</v>
          </cell>
        </row>
        <row r="11">
          <cell r="A11" t="str">
            <v>+</v>
          </cell>
          <cell r="O11">
            <v>105.14562177702483</v>
          </cell>
        </row>
        <row r="12">
          <cell r="A12" t="str">
            <v>+</v>
          </cell>
          <cell r="O12">
            <v>114.6074925386022</v>
          </cell>
        </row>
        <row r="13">
          <cell r="A13" t="str">
            <v>+</v>
          </cell>
          <cell r="O13">
            <v>96.402377903674193</v>
          </cell>
        </row>
        <row r="14">
          <cell r="A14" t="str">
            <v>+</v>
          </cell>
          <cell r="O14">
            <v>87.432805154089976</v>
          </cell>
        </row>
        <row r="15">
          <cell r="A15" t="str">
            <v>+</v>
          </cell>
          <cell r="O15">
            <v>94.762574002002964</v>
          </cell>
        </row>
        <row r="16">
          <cell r="A16" t="str">
            <v>+</v>
          </cell>
          <cell r="O16">
            <v>97.206862677381196</v>
          </cell>
        </row>
        <row r="17">
          <cell r="A17" t="str">
            <v>+</v>
          </cell>
          <cell r="O17">
            <v>84.355436694522695</v>
          </cell>
        </row>
        <row r="18">
          <cell r="A18" t="str">
            <v>+</v>
          </cell>
          <cell r="O18">
            <v>89.25178796896013</v>
          </cell>
        </row>
        <row r="19">
          <cell r="A19" t="str">
            <v>+</v>
          </cell>
          <cell r="O19">
            <v>86.515824756313748</v>
          </cell>
        </row>
        <row r="20">
          <cell r="A20" t="str">
            <v>+</v>
          </cell>
          <cell r="O20">
            <v>90.669416866971062</v>
          </cell>
        </row>
        <row r="21">
          <cell r="A21" t="str">
            <v>+</v>
          </cell>
          <cell r="O21">
            <v>68.598209950666728</v>
          </cell>
        </row>
        <row r="22">
          <cell r="A22" t="str">
            <v>+</v>
          </cell>
          <cell r="O22">
            <v>85.27697793109229</v>
          </cell>
        </row>
        <row r="23">
          <cell r="A23" t="str">
            <v>+</v>
          </cell>
          <cell r="O23">
            <v>81.122881261850637</v>
          </cell>
        </row>
        <row r="24">
          <cell r="A24" t="str">
            <v>+</v>
          </cell>
          <cell r="O24">
            <v>79.693448726033182</v>
          </cell>
        </row>
        <row r="25">
          <cell r="A25" t="str">
            <v>+</v>
          </cell>
          <cell r="O25">
            <v>75.729164417771116</v>
          </cell>
        </row>
        <row r="26">
          <cell r="A26" t="str">
            <v>+</v>
          </cell>
          <cell r="O26">
            <v>84.489770903576897</v>
          </cell>
        </row>
        <row r="27">
          <cell r="A27" t="str">
            <v>+</v>
          </cell>
          <cell r="O27">
            <v>84.114452491022377</v>
          </cell>
        </row>
        <row r="28">
          <cell r="A28" t="str">
            <v>+</v>
          </cell>
          <cell r="O28">
            <v>79.817294290347448</v>
          </cell>
        </row>
        <row r="29">
          <cell r="A29" t="str">
            <v>+</v>
          </cell>
          <cell r="O29">
            <v>86.274634777950382</v>
          </cell>
        </row>
        <row r="30">
          <cell r="A30" t="str">
            <v>+</v>
          </cell>
          <cell r="O30">
            <v>87.388339821936256</v>
          </cell>
        </row>
        <row r="31">
          <cell r="A31" t="str">
            <v>+</v>
          </cell>
          <cell r="O31">
            <v>88.201015430563999</v>
          </cell>
        </row>
        <row r="32">
          <cell r="A32" t="str">
            <v>+</v>
          </cell>
          <cell r="O32">
            <v>96.045890496896433</v>
          </cell>
        </row>
        <row r="33">
          <cell r="A33" t="str">
            <v>+</v>
          </cell>
          <cell r="O33">
            <v>91.951866772012309</v>
          </cell>
        </row>
        <row r="34">
          <cell r="A34" t="str">
            <v>+</v>
          </cell>
          <cell r="O34">
            <v>92.31477670106527</v>
          </cell>
        </row>
        <row r="35">
          <cell r="A35" t="str">
            <v>+</v>
          </cell>
          <cell r="O35">
            <v>92.534916461818838</v>
          </cell>
        </row>
        <row r="36">
          <cell r="A36" t="str">
            <v>+</v>
          </cell>
          <cell r="O36">
            <v>89.425205022517943</v>
          </cell>
        </row>
        <row r="37">
          <cell r="A37" t="str">
            <v>+</v>
          </cell>
          <cell r="O37">
            <v>96.258104562781853</v>
          </cell>
        </row>
        <row r="38">
          <cell r="A38" t="str">
            <v>+</v>
          </cell>
          <cell r="O38">
            <v>86.382994725646768</v>
          </cell>
        </row>
        <row r="39">
          <cell r="A39" t="str">
            <v>+</v>
          </cell>
          <cell r="O39">
            <v>87.858263384790718</v>
          </cell>
        </row>
        <row r="40">
          <cell r="A40" t="str">
            <v>+</v>
          </cell>
          <cell r="O40">
            <v>87.642422694102422</v>
          </cell>
        </row>
        <row r="41">
          <cell r="A41" t="str">
            <v>+</v>
          </cell>
          <cell r="O41">
            <v>85.487216334225508</v>
          </cell>
        </row>
        <row r="42">
          <cell r="A42" t="str">
            <v>+</v>
          </cell>
          <cell r="O42">
            <v>87.522761740450662</v>
          </cell>
        </row>
        <row r="43">
          <cell r="A43" t="str">
            <v>+</v>
          </cell>
          <cell r="O43">
            <v>88.16011065881078</v>
          </cell>
        </row>
        <row r="44">
          <cell r="A44" t="str">
            <v>+</v>
          </cell>
          <cell r="O44">
            <v>89.1453776839451</v>
          </cell>
        </row>
        <row r="45">
          <cell r="A45" t="str">
            <v>+</v>
          </cell>
          <cell r="O45">
            <v>83.442364041011245</v>
          </cell>
        </row>
        <row r="46">
          <cell r="A46" t="str">
            <v>+</v>
          </cell>
          <cell r="O46">
            <v>81.819786067002354</v>
          </cell>
        </row>
        <row r="47">
          <cell r="A47" t="str">
            <v>+</v>
          </cell>
          <cell r="O47">
            <v>82.785141361381605</v>
          </cell>
        </row>
        <row r="48">
          <cell r="A48" t="str">
            <v>+</v>
          </cell>
          <cell r="O48">
            <v>81.739212573349974</v>
          </cell>
        </row>
        <row r="49">
          <cell r="A49" t="str">
            <v>+</v>
          </cell>
          <cell r="O49">
            <v>83.526323565688514</v>
          </cell>
        </row>
        <row r="50">
          <cell r="A50" t="str">
            <v>+</v>
          </cell>
          <cell r="O50">
            <v>86.77695754541503</v>
          </cell>
        </row>
        <row r="51">
          <cell r="A51" t="str">
            <v>+</v>
          </cell>
          <cell r="O51">
            <v>84.813549504500457</v>
          </cell>
        </row>
        <row r="52">
          <cell r="A52" t="str">
            <v>+</v>
          </cell>
          <cell r="O52">
            <v>84.058619155508879</v>
          </cell>
        </row>
        <row r="53">
          <cell r="A53" t="str">
            <v>+</v>
          </cell>
          <cell r="O53">
            <v>81.09875958330997</v>
          </cell>
        </row>
        <row r="54">
          <cell r="A54" t="str">
            <v>+</v>
          </cell>
          <cell r="O54">
            <v>85.305172792854279</v>
          </cell>
        </row>
        <row r="55">
          <cell r="A55" t="str">
            <v>+</v>
          </cell>
          <cell r="O55">
            <v>81.563632271323243</v>
          </cell>
        </row>
        <row r="56">
          <cell r="A56" t="str">
            <v>+</v>
          </cell>
          <cell r="O56">
            <v>79.780553964449552</v>
          </cell>
        </row>
        <row r="57">
          <cell r="A57" t="str">
            <v>+</v>
          </cell>
          <cell r="O57">
            <v>81.650624569779509</v>
          </cell>
        </row>
        <row r="58">
          <cell r="A58" t="str">
            <v>+</v>
          </cell>
          <cell r="O58">
            <v>82.125924778590928</v>
          </cell>
        </row>
        <row r="59">
          <cell r="A59" t="str">
            <v>+</v>
          </cell>
          <cell r="O59">
            <v>80.339432249669429</v>
          </cell>
        </row>
        <row r="60">
          <cell r="A60" t="str">
            <v>+</v>
          </cell>
          <cell r="O60">
            <v>81.885601508631112</v>
          </cell>
        </row>
        <row r="61">
          <cell r="A61" t="str">
            <v>+</v>
          </cell>
          <cell r="O61">
            <v>80.168399278276453</v>
          </cell>
        </row>
        <row r="62">
          <cell r="A62" t="str">
            <v>+</v>
          </cell>
          <cell r="O62">
            <v>82.414048481935225</v>
          </cell>
        </row>
        <row r="63">
          <cell r="A63" t="str">
            <v>+</v>
          </cell>
          <cell r="O63">
            <v>85.617421208162398</v>
          </cell>
        </row>
        <row r="64">
          <cell r="A64" t="str">
            <v>+</v>
          </cell>
          <cell r="O64">
            <v>83.22960356381347</v>
          </cell>
        </row>
        <row r="65">
          <cell r="A65" t="str">
            <v>+</v>
          </cell>
          <cell r="O65">
            <v>83.554065774601156</v>
          </cell>
        </row>
        <row r="66">
          <cell r="A66" t="str">
            <v>+</v>
          </cell>
          <cell r="O66">
            <v>88.7013436623036</v>
          </cell>
        </row>
        <row r="67">
          <cell r="A67" t="str">
            <v>+</v>
          </cell>
          <cell r="O67">
            <v>85.172514892886625</v>
          </cell>
        </row>
        <row r="68">
          <cell r="A68" t="str">
            <v>+</v>
          </cell>
          <cell r="O68">
            <v>84.263197691493417</v>
          </cell>
        </row>
        <row r="69">
          <cell r="A69" t="str">
            <v>+</v>
          </cell>
          <cell r="O69">
            <v>82.634131968784274</v>
          </cell>
        </row>
        <row r="70">
          <cell r="A70" t="str">
            <v>+</v>
          </cell>
          <cell r="O70">
            <v>82.977515976887943</v>
          </cell>
        </row>
        <row r="71">
          <cell r="A71" t="str">
            <v>+</v>
          </cell>
          <cell r="O71">
            <v>81.235151681145396</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row r="117">
          <cell r="A117" t="str">
            <v>+</v>
          </cell>
        </row>
        <row r="118">
          <cell r="A118" t="str">
            <v>+</v>
          </cell>
        </row>
        <row r="119">
          <cell r="A119" t="str">
            <v>+</v>
          </cell>
        </row>
        <row r="120">
          <cell r="A120" t="str">
            <v>+</v>
          </cell>
        </row>
        <row r="121">
          <cell r="A121" t="str">
            <v>+</v>
          </cell>
        </row>
        <row r="122">
          <cell r="A122" t="str">
            <v>+</v>
          </cell>
        </row>
        <row r="123">
          <cell r="A123" t="str">
            <v>+</v>
          </cell>
        </row>
        <row r="124">
          <cell r="A124" t="str">
            <v>+</v>
          </cell>
        </row>
        <row r="125">
          <cell r="A125" t="str">
            <v>+</v>
          </cell>
        </row>
      </sheetData>
      <sheetData sheetId="16"/>
      <sheetData sheetId="17"/>
      <sheetData sheetId="18"/>
      <sheetData sheetId="19" refreshError="1"/>
      <sheetData sheetId="20" refreshError="1">
        <row r="2">
          <cell r="B2" t="str">
            <v>REER-CPI</v>
          </cell>
          <cell r="C2" t="str">
            <v>REER-ULC</v>
          </cell>
          <cell r="D2" t="str">
            <v>REER-PPI</v>
          </cell>
          <cell r="E2" t="str">
            <v>CZK/$</v>
          </cell>
          <cell r="F2" t="str">
            <v>$/DEM</v>
          </cell>
        </row>
        <row r="3">
          <cell r="A3">
            <v>90.01</v>
          </cell>
          <cell r="B3">
            <v>1.009642963192813</v>
          </cell>
          <cell r="C3">
            <v>101.34981705649405</v>
          </cell>
          <cell r="D3">
            <v>99.628468216542174</v>
          </cell>
          <cell r="E3">
            <v>16.29</v>
          </cell>
          <cell r="F3">
            <v>0.59111199999999997</v>
          </cell>
        </row>
        <row r="4">
          <cell r="A4">
            <v>90.02</v>
          </cell>
          <cell r="B4">
            <v>0.90584955274081691</v>
          </cell>
          <cell r="C4">
            <v>121.51084486892017</v>
          </cell>
          <cell r="D4">
            <v>95.434709131531818</v>
          </cell>
          <cell r="E4">
            <v>16.600000000000001</v>
          </cell>
          <cell r="F4">
            <v>0.59669899999999998</v>
          </cell>
        </row>
        <row r="5">
          <cell r="A5">
            <v>90.03</v>
          </cell>
          <cell r="B5">
            <v>1.0486060074945365</v>
          </cell>
          <cell r="C5">
            <v>100.67124941272503</v>
          </cell>
          <cell r="D5">
            <v>95.744050870788996</v>
          </cell>
          <cell r="E5">
            <v>16.72</v>
          </cell>
          <cell r="F5">
            <v>0.58668899999999991</v>
          </cell>
        </row>
        <row r="6">
          <cell r="A6">
            <v>90.04</v>
          </cell>
          <cell r="B6">
            <v>1.0096271689377452</v>
          </cell>
          <cell r="C6">
            <v>109.83384012522315</v>
          </cell>
          <cell r="D6">
            <v>95.834237220419894</v>
          </cell>
          <cell r="E6">
            <v>16.670000000000002</v>
          </cell>
          <cell r="F6">
            <v>0.59238099999999994</v>
          </cell>
        </row>
        <row r="7">
          <cell r="A7">
            <v>90.05</v>
          </cell>
          <cell r="B7">
            <v>1.0162113742847021</v>
          </cell>
          <cell r="C7">
            <v>92.923132830933994</v>
          </cell>
          <cell r="D7">
            <v>96.390366140930439</v>
          </cell>
          <cell r="E7">
            <v>16.440000000000001</v>
          </cell>
          <cell r="F7">
            <v>0.60184699999999991</v>
          </cell>
        </row>
        <row r="8">
          <cell r="A8">
            <v>90.06</v>
          </cell>
          <cell r="B8">
            <v>1.0058013162293933</v>
          </cell>
          <cell r="C8">
            <v>84.715863612560582</v>
          </cell>
          <cell r="D8">
            <v>96.891987257323052</v>
          </cell>
          <cell r="E8">
            <v>16.75</v>
          </cell>
          <cell r="F8">
            <v>0.59383299999999994</v>
          </cell>
        </row>
        <row r="9">
          <cell r="A9">
            <v>90.07</v>
          </cell>
          <cell r="B9">
            <v>0.99825031296119759</v>
          </cell>
          <cell r="C9">
            <v>99.269294223742563</v>
          </cell>
          <cell r="D9">
            <v>104.75520681254494</v>
          </cell>
          <cell r="E9">
            <v>16.37</v>
          </cell>
          <cell r="F9">
            <v>0.60986099999999999</v>
          </cell>
        </row>
        <row r="10">
          <cell r="A10">
            <v>90.08</v>
          </cell>
          <cell r="B10">
            <v>0.90352240973764386</v>
          </cell>
          <cell r="C10">
            <v>103.45943013678517</v>
          </cell>
          <cell r="D10">
            <v>106.43162390008962</v>
          </cell>
          <cell r="E10">
            <v>15.89</v>
          </cell>
          <cell r="F10">
            <v>0.6367489999999999</v>
          </cell>
        </row>
        <row r="11">
          <cell r="A11">
            <v>90.09</v>
          </cell>
          <cell r="B11">
            <v>0.91320229072180292</v>
          </cell>
          <cell r="C11">
            <v>91.537025512535052</v>
          </cell>
          <cell r="D11">
            <v>108.51287026828214</v>
          </cell>
          <cell r="E11">
            <v>15.71</v>
          </cell>
          <cell r="F11">
            <v>0.63709399999999994</v>
          </cell>
        </row>
        <row r="12">
          <cell r="A12">
            <v>90.1</v>
          </cell>
          <cell r="B12">
            <v>0.74689509092898387</v>
          </cell>
          <cell r="C12">
            <v>74.167223530066138</v>
          </cell>
          <cell r="D12">
            <v>83.098393824811879</v>
          </cell>
          <cell r="E12">
            <v>20.18</v>
          </cell>
          <cell r="F12">
            <v>0.65650799999999998</v>
          </cell>
        </row>
        <row r="13">
          <cell r="A13">
            <v>90.11</v>
          </cell>
          <cell r="B13">
            <v>0.69176599641183467</v>
          </cell>
          <cell r="C13">
            <v>61.131368779774348</v>
          </cell>
          <cell r="D13">
            <v>70.658774539049006</v>
          </cell>
          <cell r="E13">
            <v>23.63</v>
          </cell>
          <cell r="F13">
            <v>0.67255799999999999</v>
          </cell>
        </row>
        <row r="14">
          <cell r="A14">
            <v>90.12</v>
          </cell>
          <cell r="B14">
            <v>0.63812772138269314</v>
          </cell>
          <cell r="C14">
            <v>62.844166995599274</v>
          </cell>
          <cell r="D14">
            <v>69.310923367402808</v>
          </cell>
          <cell r="E14">
            <v>24.19</v>
          </cell>
          <cell r="F14">
            <v>0.67033799999999999</v>
          </cell>
        </row>
        <row r="15">
          <cell r="A15">
            <v>91.01</v>
          </cell>
          <cell r="B15">
            <v>0.52270821897392594</v>
          </cell>
          <cell r="C15">
            <v>51.364390991125177</v>
          </cell>
          <cell r="D15">
            <v>74.876734071685775</v>
          </cell>
          <cell r="E15">
            <v>27.65</v>
          </cell>
          <cell r="F15">
            <v>0.66239599999999998</v>
          </cell>
        </row>
        <row r="16">
          <cell r="A16">
            <v>91.02</v>
          </cell>
          <cell r="B16">
            <v>0.47988117591450397</v>
          </cell>
          <cell r="C16">
            <v>66.260717614034021</v>
          </cell>
          <cell r="D16">
            <v>77.700151743643303</v>
          </cell>
          <cell r="E16">
            <v>27.42</v>
          </cell>
          <cell r="F16">
            <v>0.6758789999999999</v>
          </cell>
        </row>
        <row r="17">
          <cell r="A17">
            <v>91.03</v>
          </cell>
          <cell r="B17">
            <v>0.56039049020909004</v>
          </cell>
          <cell r="C17">
            <v>67.049183290076414</v>
          </cell>
          <cell r="D17">
            <v>82.650913539433446</v>
          </cell>
          <cell r="E17">
            <v>28.74</v>
          </cell>
          <cell r="F17">
            <v>0.62492799999999993</v>
          </cell>
        </row>
        <row r="18">
          <cell r="A18">
            <v>91.04</v>
          </cell>
          <cell r="B18">
            <v>0.54919522992492209</v>
          </cell>
          <cell r="C18">
            <v>68.294798327569112</v>
          </cell>
          <cell r="D18">
            <v>85.696392246293911</v>
          </cell>
          <cell r="E18">
            <v>29.94</v>
          </cell>
          <cell r="F18">
            <v>0.58741399999999999</v>
          </cell>
        </row>
        <row r="19">
          <cell r="A19">
            <v>91.05</v>
          </cell>
          <cell r="B19">
            <v>0.55724065940892986</v>
          </cell>
          <cell r="C19">
            <v>67.016623851274247</v>
          </cell>
          <cell r="D19">
            <v>88.494629135030536</v>
          </cell>
          <cell r="E19">
            <v>30.12</v>
          </cell>
          <cell r="F19">
            <v>0.58244299999999993</v>
          </cell>
        </row>
        <row r="20">
          <cell r="A20">
            <v>91.06</v>
          </cell>
          <cell r="B20">
            <v>0.55913778196545905</v>
          </cell>
          <cell r="C20">
            <v>77.436766469813278</v>
          </cell>
          <cell r="D20">
            <v>91.651718075236374</v>
          </cell>
          <cell r="E20">
            <v>30.89</v>
          </cell>
          <cell r="F20">
            <v>0.56051399999999996</v>
          </cell>
        </row>
        <row r="21">
          <cell r="A21">
            <v>91.07</v>
          </cell>
          <cell r="B21">
            <v>0.55047749176402194</v>
          </cell>
          <cell r="C21">
            <v>76.845312270519429</v>
          </cell>
          <cell r="D21">
            <v>91.357517662392098</v>
          </cell>
          <cell r="E21">
            <v>31</v>
          </cell>
          <cell r="F21">
            <v>0.55924299999999993</v>
          </cell>
        </row>
        <row r="22">
          <cell r="A22">
            <v>91.08</v>
          </cell>
          <cell r="B22">
            <v>0.50339852751922243</v>
          </cell>
          <cell r="C22">
            <v>72.974655446471928</v>
          </cell>
          <cell r="D22">
            <v>91.426603220650108</v>
          </cell>
          <cell r="E22">
            <v>30.53</v>
          </cell>
          <cell r="F22">
            <v>0.57313999999999998</v>
          </cell>
        </row>
        <row r="23">
          <cell r="A23">
            <v>91.09</v>
          </cell>
          <cell r="B23">
            <v>0.49966963053337499</v>
          </cell>
          <cell r="C23">
            <v>78.780878001789503</v>
          </cell>
          <cell r="D23">
            <v>91.31354856636348</v>
          </cell>
          <cell r="E23">
            <v>30.03</v>
          </cell>
          <cell r="F23">
            <v>0.58902299999999996</v>
          </cell>
        </row>
        <row r="24">
          <cell r="A24">
            <v>91.1</v>
          </cell>
          <cell r="B24">
            <v>0.53751826927998125</v>
          </cell>
          <cell r="C24">
            <v>80.301046718473103</v>
          </cell>
          <cell r="D24">
            <v>91.889365073420862</v>
          </cell>
          <cell r="E24">
            <v>29.89</v>
          </cell>
          <cell r="F24">
            <v>0.59123099999999995</v>
          </cell>
        </row>
        <row r="25">
          <cell r="A25">
            <v>91.11</v>
          </cell>
          <cell r="B25">
            <v>0.58819341531803637</v>
          </cell>
          <cell r="C25">
            <v>80.993403669080749</v>
          </cell>
          <cell r="D25">
            <v>91.827677077459356</v>
          </cell>
          <cell r="E25">
            <v>29.15</v>
          </cell>
          <cell r="F25">
            <v>0.61548299999999989</v>
          </cell>
        </row>
        <row r="26">
          <cell r="A26">
            <v>91.12</v>
          </cell>
          <cell r="B26">
            <v>0.54520374429306806</v>
          </cell>
          <cell r="C26">
            <v>87.86435322380315</v>
          </cell>
          <cell r="D26">
            <v>91.481117726075098</v>
          </cell>
          <cell r="E26">
            <v>28.55</v>
          </cell>
          <cell r="F26">
            <v>0.63738399999999995</v>
          </cell>
        </row>
        <row r="27">
          <cell r="A27">
            <v>92.01</v>
          </cell>
          <cell r="B27">
            <v>0.50191922404464284</v>
          </cell>
          <cell r="C27">
            <v>83.609144967629291</v>
          </cell>
          <cell r="D27">
            <v>90.926560824615621</v>
          </cell>
          <cell r="E27">
            <v>28.36</v>
          </cell>
          <cell r="F27">
            <v>0.63430299999999995</v>
          </cell>
        </row>
        <row r="28">
          <cell r="A28">
            <v>92.02</v>
          </cell>
          <cell r="B28">
            <v>0.47289124089802442</v>
          </cell>
          <cell r="C28">
            <v>84.0200233328287</v>
          </cell>
          <cell r="D28">
            <v>91.014189822846134</v>
          </cell>
          <cell r="E28">
            <v>28.78</v>
          </cell>
          <cell r="F28">
            <v>0.617614</v>
          </cell>
        </row>
        <row r="29">
          <cell r="A29">
            <v>92.03</v>
          </cell>
          <cell r="B29">
            <v>0.53779372040718754</v>
          </cell>
          <cell r="C29">
            <v>85.348176132429998</v>
          </cell>
          <cell r="D29">
            <v>92.232958779605141</v>
          </cell>
          <cell r="E29">
            <v>29.16</v>
          </cell>
          <cell r="F29">
            <v>0.60202599999999995</v>
          </cell>
        </row>
        <row r="30">
          <cell r="A30">
            <v>92.04</v>
          </cell>
          <cell r="B30">
            <v>0.52031027090067539</v>
          </cell>
          <cell r="C30">
            <v>82.962583096389537</v>
          </cell>
          <cell r="D30">
            <v>92.772626968143811</v>
          </cell>
          <cell r="E30">
            <v>29.06</v>
          </cell>
          <cell r="F30">
            <v>0.6067189999999999</v>
          </cell>
        </row>
        <row r="31">
          <cell r="A31">
            <v>92.05</v>
          </cell>
          <cell r="B31">
            <v>0.52875625203352927</v>
          </cell>
          <cell r="C31">
            <v>89.522180191088466</v>
          </cell>
          <cell r="D31">
            <v>93.001698001445021</v>
          </cell>
          <cell r="E31">
            <v>28.84</v>
          </cell>
          <cell r="F31">
            <v>0.61709899999999995</v>
          </cell>
        </row>
        <row r="32">
          <cell r="A32">
            <v>92.06</v>
          </cell>
          <cell r="B32">
            <v>0.51822981815012714</v>
          </cell>
          <cell r="C32">
            <v>80.220735873208923</v>
          </cell>
          <cell r="D32">
            <v>92.865824432529138</v>
          </cell>
          <cell r="E32">
            <v>28.42</v>
          </cell>
          <cell r="F32">
            <v>0.63548799999999994</v>
          </cell>
        </row>
        <row r="33">
          <cell r="A33">
            <v>92.07</v>
          </cell>
          <cell r="B33">
            <v>0.52196485425297834</v>
          </cell>
          <cell r="C33">
            <v>84.790186559722642</v>
          </cell>
          <cell r="D33">
            <v>96.507376411799996</v>
          </cell>
          <cell r="E33">
            <v>26.61</v>
          </cell>
          <cell r="F33">
            <v>0.67081899999999994</v>
          </cell>
        </row>
        <row r="34">
          <cell r="A34">
            <v>92.08</v>
          </cell>
          <cell r="B34">
            <v>0.46212444178161682</v>
          </cell>
          <cell r="C34">
            <v>81.626432357852977</v>
          </cell>
          <cell r="D34">
            <v>93.135226312378833</v>
          </cell>
          <cell r="E34">
            <v>27.25</v>
          </cell>
          <cell r="F34">
            <v>0.68942199999999998</v>
          </cell>
        </row>
        <row r="35">
          <cell r="A35">
            <v>92.09</v>
          </cell>
          <cell r="B35">
            <v>0.46461534940216043</v>
          </cell>
          <cell r="C35">
            <v>81.925760410346285</v>
          </cell>
          <cell r="D35">
            <v>95.833387244499704</v>
          </cell>
          <cell r="E35">
            <v>27.18</v>
          </cell>
          <cell r="F35">
            <v>0.69132499999999997</v>
          </cell>
        </row>
        <row r="36">
          <cell r="A36">
            <v>92.1</v>
          </cell>
          <cell r="B36">
            <v>0.51685485848213586</v>
          </cell>
          <cell r="C36">
            <v>88.159426020806222</v>
          </cell>
          <cell r="D36">
            <v>100.72685496254793</v>
          </cell>
          <cell r="E36">
            <v>27.38</v>
          </cell>
          <cell r="F36">
            <v>0.67558999999999991</v>
          </cell>
        </row>
        <row r="37">
          <cell r="A37">
            <v>92.11</v>
          </cell>
          <cell r="B37">
            <v>0.58733078310468356</v>
          </cell>
          <cell r="C37">
            <v>92.126541625813147</v>
          </cell>
          <cell r="D37">
            <v>104.49852848523471</v>
          </cell>
          <cell r="E37">
            <v>28.54</v>
          </cell>
          <cell r="F37">
            <v>0.62995299999999999</v>
          </cell>
        </row>
        <row r="38">
          <cell r="A38">
            <v>92.12</v>
          </cell>
          <cell r="B38">
            <v>0.54467255674537707</v>
          </cell>
          <cell r="C38">
            <v>93.310905737565932</v>
          </cell>
          <cell r="D38">
            <v>104.67214134739345</v>
          </cell>
          <cell r="E38">
            <v>28.59</v>
          </cell>
          <cell r="F38">
            <v>0.63306999999999991</v>
          </cell>
        </row>
        <row r="39">
          <cell r="A39">
            <v>93.01</v>
          </cell>
          <cell r="B39">
            <v>0.49491628187393039</v>
          </cell>
          <cell r="C39">
            <v>93.654498359360133</v>
          </cell>
          <cell r="D39">
            <v>112.23791113848783</v>
          </cell>
          <cell r="E39">
            <v>28.926986694335898</v>
          </cell>
          <cell r="F39">
            <v>0.61897999999999997</v>
          </cell>
        </row>
        <row r="40">
          <cell r="A40">
            <v>93.02</v>
          </cell>
          <cell r="B40">
            <v>0.47334006101170639</v>
          </cell>
          <cell r="C40">
            <v>93.73774518344085</v>
          </cell>
          <cell r="D40">
            <v>114.56545813830773</v>
          </cell>
          <cell r="E40">
            <v>29.025985717773398</v>
          </cell>
          <cell r="F40">
            <v>0.60916199999999998</v>
          </cell>
        </row>
        <row r="41">
          <cell r="A41">
            <v>93.03</v>
          </cell>
          <cell r="B41">
            <v>0.52731149208694328</v>
          </cell>
          <cell r="C41">
            <v>95.6806466827923</v>
          </cell>
          <cell r="D41">
            <v>115.57642065439403</v>
          </cell>
          <cell r="E41">
            <v>29.0409851074219</v>
          </cell>
          <cell r="F41">
            <v>0.60701699999999992</v>
          </cell>
        </row>
        <row r="42">
          <cell r="A42">
            <v>93.04</v>
          </cell>
          <cell r="B42">
            <v>0.50876388469734279</v>
          </cell>
          <cell r="C42">
            <v>94.158590688607163</v>
          </cell>
          <cell r="D42">
            <v>115.19325046803561</v>
          </cell>
          <cell r="E42">
            <v>28.500991821289102</v>
          </cell>
          <cell r="F42">
            <v>0.62656599999999996</v>
          </cell>
        </row>
        <row r="43">
          <cell r="A43">
            <v>93.05</v>
          </cell>
          <cell r="B43">
            <v>0.52822287627554354</v>
          </cell>
          <cell r="C43">
            <v>96.854603742161913</v>
          </cell>
          <cell r="D43">
            <v>115.95632307977576</v>
          </cell>
          <cell r="E43">
            <v>28.6099853515625</v>
          </cell>
          <cell r="F43">
            <v>0.62266499999999991</v>
          </cell>
        </row>
        <row r="44">
          <cell r="A44">
            <v>93.06</v>
          </cell>
          <cell r="B44">
            <v>0.52333103896538491</v>
          </cell>
          <cell r="C44">
            <v>102.41248693665175</v>
          </cell>
          <cell r="D44">
            <v>118.01739555428223</v>
          </cell>
          <cell r="E44">
            <v>29.0719909667969</v>
          </cell>
          <cell r="F44">
            <v>0.60524999999999995</v>
          </cell>
        </row>
        <row r="45">
          <cell r="A45">
            <v>93.07</v>
          </cell>
          <cell r="B45">
            <v>0.51958168623795009</v>
          </cell>
          <cell r="C45">
            <v>102.12183701090227</v>
          </cell>
          <cell r="D45">
            <v>120.40677174589869</v>
          </cell>
          <cell r="E45">
            <v>29.8269958496094</v>
          </cell>
          <cell r="F45">
            <v>0.58323999999999998</v>
          </cell>
        </row>
        <row r="46">
          <cell r="A46">
            <v>93.08</v>
          </cell>
          <cell r="B46">
            <v>0.48548465689332138</v>
          </cell>
          <cell r="C46">
            <v>102.33797595015494</v>
          </cell>
          <cell r="D46">
            <v>121.74527216982113</v>
          </cell>
          <cell r="E46">
            <v>29.6669921875</v>
          </cell>
          <cell r="F46">
            <v>0.58972695999999991</v>
          </cell>
        </row>
        <row r="47">
          <cell r="A47">
            <v>93.09</v>
          </cell>
          <cell r="B47">
            <v>0.47719119328193266</v>
          </cell>
          <cell r="C47">
            <v>99.426539568562404</v>
          </cell>
          <cell r="D47">
            <v>122.59863817796432</v>
          </cell>
          <cell r="E47">
            <v>28.8429870605469</v>
          </cell>
          <cell r="F47">
            <v>0.61635910999999999</v>
          </cell>
        </row>
        <row r="48">
          <cell r="A48">
            <v>93.1</v>
          </cell>
          <cell r="B48">
            <v>0.52092006293441795</v>
          </cell>
          <cell r="C48">
            <v>106.79476024803587</v>
          </cell>
          <cell r="D48">
            <v>125.19071254430838</v>
          </cell>
          <cell r="E48">
            <v>28.9129943847656</v>
          </cell>
          <cell r="F48">
            <v>0.61050099999999996</v>
          </cell>
        </row>
        <row r="49">
          <cell r="A49">
            <v>93.11</v>
          </cell>
          <cell r="B49">
            <v>0.5901055816720554</v>
          </cell>
          <cell r="C49">
            <v>102.95024720873762</v>
          </cell>
          <cell r="D49">
            <v>126.22005615382726</v>
          </cell>
          <cell r="E49">
            <v>29.642990112304702</v>
          </cell>
          <cell r="F49">
            <v>0.58825540999999992</v>
          </cell>
        </row>
        <row r="50">
          <cell r="A50">
            <v>93.12</v>
          </cell>
          <cell r="B50">
            <v>0.54002173907925877</v>
          </cell>
          <cell r="C50">
            <v>101.94895183888708</v>
          </cell>
          <cell r="D50">
            <v>127.78599258269801</v>
          </cell>
          <cell r="E50">
            <v>29.763992309570298</v>
          </cell>
          <cell r="F50">
            <v>0.58489775999999993</v>
          </cell>
        </row>
        <row r="51">
          <cell r="A51">
            <v>94.01</v>
          </cell>
          <cell r="B51">
            <v>0.49219152015457668</v>
          </cell>
          <cell r="C51">
            <v>103.89923388721343</v>
          </cell>
          <cell r="D51">
            <v>127.24782485090257</v>
          </cell>
          <cell r="E51">
            <v>30.121994018554702</v>
          </cell>
          <cell r="F51">
            <v>0.57369225999999995</v>
          </cell>
        </row>
        <row r="52">
          <cell r="A52">
            <v>94.02</v>
          </cell>
          <cell r="B52">
            <v>0.46583880811168621</v>
          </cell>
          <cell r="C52">
            <v>104.0781767563637</v>
          </cell>
          <cell r="D52">
            <v>126.72927078211971</v>
          </cell>
          <cell r="E52">
            <v>30.073989868164102</v>
          </cell>
          <cell r="F52">
            <v>0.5756389999999999</v>
          </cell>
        </row>
        <row r="53">
          <cell r="A53">
            <v>94.03</v>
          </cell>
          <cell r="B53">
            <v>0.50706163561399498</v>
          </cell>
          <cell r="C53">
            <v>101.83154455286547</v>
          </cell>
          <cell r="D53">
            <v>126.75091583400464</v>
          </cell>
          <cell r="E53">
            <v>29.5889892578125</v>
          </cell>
          <cell r="F53">
            <v>0.59094941999999995</v>
          </cell>
        </row>
        <row r="54">
          <cell r="A54">
            <v>94.04</v>
          </cell>
          <cell r="B54">
            <v>0.49976394690650044</v>
          </cell>
          <cell r="C54">
            <v>104.4752682468324</v>
          </cell>
          <cell r="D54">
            <v>127.58613590811495</v>
          </cell>
          <cell r="E54">
            <v>29.629989624023398</v>
          </cell>
          <cell r="F54">
            <v>0.58890044999999991</v>
          </cell>
        </row>
        <row r="55">
          <cell r="A55">
            <v>94.05</v>
          </cell>
          <cell r="B55">
            <v>0.52513312910879206</v>
          </cell>
          <cell r="C55">
            <v>102.6366163830851</v>
          </cell>
          <cell r="D55">
            <v>128.02554913621626</v>
          </cell>
          <cell r="E55">
            <v>29.202987670898398</v>
          </cell>
          <cell r="F55">
            <v>0.603209</v>
          </cell>
        </row>
        <row r="56">
          <cell r="A56">
            <v>94.06</v>
          </cell>
          <cell r="B56">
            <v>0.51348097145076543</v>
          </cell>
          <cell r="C56">
            <v>106.35167585620337</v>
          </cell>
          <cell r="D56">
            <v>129.04483366657445</v>
          </cell>
          <cell r="E56">
            <v>28.893997192382798</v>
          </cell>
          <cell r="F56">
            <v>0.61383999999999994</v>
          </cell>
        </row>
        <row r="57">
          <cell r="A57">
            <v>94.07</v>
          </cell>
          <cell r="B57">
            <v>0.50145143880579912</v>
          </cell>
          <cell r="C57">
            <v>110.81035416942656</v>
          </cell>
          <cell r="D57">
            <v>129.4242727774234</v>
          </cell>
          <cell r="E57">
            <v>28.172988891601602</v>
          </cell>
          <cell r="F57">
            <v>0.63671183999999992</v>
          </cell>
        </row>
        <row r="58">
          <cell r="A58">
            <v>94.08</v>
          </cell>
          <cell r="B58">
            <v>0.47119476502599783</v>
          </cell>
          <cell r="C58">
            <v>109.13038819938791</v>
          </cell>
          <cell r="D58">
            <v>131.11893325059657</v>
          </cell>
          <cell r="E58">
            <v>28.1229858398438</v>
          </cell>
          <cell r="F58">
            <v>0.63923227999999999</v>
          </cell>
        </row>
        <row r="59">
          <cell r="A59">
            <v>94.09</v>
          </cell>
          <cell r="B59">
            <v>0.46201037289063729</v>
          </cell>
          <cell r="C59">
            <v>110.32212980547027</v>
          </cell>
          <cell r="D59">
            <v>132.03606809057149</v>
          </cell>
          <cell r="E59">
            <v>27.979995727539102</v>
          </cell>
          <cell r="F59">
            <v>0.64481704999999989</v>
          </cell>
        </row>
        <row r="60">
          <cell r="A60">
            <v>94.1</v>
          </cell>
          <cell r="B60">
            <v>0.49610248433417875</v>
          </cell>
          <cell r="C60">
            <v>117.46620584971534</v>
          </cell>
          <cell r="D60">
            <v>132.42813896018779</v>
          </cell>
          <cell r="E60">
            <v>27.635986328125</v>
          </cell>
          <cell r="F60">
            <v>0.6587319399999999</v>
          </cell>
        </row>
        <row r="61">
          <cell r="A61">
            <v>94.11</v>
          </cell>
          <cell r="B61">
            <v>0.56733074963950381</v>
          </cell>
          <cell r="C61">
            <v>113.75384927992249</v>
          </cell>
          <cell r="D61">
            <v>133.55623384377358</v>
          </cell>
          <cell r="E61">
            <v>27.777999877929702</v>
          </cell>
          <cell r="F61">
            <v>0.65003722999999991</v>
          </cell>
        </row>
        <row r="62">
          <cell r="A62">
            <v>94.12</v>
          </cell>
          <cell r="B62">
            <v>0.5125432788455071</v>
          </cell>
          <cell r="C62">
            <v>113.20282020930409</v>
          </cell>
          <cell r="D62">
            <v>134.34355723674054</v>
          </cell>
          <cell r="E62">
            <v>28.218994140625</v>
          </cell>
          <cell r="F62">
            <v>0.63603120999999996</v>
          </cell>
        </row>
        <row r="63">
          <cell r="A63">
            <v>95.01</v>
          </cell>
          <cell r="B63">
            <v>0.46954460894839412</v>
          </cell>
          <cell r="C63">
            <v>109.2375893084898</v>
          </cell>
          <cell r="D63">
            <v>132.19352129582521</v>
          </cell>
          <cell r="E63">
            <v>27.7619934082031</v>
          </cell>
          <cell r="F63">
            <v>0.6525709999999999</v>
          </cell>
        </row>
        <row r="64">
          <cell r="A64">
            <v>95.02</v>
          </cell>
          <cell r="B64">
            <v>0.44666789455996925</v>
          </cell>
          <cell r="C64">
            <v>110.18424422654694</v>
          </cell>
          <cell r="D64">
            <v>132.7873184508758</v>
          </cell>
          <cell r="E64">
            <v>27.39599609375</v>
          </cell>
          <cell r="F64">
            <v>0.66609370999999995</v>
          </cell>
        </row>
        <row r="65">
          <cell r="A65">
            <v>95.03</v>
          </cell>
          <cell r="B65">
            <v>0.48279226233398098</v>
          </cell>
          <cell r="C65">
            <v>108.4987088095252</v>
          </cell>
          <cell r="D65">
            <v>133.56052188527542</v>
          </cell>
          <cell r="E65">
            <v>26.2229919433594</v>
          </cell>
          <cell r="F65">
            <v>0.71114754999999996</v>
          </cell>
        </row>
        <row r="66">
          <cell r="A66">
            <v>95.04</v>
          </cell>
          <cell r="B66">
            <v>0.48009263154992149</v>
          </cell>
          <cell r="C66">
            <v>113.14081188151501</v>
          </cell>
          <cell r="D66">
            <v>134.72770372880862</v>
          </cell>
          <cell r="E66">
            <v>25.866989135742202</v>
          </cell>
          <cell r="F66">
            <v>0.72440087999999991</v>
          </cell>
        </row>
        <row r="67">
          <cell r="A67">
            <v>95.05</v>
          </cell>
          <cell r="B67">
            <v>0.50885847334412726</v>
          </cell>
          <cell r="C67">
            <v>110.98133790054831</v>
          </cell>
          <cell r="D67">
            <v>135.43307522867161</v>
          </cell>
          <cell r="E67">
            <v>26.2369995117188</v>
          </cell>
          <cell r="F67">
            <v>0.71076648999999992</v>
          </cell>
        </row>
        <row r="68">
          <cell r="A68">
            <v>95.06</v>
          </cell>
          <cell r="B68">
            <v>0.49788183273801079</v>
          </cell>
          <cell r="C68">
            <v>112.4947202878715</v>
          </cell>
          <cell r="D68">
            <v>136.26639714930104</v>
          </cell>
          <cell r="E68">
            <v>26.138992309570298</v>
          </cell>
          <cell r="F68">
            <v>0.71417873999999992</v>
          </cell>
        </row>
        <row r="69">
          <cell r="A69">
            <v>95.07</v>
          </cell>
          <cell r="B69">
            <v>0.48722408529612971</v>
          </cell>
          <cell r="C69">
            <v>115.72264411745928</v>
          </cell>
          <cell r="D69">
            <v>135.94307262716333</v>
          </cell>
          <cell r="E69">
            <v>26.009994506835898</v>
          </cell>
          <cell r="F69">
            <v>0.71978288999999995</v>
          </cell>
        </row>
        <row r="70">
          <cell r="A70">
            <v>95.08</v>
          </cell>
          <cell r="B70">
            <v>0.46121541175063108</v>
          </cell>
          <cell r="C70">
            <v>115.85085555303293</v>
          </cell>
          <cell r="D70">
            <v>137.33165842525148</v>
          </cell>
          <cell r="E70">
            <v>26.637985229492202</v>
          </cell>
          <cell r="F70">
            <v>0.69244539999999999</v>
          </cell>
        </row>
        <row r="71">
          <cell r="A71">
            <v>95.09</v>
          </cell>
          <cell r="B71">
            <v>0.45320926054573102</v>
          </cell>
          <cell r="C71">
            <v>115.14020337141756</v>
          </cell>
          <cell r="D71">
            <v>138.55856946333574</v>
          </cell>
          <cell r="E71">
            <v>26.9249877929688</v>
          </cell>
          <cell r="F71">
            <v>0.68407332999999992</v>
          </cell>
        </row>
        <row r="72">
          <cell r="A72">
            <v>95.1</v>
          </cell>
          <cell r="B72">
            <v>0.48857250279431491</v>
          </cell>
          <cell r="C72">
            <v>111.40717303365462</v>
          </cell>
          <cell r="D72">
            <v>139.37347359332031</v>
          </cell>
          <cell r="E72">
            <v>26.31</v>
          </cell>
          <cell r="F72">
            <v>0.70714336999999994</v>
          </cell>
        </row>
        <row r="73">
          <cell r="A73">
            <v>95.11</v>
          </cell>
          <cell r="B73">
            <v>0.55597284935618019</v>
          </cell>
          <cell r="C73">
            <v>114.67652146115539</v>
          </cell>
          <cell r="D73">
            <v>140.34952307789609</v>
          </cell>
          <cell r="E73">
            <v>26.323</v>
          </cell>
          <cell r="F73">
            <v>0.70601230999999998</v>
          </cell>
        </row>
        <row r="74">
          <cell r="A74">
            <v>95.12</v>
          </cell>
          <cell r="B74">
            <v>0.49092523422806522</v>
          </cell>
          <cell r="C74">
            <v>111.68824397374135</v>
          </cell>
          <cell r="D74">
            <v>140.75786289635766</v>
          </cell>
          <cell r="E74">
            <v>26.658000000000001</v>
          </cell>
          <cell r="F74">
            <v>0.6940996599999999</v>
          </cell>
        </row>
        <row r="75">
          <cell r="A75">
            <v>96.01</v>
          </cell>
          <cell r="B75">
            <v>0.45840290333761169</v>
          </cell>
          <cell r="C75">
            <v>112.44602198515403</v>
          </cell>
          <cell r="D75">
            <v>141.83317052581427</v>
          </cell>
          <cell r="E75">
            <v>26.966999999999999</v>
          </cell>
          <cell r="F75">
            <v>0.68428475</v>
          </cell>
        </row>
        <row r="76">
          <cell r="A76">
            <v>96.02</v>
          </cell>
          <cell r="B76">
            <v>0.43414452315035873</v>
          </cell>
          <cell r="C76">
            <v>111.19529037588669</v>
          </cell>
          <cell r="D76">
            <v>142.86663061326925</v>
          </cell>
          <cell r="E76">
            <v>27.068999999999999</v>
          </cell>
          <cell r="F76">
            <v>0.68214070999999998</v>
          </cell>
        </row>
        <row r="77">
          <cell r="A77">
            <v>96.03</v>
          </cell>
          <cell r="B77">
            <v>0.4644201680311118</v>
          </cell>
          <cell r="C77">
            <v>113.99324844461955</v>
          </cell>
          <cell r="D77">
            <v>144.18154756072315</v>
          </cell>
          <cell r="E77">
            <v>27.263000000000002</v>
          </cell>
          <cell r="F77">
            <v>0.67672699999999997</v>
          </cell>
        </row>
        <row r="78">
          <cell r="A78">
            <v>96.04</v>
          </cell>
          <cell r="B78">
            <v>0.47120278220041023</v>
          </cell>
          <cell r="C78">
            <v>115.92764503207593</v>
          </cell>
          <cell r="D78">
            <v>146.16364381368911</v>
          </cell>
          <cell r="E78">
            <v>27.495999999999999</v>
          </cell>
          <cell r="F78">
            <v>0.66396699999999997</v>
          </cell>
        </row>
        <row r="79">
          <cell r="A79">
            <v>96.05</v>
          </cell>
          <cell r="B79">
            <v>0.50089583115326586</v>
          </cell>
          <cell r="C79">
            <v>118.86534054844483</v>
          </cell>
          <cell r="D79">
            <v>148.41464043247993</v>
          </cell>
          <cell r="E79">
            <v>27.706</v>
          </cell>
          <cell r="F79">
            <v>0.65214599999999989</v>
          </cell>
        </row>
        <row r="80">
          <cell r="A80">
            <v>96.06</v>
          </cell>
          <cell r="B80">
            <v>0.49177114811244771</v>
          </cell>
          <cell r="C80">
            <v>120.7660767743333</v>
          </cell>
          <cell r="D80">
            <v>148.45457291188509</v>
          </cell>
          <cell r="E80">
            <v>27.803999999999998</v>
          </cell>
          <cell r="F80">
            <v>0.65473347999999998</v>
          </cell>
        </row>
        <row r="81">
          <cell r="A81">
            <v>96.07</v>
          </cell>
          <cell r="B81">
            <v>0.48663686957434071</v>
          </cell>
          <cell r="C81">
            <v>117.51082635266388</v>
          </cell>
        </row>
        <row r="82">
          <cell r="A82">
            <v>96.08</v>
          </cell>
          <cell r="B82">
            <v>0.46354911966784274</v>
          </cell>
          <cell r="C82">
            <v>121.96050269543392</v>
          </cell>
        </row>
        <row r="83">
          <cell r="A83">
            <v>96.09</v>
          </cell>
          <cell r="B83">
            <v>0.46084287102751326</v>
          </cell>
          <cell r="C83">
            <v>123.58038805171715</v>
          </cell>
        </row>
        <row r="84">
          <cell r="A84">
            <v>96.1</v>
          </cell>
          <cell r="B84">
            <v>0.49030017907022094</v>
          </cell>
          <cell r="C84">
            <v>122.7662309448351</v>
          </cell>
        </row>
        <row r="85">
          <cell r="A85">
            <v>96.11</v>
          </cell>
          <cell r="B85">
            <v>0.55775311381762616</v>
          </cell>
        </row>
        <row r="86">
          <cell r="A86">
            <v>96.12</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 95_kody 2012_2017 (2)"/>
      <sheetName val="Vychodiska_ESA95_kody"/>
    </sheetNames>
    <definedNames>
      <definedName name="aaaaaaaaaaaaaa" refersTo="#ODKAZ!"/>
      <definedName name="bbbbbbbbbbbbbb" refersTo="#ODKAZ!"/>
      <definedName name="BFLD_DF" refersTo="#ODKAZ!"/>
      <definedName name="ggggggg" refersTo="#ODKAZ!"/>
      <definedName name="hhhhhhh" refersTo="#ODKAZ!"/>
      <definedName name="NTDD_RG" refersTo="#ODKAZ!"/>
      <definedName name="TTTTTTTTTTTT" refersTo="#ODKAZ!"/>
      <definedName name="UUUUUUUUUUU" refersTo="#ODKAZ!"/>
    </defined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sheetDataSet>
      <sheetData sheetId="0" refreshError="1">
        <row r="2">
          <cell r="A2" t="str">
            <v>Country, title:</v>
          </cell>
          <cell r="B2" t="str">
            <v>MONITORING DATABASE FOR SLOVENIA</v>
          </cell>
        </row>
        <row r="3">
          <cell r="A3" t="str">
            <v>File name and location:</v>
          </cell>
          <cell r="B3" t="str">
            <v>q:\data\o1\svn\macro</v>
          </cell>
        </row>
        <row r="4">
          <cell r="A4" t="str">
            <v>Created by:</v>
          </cell>
          <cell r="B4" t="str">
            <v>Agnès Belaisch</v>
          </cell>
        </row>
        <row r="5">
          <cell r="A5" t="str">
            <v>Last updated:</v>
          </cell>
          <cell r="B5">
            <v>36647</v>
          </cell>
        </row>
        <row r="6">
          <cell r="A6" t="str">
            <v>Maintained by:</v>
          </cell>
          <cell r="B6" t="str">
            <v>Agnès Belaisch,  Madhuri Edwards</v>
          </cell>
        </row>
        <row r="7">
          <cell r="A7" t="str">
            <v>Sources:</v>
          </cell>
          <cell r="B7" t="str">
            <v>Bank of Slovenia (BOS) - Monthly Bulletin</v>
          </cell>
        </row>
        <row r="8">
          <cell r="A8" t="str">
            <v>Purpose:</v>
          </cell>
          <cell r="B8" t="str">
            <v>Pulls togather key macroeconomic data on a high frequency basis</v>
          </cell>
        </row>
        <row r="9">
          <cell r="B9" t="str">
            <v>to monitor developments.</v>
          </cell>
        </row>
        <row r="11">
          <cell r="A11" t="str">
            <v>Table of contents:</v>
          </cell>
        </row>
        <row r="13">
          <cell r="A13" t="str">
            <v>A</v>
          </cell>
          <cell r="B13" t="str">
            <v>DOCUMENTATION</v>
          </cell>
        </row>
        <row r="14">
          <cell r="A14" t="str">
            <v>Raw data</v>
          </cell>
          <cell r="B14" t="str">
            <v>Raw Data retrieved from BOS through Aremos bank (SVNBOS.BNK)</v>
          </cell>
        </row>
        <row r="15">
          <cell r="B15" t="str">
            <v xml:space="preserve">        using the A-Bank facility; input to other spreadsheets.</v>
          </cell>
        </row>
        <row r="16">
          <cell r="A16" t="str">
            <v>i-rates</v>
          </cell>
          <cell r="B16" t="str">
            <v>Interest rates</v>
          </cell>
        </row>
        <row r="17">
          <cell r="A17" t="str">
            <v>i-REER</v>
          </cell>
          <cell r="B17" t="str">
            <v>Effective Exchange rates, real and nominal</v>
          </cell>
        </row>
        <row r="18">
          <cell r="A18" t="str">
            <v>wages</v>
          </cell>
          <cell r="B18" t="str">
            <v>Wage growth and productivity computations</v>
          </cell>
        </row>
        <row r="19">
          <cell r="A19" t="str">
            <v>watchdog</v>
          </cell>
          <cell r="B19" t="str">
            <v>selects key macro indicators to plot graph and monitor the economy by sector</v>
          </cell>
        </row>
        <row r="20">
          <cell r="A20" t="str">
            <v>watch-gh</v>
          </cell>
          <cell r="B20" t="str">
            <v>Graphs using watchdog sheet data to monitor the economy</v>
          </cell>
        </row>
        <row r="21">
          <cell r="A21" t="str">
            <v>reer-gh</v>
          </cell>
          <cell r="B21" t="str">
            <v>Evolution of competitiveness</v>
          </cell>
        </row>
        <row r="22">
          <cell r="A22" t="str">
            <v>dirt-trade</v>
          </cell>
          <cell r="B22" t="str">
            <v>Direction of trade flows</v>
          </cell>
        </row>
        <row r="23">
          <cell r="A23" t="str">
            <v>Mtarget</v>
          </cell>
          <cell r="B23" t="str">
            <v>Money targeting and Inflation</v>
          </cell>
        </row>
        <row r="25">
          <cell r="A25" t="str">
            <v>DATA RETRIEVED FROM AREMOS:</v>
          </cell>
          <cell r="C25" t="str">
            <v>Sheet:  Raw Data</v>
          </cell>
        </row>
      </sheetData>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84.389999389648438</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101.33999633789063</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1019.1599731445313</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80.889999389648438</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452.98001098632813</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352.66000366210938</v>
          </cell>
          <cell r="C43" t="str">
            <v>n.a.</v>
          </cell>
          <cell r="D43">
            <v>69.05999755859375</v>
          </cell>
          <cell r="E43" t="str">
            <v>n.a.</v>
          </cell>
        </row>
        <row r="44">
          <cell r="A44" t="str">
            <v>1991M9</v>
          </cell>
          <cell r="B44">
            <v>282.48001098632813</v>
          </cell>
          <cell r="C44" t="str">
            <v>n.a.</v>
          </cell>
          <cell r="D44">
            <v>64.580001831054688</v>
          </cell>
          <cell r="E44" t="str">
            <v>n.a.</v>
          </cell>
        </row>
        <row r="45">
          <cell r="A45" t="str">
            <v>1991M10</v>
          </cell>
          <cell r="B45">
            <v>202.72999572753906</v>
          </cell>
          <cell r="C45" t="str">
            <v>n.a.</v>
          </cell>
          <cell r="D45">
            <v>57.459999084472656</v>
          </cell>
          <cell r="E45" t="str">
            <v>n.a.</v>
          </cell>
        </row>
        <row r="46">
          <cell r="A46" t="str">
            <v>1991M11</v>
          </cell>
          <cell r="B46">
            <v>184.85000610351563</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i-REER"/>
      <sheetName val="Príloha _10 M"/>
      <sheetName val="SV BOP"/>
      <sheetName val="my_table"/>
      <sheetName val="staff_report_table"/>
      <sheetName val="Assu__summary"/>
      <sheetName val="Príloha__10_M"/>
      <sheetName val="SV_BOP"/>
      <sheetName val="REER"/>
      <sheetName val="C"/>
      <sheetName val="H"/>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row r="1">
          <cell r="A1" t="str">
            <v>Slovenia: Balance of Payments, adjustment scenario, 1997-2006</v>
          </cell>
        </row>
        <row r="4">
          <cell r="B4">
            <v>1991</v>
          </cell>
          <cell r="C4">
            <v>1992</v>
          </cell>
          <cell r="D4">
            <v>1993</v>
          </cell>
          <cell r="E4">
            <v>1994</v>
          </cell>
          <cell r="F4">
            <v>1995</v>
          </cell>
          <cell r="G4">
            <v>1996</v>
          </cell>
          <cell r="H4">
            <v>1997</v>
          </cell>
          <cell r="I4">
            <v>1998</v>
          </cell>
          <cell r="J4">
            <v>1999</v>
          </cell>
        </row>
        <row r="5">
          <cell r="B5" t="str">
            <v>hide</v>
          </cell>
          <cell r="C5" t="str">
            <v>hide</v>
          </cell>
        </row>
        <row r="7">
          <cell r="F7" t="str">
            <v xml:space="preserve">                                                           (In millions of U.S. dollars)                                                       </v>
          </cell>
        </row>
        <row r="8">
          <cell r="I8" t="str">
            <v>(in millions of $US)</v>
          </cell>
        </row>
        <row r="9">
          <cell r="A9" t="str">
            <v>Current account</v>
          </cell>
          <cell r="B9">
            <v>128.99999999999969</v>
          </cell>
          <cell r="C9">
            <v>926.14173248489351</v>
          </cell>
          <cell r="D9">
            <v>191.90020773041761</v>
          </cell>
          <cell r="E9">
            <v>573.04025556000011</v>
          </cell>
          <cell r="F9">
            <v>-99.360048930000602</v>
          </cell>
          <cell r="G9">
            <v>31.393998450000112</v>
          </cell>
          <cell r="H9">
            <v>11.432480380002062</v>
          </cell>
          <cell r="I9">
            <v>-147.15126349999986</v>
          </cell>
          <cell r="J9">
            <v>-782.55904505999922</v>
          </cell>
        </row>
        <row r="10">
          <cell r="A10" t="str">
            <v xml:space="preserve">   Trade balance</v>
          </cell>
          <cell r="B10">
            <v>-262.20000000000027</v>
          </cell>
          <cell r="C10">
            <v>791.11066284179651</v>
          </cell>
          <cell r="D10">
            <v>-154.24676513671875</v>
          </cell>
          <cell r="E10">
            <v>-336.39645397999993</v>
          </cell>
          <cell r="F10">
            <v>-953.04626255000039</v>
          </cell>
          <cell r="G10">
            <v>-824.9203872500002</v>
          </cell>
          <cell r="H10">
            <v>-776.31343202999778</v>
          </cell>
          <cell r="I10">
            <v>-789.3189886199998</v>
          </cell>
          <cell r="J10">
            <v>-1245.2008560199993</v>
          </cell>
        </row>
        <row r="11">
          <cell r="A11" t="str">
            <v xml:space="preserve">       Exports f.o.b  </v>
          </cell>
          <cell r="B11">
            <v>3869.1</v>
          </cell>
          <cell r="C11">
            <v>6682.9</v>
          </cell>
          <cell r="D11">
            <v>6082.8740234375</v>
          </cell>
          <cell r="E11">
            <v>6831.7200468800002</v>
          </cell>
          <cell r="F11">
            <v>8350.2350519800002</v>
          </cell>
          <cell r="G11">
            <v>8352.5825376800003</v>
          </cell>
          <cell r="H11">
            <v>8407.4558870600013</v>
          </cell>
          <cell r="I11">
            <v>9090.8932352299998</v>
          </cell>
          <cell r="J11">
            <v>8622.7025902700007</v>
          </cell>
        </row>
        <row r="12">
          <cell r="A12" t="str">
            <v xml:space="preserve">       Imports f.o.b. </v>
          </cell>
          <cell r="B12">
            <v>-4131.3</v>
          </cell>
          <cell r="C12">
            <v>-5891.7893371582031</v>
          </cell>
          <cell r="D12">
            <v>-6237.1207885742188</v>
          </cell>
          <cell r="E12">
            <v>-7168.1165008600001</v>
          </cell>
          <cell r="F12">
            <v>-9303.2813145300006</v>
          </cell>
          <cell r="G12">
            <v>-9177.5029249300005</v>
          </cell>
          <cell r="H12">
            <v>-9183.769319089999</v>
          </cell>
          <cell r="I12">
            <v>-9880.2122238499996</v>
          </cell>
          <cell r="J12">
            <v>-9867.9034462899999</v>
          </cell>
        </row>
        <row r="13">
          <cell r="A13" t="str">
            <v xml:space="preserve">   Services</v>
          </cell>
          <cell r="B13">
            <v>482.9</v>
          </cell>
          <cell r="C13">
            <v>180.29699822515249</v>
          </cell>
          <cell r="D13">
            <v>375.33881366252899</v>
          </cell>
          <cell r="E13">
            <v>642.98495606000006</v>
          </cell>
          <cell r="F13">
            <v>578.16782365999984</v>
          </cell>
          <cell r="G13">
            <v>633.43706188000033</v>
          </cell>
          <cell r="H13">
            <v>630.26998196</v>
          </cell>
          <cell r="I13">
            <v>492.49674705999996</v>
          </cell>
          <cell r="J13">
            <v>364.09556674000009</v>
          </cell>
        </row>
        <row r="14">
          <cell r="A14" t="str">
            <v xml:space="preserve">       Exports </v>
          </cell>
          <cell r="B14">
            <v>1012.6</v>
          </cell>
          <cell r="C14">
            <v>1219.2969982251525</v>
          </cell>
          <cell r="D14">
            <v>1392.6752580404282</v>
          </cell>
          <cell r="E14">
            <v>1809.1049835000001</v>
          </cell>
          <cell r="F14">
            <v>2027.5451028</v>
          </cell>
          <cell r="G14">
            <v>2135.0594365800002</v>
          </cell>
          <cell r="H14">
            <v>2047.4583747300001</v>
          </cell>
          <cell r="I14">
            <v>2027.47654603</v>
          </cell>
          <cell r="J14">
            <v>1899.1808338000001</v>
          </cell>
        </row>
        <row r="15">
          <cell r="A15" t="str">
            <v xml:space="preserve">          of which:  travel</v>
          </cell>
          <cell r="B15">
            <v>337</v>
          </cell>
          <cell r="C15">
            <v>670.96199798583984</v>
          </cell>
          <cell r="D15">
            <v>734.06251907348633</v>
          </cell>
          <cell r="E15">
            <v>912.95409433000009</v>
          </cell>
          <cell r="F15">
            <v>1083.9858328799999</v>
          </cell>
          <cell r="G15">
            <v>1239.7608450600001</v>
          </cell>
          <cell r="H15">
            <v>1186.9257734399998</v>
          </cell>
          <cell r="I15">
            <v>1088.4101210100002</v>
          </cell>
          <cell r="J15">
            <v>953.6001583100001</v>
          </cell>
        </row>
        <row r="16">
          <cell r="A16" t="str">
            <v xml:space="preserve">       Imports</v>
          </cell>
          <cell r="B16">
            <v>-529.70000000000005</v>
          </cell>
          <cell r="C16">
            <v>-1039</v>
          </cell>
          <cell r="D16">
            <v>-1017.3364443778992</v>
          </cell>
          <cell r="E16">
            <v>-1166.1200274400001</v>
          </cell>
          <cell r="F16">
            <v>-1449.3772791400002</v>
          </cell>
          <cell r="G16">
            <v>-1501.6223746999999</v>
          </cell>
          <cell r="H16">
            <v>-1417.1883927700001</v>
          </cell>
          <cell r="I16">
            <v>-1534.97979897</v>
          </cell>
          <cell r="J16">
            <v>-1535.08526706</v>
          </cell>
        </row>
        <row r="17">
          <cell r="A17" t="str">
            <v xml:space="preserve">   Income, net</v>
          </cell>
          <cell r="B17">
            <v>-106.30000000000001</v>
          </cell>
          <cell r="C17">
            <v>-91.288930066628382</v>
          </cell>
          <cell r="D17">
            <v>-51.3564275703975</v>
          </cell>
          <cell r="E17">
            <v>169.81588152</v>
          </cell>
          <cell r="F17">
            <v>179.35838124</v>
          </cell>
          <cell r="G17">
            <v>132.23847552000001</v>
          </cell>
          <cell r="H17">
            <v>39.419295099999886</v>
          </cell>
          <cell r="I17">
            <v>27.888103049999984</v>
          </cell>
          <cell r="J17">
            <v>-24.484758440000064</v>
          </cell>
        </row>
        <row r="18">
          <cell r="A18" t="str">
            <v xml:space="preserve">   Current transfers, net</v>
          </cell>
          <cell r="B18">
            <v>14.600000000000001</v>
          </cell>
          <cell r="C18">
            <v>46.023001484572887</v>
          </cell>
          <cell r="D18">
            <v>22.164586775004864</v>
          </cell>
          <cell r="E18">
            <v>96.635871959999974</v>
          </cell>
          <cell r="F18">
            <v>96.160008719999951</v>
          </cell>
          <cell r="G18">
            <v>90.638848299999978</v>
          </cell>
          <cell r="H18">
            <v>118.05663534999997</v>
          </cell>
          <cell r="I18">
            <v>121.78287501</v>
          </cell>
          <cell r="J18">
            <v>123.03100266000001</v>
          </cell>
        </row>
        <row r="20">
          <cell r="A20" t="str">
            <v xml:space="preserve">Capital and financial account  </v>
          </cell>
          <cell r="B20" t="e">
            <v>#REF!</v>
          </cell>
          <cell r="C20">
            <v>-12.706073519773781</v>
          </cell>
          <cell r="D20">
            <v>-90.346738169377204</v>
          </cell>
          <cell r="E20">
            <v>138.23277074999993</v>
          </cell>
          <cell r="F20">
            <v>530.52461465999988</v>
          </cell>
          <cell r="G20">
            <v>561.41626682000003</v>
          </cell>
          <cell r="H20">
            <v>1198.4750961299999</v>
          </cell>
          <cell r="I20">
            <v>242.66590560000009</v>
          </cell>
          <cell r="J20">
            <v>663.20659426999987</v>
          </cell>
        </row>
        <row r="21">
          <cell r="A21" t="str">
            <v xml:space="preserve">    Direct investment, net</v>
          </cell>
          <cell r="B21">
            <v>41.400000000000006</v>
          </cell>
          <cell r="C21">
            <v>112.87700011208653</v>
          </cell>
          <cell r="D21">
            <v>111.32028442900628</v>
          </cell>
          <cell r="E21">
            <v>130.95872649</v>
          </cell>
          <cell r="F21">
            <v>182.51027258000002</v>
          </cell>
          <cell r="G21">
            <v>187.65302644000002</v>
          </cell>
          <cell r="H21">
            <v>339.56367733000002</v>
          </cell>
          <cell r="I21">
            <v>249.54314123</v>
          </cell>
          <cell r="J21">
            <v>143.47579866999996</v>
          </cell>
        </row>
        <row r="22">
          <cell r="A22" t="str">
            <v xml:space="preserve">           inflow</v>
          </cell>
          <cell r="E22">
            <v>128.07628385000001</v>
          </cell>
          <cell r="F22">
            <v>177.36906041000003</v>
          </cell>
          <cell r="G22">
            <v>193.99523652000002</v>
          </cell>
          <cell r="H22">
            <v>375.21342549000002</v>
          </cell>
          <cell r="I22">
            <v>247.85358547000001</v>
          </cell>
          <cell r="J22">
            <v>181.18014799999997</v>
          </cell>
        </row>
        <row r="23">
          <cell r="A23" t="str">
            <v xml:space="preserve">           outflow</v>
          </cell>
          <cell r="E23">
            <v>2.8824426400000012</v>
          </cell>
          <cell r="F23">
            <v>5.1412121700000011</v>
          </cell>
          <cell r="G23">
            <v>-6.342210080000001</v>
          </cell>
          <cell r="H23">
            <v>-35.649748159999994</v>
          </cell>
          <cell r="I23">
            <v>1.6895557600000011</v>
          </cell>
          <cell r="J23">
            <v>-37.704349329999999</v>
          </cell>
        </row>
        <row r="24">
          <cell r="A24" t="str">
            <v xml:space="preserve">    Portfolio investment, net</v>
          </cell>
          <cell r="B24">
            <v>0</v>
          </cell>
          <cell r="C24">
            <v>-8.8513975888490677</v>
          </cell>
          <cell r="D24">
            <v>3.0586469507252332</v>
          </cell>
          <cell r="E24">
            <v>-32.504889700000007</v>
          </cell>
          <cell r="F24">
            <v>-13.506837560000005</v>
          </cell>
          <cell r="G24">
            <v>636.87253514000008</v>
          </cell>
          <cell r="H24">
            <v>235.99866790999999</v>
          </cell>
          <cell r="I24">
            <v>89.604574220000018</v>
          </cell>
          <cell r="J24">
            <v>342.74666001999992</v>
          </cell>
        </row>
        <row r="25">
          <cell r="A25" t="str">
            <v xml:space="preserve">           inflow</v>
          </cell>
          <cell r="E25">
            <v>0</v>
          </cell>
          <cell r="F25">
            <v>15.44987583</v>
          </cell>
          <cell r="G25">
            <v>630.47655942000006</v>
          </cell>
          <cell r="H25">
            <v>236.10593066999999</v>
          </cell>
          <cell r="I25">
            <v>119.81568627000001</v>
          </cell>
          <cell r="J25">
            <v>350.56973099999993</v>
          </cell>
        </row>
        <row r="26">
          <cell r="A26" t="str">
            <v xml:space="preserve">              equity</v>
          </cell>
          <cell r="E26">
            <v>0</v>
          </cell>
          <cell r="F26">
            <v>0</v>
          </cell>
          <cell r="G26">
            <v>0</v>
          </cell>
          <cell r="H26">
            <v>52.143867629999995</v>
          </cell>
          <cell r="I26">
            <v>7.2267947599999971</v>
          </cell>
          <cell r="J26">
            <v>-3.1940477300000012</v>
          </cell>
        </row>
        <row r="27">
          <cell r="A27" t="str">
            <v xml:space="preserve">              debt (including government eurobonds)</v>
          </cell>
          <cell r="E27">
            <v>0</v>
          </cell>
          <cell r="F27">
            <v>15.44987583</v>
          </cell>
          <cell r="G27">
            <v>630.47655942000006</v>
          </cell>
          <cell r="H27">
            <v>183.96206304</v>
          </cell>
          <cell r="I27">
            <v>112.58889151000001</v>
          </cell>
          <cell r="J27">
            <v>353.76377872999996</v>
          </cell>
        </row>
        <row r="28">
          <cell r="A28" t="str">
            <v xml:space="preserve">           outflow</v>
          </cell>
          <cell r="E28">
            <v>-32.504889700000007</v>
          </cell>
          <cell r="F28">
            <v>-28.956713390000004</v>
          </cell>
          <cell r="G28">
            <v>6.3959757200000098</v>
          </cell>
          <cell r="H28">
            <v>-0.10726275999999046</v>
          </cell>
          <cell r="I28">
            <v>-30.211112049999997</v>
          </cell>
          <cell r="J28">
            <v>-7.8230709799999971</v>
          </cell>
        </row>
        <row r="29">
          <cell r="A29" t="str">
            <v xml:space="preserve">              equity </v>
          </cell>
          <cell r="E29">
            <v>0</v>
          </cell>
          <cell r="F29">
            <v>0</v>
          </cell>
          <cell r="G29">
            <v>0</v>
          </cell>
          <cell r="H29">
            <v>0</v>
          </cell>
          <cell r="I29">
            <v>0</v>
          </cell>
          <cell r="J29">
            <v>-0.52845990000000009</v>
          </cell>
        </row>
        <row r="30">
          <cell r="A30" t="str">
            <v xml:space="preserve">              debt (including government eurobonds)</v>
          </cell>
          <cell r="E30">
            <v>-32.504889700000007</v>
          </cell>
          <cell r="F30">
            <v>-28.956713390000004</v>
          </cell>
          <cell r="G30">
            <v>6.3959757200000098</v>
          </cell>
          <cell r="H30">
            <v>-0.10726275999999046</v>
          </cell>
          <cell r="I30">
            <v>-30.211112049999997</v>
          </cell>
          <cell r="J30">
            <v>-7.2946110799999975</v>
          </cell>
        </row>
        <row r="31">
          <cell r="A31" t="str">
            <v xml:space="preserve">    Other investment, net</v>
          </cell>
          <cell r="B31" t="e">
            <v>#REF!</v>
          </cell>
          <cell r="C31">
            <v>-116.73167604301125</v>
          </cell>
          <cell r="D31">
            <v>-208.83557779394323</v>
          </cell>
          <cell r="E31">
            <v>42.95452285999994</v>
          </cell>
          <cell r="F31">
            <v>368.46783262999986</v>
          </cell>
          <cell r="G31">
            <v>-261.28061663000005</v>
          </cell>
          <cell r="H31">
            <v>621.83160194999982</v>
          </cell>
          <cell r="I31">
            <v>-95.024164619999965</v>
          </cell>
          <cell r="J31">
            <v>177.58977540000001</v>
          </cell>
        </row>
        <row r="32">
          <cell r="A32" t="str">
            <v xml:space="preserve">         Government (excluding government eurobonds)</v>
          </cell>
          <cell r="B32">
            <v>-41.8</v>
          </cell>
          <cell r="C32">
            <v>6.6157159507274628</v>
          </cell>
          <cell r="D32">
            <v>78.641692668199539</v>
          </cell>
          <cell r="E32">
            <v>96.804811170000008</v>
          </cell>
          <cell r="F32">
            <v>140.71140790999999</v>
          </cell>
          <cell r="G32">
            <v>-68.275326370000002</v>
          </cell>
          <cell r="H32">
            <v>-23.26601749000001</v>
          </cell>
          <cell r="I32">
            <v>-21.865089980000008</v>
          </cell>
          <cell r="J32">
            <v>17.246997420000007</v>
          </cell>
        </row>
        <row r="33">
          <cell r="A33" t="str">
            <v xml:space="preserve">         Non government</v>
          </cell>
          <cell r="B33">
            <v>-73.2</v>
          </cell>
          <cell r="C33">
            <v>-139.48281764984131</v>
          </cell>
          <cell r="D33">
            <v>-287.47727046214277</v>
          </cell>
          <cell r="E33">
            <v>-53.85028831000001</v>
          </cell>
          <cell r="F33">
            <v>227.75642472000001</v>
          </cell>
          <cell r="G33">
            <v>-193.00529026000004</v>
          </cell>
          <cell r="H33">
            <v>645.09761943999979</v>
          </cell>
          <cell r="I33">
            <v>-73.159074639999986</v>
          </cell>
          <cell r="J33">
            <v>160.34277798000005</v>
          </cell>
        </row>
        <row r="34">
          <cell r="A34" t="str">
            <v xml:space="preserve">              Bank of Slovenia</v>
          </cell>
          <cell r="B34">
            <v>11</v>
          </cell>
          <cell r="C34">
            <v>6.2657689340412617</v>
          </cell>
          <cell r="D34">
            <v>-13.733517207729165</v>
          </cell>
          <cell r="E34">
            <v>-103.4167212</v>
          </cell>
          <cell r="F34">
            <v>-70.251436110000014</v>
          </cell>
          <cell r="G34">
            <v>128.81332510000004</v>
          </cell>
          <cell r="H34">
            <v>-8.7991217000000006</v>
          </cell>
          <cell r="I34">
            <v>-5.3796978499999994</v>
          </cell>
          <cell r="J34">
            <v>-5.622624430000001</v>
          </cell>
        </row>
        <row r="35">
          <cell r="A35" t="str">
            <v xml:space="preserve">              Private sector</v>
          </cell>
          <cell r="B35" t="e">
            <v>#REF!</v>
          </cell>
          <cell r="C35">
            <v>40.643591100350022</v>
          </cell>
          <cell r="D35">
            <v>-273.7437532544136</v>
          </cell>
          <cell r="E35">
            <v>49.566432889999987</v>
          </cell>
          <cell r="F35">
            <v>298.00786083000003</v>
          </cell>
          <cell r="G35">
            <v>-321.81861536000008</v>
          </cell>
          <cell r="H35">
            <v>653.89674113999979</v>
          </cell>
          <cell r="I35">
            <v>-67.779376789999986</v>
          </cell>
          <cell r="J35">
            <v>165.96540241000005</v>
          </cell>
        </row>
        <row r="37">
          <cell r="A37" t="str">
            <v>Net errors and omissions</v>
          </cell>
          <cell r="D37">
            <v>10.075692117214203</v>
          </cell>
          <cell r="E37">
            <v>-69.919725339999999</v>
          </cell>
          <cell r="F37">
            <v>-194.60954982999999</v>
          </cell>
          <cell r="G37">
            <v>-5.3031099200000043</v>
          </cell>
          <cell r="H37">
            <v>77.24493305</v>
          </cell>
          <cell r="I37">
            <v>62.299842569999996</v>
          </cell>
          <cell r="J37">
            <v>27.271135639999997</v>
          </cell>
        </row>
        <row r="38">
          <cell r="A38" t="str">
            <v>Overall balance</v>
          </cell>
          <cell r="D38">
            <v>111.6291616782546</v>
          </cell>
          <cell r="E38">
            <v>641.35330096999996</v>
          </cell>
          <cell r="F38">
            <v>236.55501589999926</v>
          </cell>
          <cell r="G38">
            <v>587.50715535000018</v>
          </cell>
          <cell r="H38">
            <v>1287.152509560002</v>
          </cell>
          <cell r="I38">
            <v>157.81448467000024</v>
          </cell>
          <cell r="J38">
            <v>-92.081315149999355</v>
          </cell>
        </row>
        <row r="39">
          <cell r="A39" t="str">
            <v xml:space="preserve">Change in official  reserves </v>
          </cell>
          <cell r="B39">
            <v>-106.8</v>
          </cell>
          <cell r="C39">
            <v>-632.57860779762268</v>
          </cell>
          <cell r="D39">
            <v>-112.34639203548431</v>
          </cell>
          <cell r="E39">
            <v>-641.35330111000007</v>
          </cell>
          <cell r="F39">
            <v>-236.55501598000001</v>
          </cell>
          <cell r="G39">
            <v>-587.5071551100001</v>
          </cell>
          <cell r="H39">
            <v>-1287.1525096299999</v>
          </cell>
          <cell r="I39">
            <v>-157.81448455</v>
          </cell>
          <cell r="J39">
            <v>81.064196909999964</v>
          </cell>
        </row>
        <row r="41">
          <cell r="A41" t="str">
            <v>Change in net foreign assets of DMBs (increase: -)</v>
          </cell>
          <cell r="B41">
            <v>-30</v>
          </cell>
          <cell r="C41">
            <v>-188</v>
          </cell>
          <cell r="D41">
            <v>-484</v>
          </cell>
          <cell r="E41">
            <v>-432</v>
          </cell>
          <cell r="F41">
            <v>-170</v>
          </cell>
          <cell r="G41">
            <v>-170</v>
          </cell>
          <cell r="H41">
            <v>-168</v>
          </cell>
          <cell r="I41">
            <v>-167</v>
          </cell>
          <cell r="J41">
            <v>-167</v>
          </cell>
        </row>
        <row r="42">
          <cell r="I42" t="str">
            <v>(in percent of GDP)</v>
          </cell>
        </row>
        <row r="43">
          <cell r="A43" t="str">
            <v>Current account</v>
          </cell>
          <cell r="F43">
            <v>-0.5301091895135388</v>
          </cell>
          <cell r="G43">
            <v>0.16629665982324326</v>
          </cell>
          <cell r="H43">
            <v>6.2795969970612667E-2</v>
          </cell>
          <cell r="I43">
            <v>-0.75134744980708346</v>
          </cell>
          <cell r="J43">
            <v>-3.9106133926533171</v>
          </cell>
        </row>
        <row r="44">
          <cell r="A44" t="str">
            <v xml:space="preserve">   Trade balance</v>
          </cell>
          <cell r="F44">
            <v>-5.0847255738090045</v>
          </cell>
          <cell r="G44">
            <v>-4.3696729245322015</v>
          </cell>
          <cell r="H44">
            <v>-4.2641100920507515</v>
          </cell>
          <cell r="I44">
            <v>-4.0302257356012703</v>
          </cell>
          <cell r="J44">
            <v>-6.2225325677781118</v>
          </cell>
        </row>
        <row r="45">
          <cell r="A45" t="str">
            <v xml:space="preserve">       Exports f.o.b  </v>
          </cell>
          <cell r="F45">
            <v>44.550464530982325</v>
          </cell>
          <cell r="G45">
            <v>44.244334761191531</v>
          </cell>
          <cell r="H45">
            <v>46.180210231244267</v>
          </cell>
          <cell r="I45">
            <v>46.417674482003576</v>
          </cell>
          <cell r="J45">
            <v>43.089472217129604</v>
          </cell>
        </row>
        <row r="46">
          <cell r="A46" t="str">
            <v xml:space="preserve">       Imports f.o.b. </v>
          </cell>
          <cell r="F46">
            <v>-49.635190104791334</v>
          </cell>
          <cell r="G46">
            <v>-48.614007685723735</v>
          </cell>
          <cell r="H46">
            <v>-50.444320323295024</v>
          </cell>
          <cell r="I46">
            <v>-50.447900217604847</v>
          </cell>
          <cell r="J46">
            <v>-49.312004784907721</v>
          </cell>
        </row>
        <row r="47">
          <cell r="A47" t="str">
            <v xml:space="preserve">   Services</v>
          </cell>
          <cell r="F47">
            <v>3.0846610856555992</v>
          </cell>
          <cell r="G47">
            <v>3.3553695865361401</v>
          </cell>
          <cell r="H47">
            <v>3.4619272060829562</v>
          </cell>
          <cell r="I47">
            <v>2.5146652916222876</v>
          </cell>
          <cell r="J47">
            <v>1.8194627082611738</v>
          </cell>
        </row>
        <row r="48">
          <cell r="A48" t="str">
            <v xml:space="preserve">       Exports </v>
          </cell>
          <cell r="F48">
            <v>10.817429165163418</v>
          </cell>
          <cell r="G48">
            <v>11.309590060432345</v>
          </cell>
          <cell r="H48">
            <v>11.24621519933029</v>
          </cell>
          <cell r="I48">
            <v>10.352200152214907</v>
          </cell>
          <cell r="J48">
            <v>9.4906091120055276</v>
          </cell>
        </row>
        <row r="49">
          <cell r="A49" t="str">
            <v xml:space="preserve">          of which:  travel</v>
          </cell>
          <cell r="F49">
            <v>5.7833189244603114</v>
          </cell>
          <cell r="G49">
            <v>6.5671178471093636</v>
          </cell>
          <cell r="H49">
            <v>6.5195086935518534</v>
          </cell>
          <cell r="I49">
            <v>5.557371029743714</v>
          </cell>
          <cell r="J49">
            <v>4.7653420835963791</v>
          </cell>
        </row>
        <row r="50">
          <cell r="A50" t="str">
            <v xml:space="preserve">       Imports</v>
          </cell>
          <cell r="F50">
            <v>-7.7327680795078182</v>
          </cell>
          <cell r="G50">
            <v>-7.9542204738962052</v>
          </cell>
          <cell r="H50">
            <v>-7.7842879932473341</v>
          </cell>
          <cell r="I50">
            <v>-7.8375348605926192</v>
          </cell>
          <cell r="J50">
            <v>-7.6711464037443555</v>
          </cell>
        </row>
        <row r="51">
          <cell r="A51" t="str">
            <v xml:space="preserve">   Income, net</v>
          </cell>
          <cell r="F51">
            <v>0.95691907497529971</v>
          </cell>
          <cell r="G51">
            <v>0.70047836735793834</v>
          </cell>
          <cell r="H51">
            <v>0.21652106883929467</v>
          </cell>
          <cell r="I51">
            <v>0.14239534617774216</v>
          </cell>
          <cell r="J51">
            <v>-0.12235552687785284</v>
          </cell>
        </row>
        <row r="52">
          <cell r="A52" t="str">
            <v xml:space="preserve">   Current transfers, net</v>
          </cell>
          <cell r="F52">
            <v>0.51303622366456592</v>
          </cell>
          <cell r="G52">
            <v>0.48012163046136597</v>
          </cell>
          <cell r="H52">
            <v>0.64845778709911339</v>
          </cell>
          <cell r="I52">
            <v>0.62181764799415662</v>
          </cell>
          <cell r="J52">
            <v>0.61481199374147377</v>
          </cell>
        </row>
        <row r="54">
          <cell r="A54" t="str">
            <v xml:space="preserve">Capital and financial account  </v>
          </cell>
          <cell r="F54">
            <v>2.8304733796228949</v>
          </cell>
          <cell r="G54">
            <v>2.9738693556761766</v>
          </cell>
          <cell r="H54">
            <v>6.5829464513013258</v>
          </cell>
          <cell r="I54">
            <v>1.2390407325839012</v>
          </cell>
          <cell r="J54">
            <v>3.3141839021864579</v>
          </cell>
        </row>
        <row r="55">
          <cell r="A55" t="str">
            <v xml:space="preserve">    Direct investment, net</v>
          </cell>
          <cell r="F55">
            <v>0.97373515529807897</v>
          </cell>
          <cell r="G55">
            <v>0.99401392124024412</v>
          </cell>
          <cell r="H55">
            <v>1.8651447259008236</v>
          </cell>
          <cell r="I55">
            <v>1.2741555751575966</v>
          </cell>
          <cell r="J55">
            <v>0.71697897218415596</v>
          </cell>
        </row>
        <row r="56">
          <cell r="A56" t="str">
            <v xml:space="preserve">           inflow</v>
          </cell>
          <cell r="F56">
            <v>0.94630558128009612</v>
          </cell>
          <cell r="G56">
            <v>1.0276091433933274</v>
          </cell>
          <cell r="H56">
            <v>2.0609605454347175</v>
          </cell>
          <cell r="I56">
            <v>1.2655287826898387</v>
          </cell>
          <cell r="J56">
            <v>0.90539559631233579</v>
          </cell>
        </row>
        <row r="57">
          <cell r="A57" t="str">
            <v xml:space="preserve">           outflow</v>
          </cell>
          <cell r="F57">
            <v>2.7429574017982784E-2</v>
          </cell>
          <cell r="G57">
            <v>-3.3595222153083242E-2</v>
          </cell>
          <cell r="H57">
            <v>-0.19581581953389365</v>
          </cell>
          <cell r="I57">
            <v>8.626792467757988E-3</v>
          </cell>
          <cell r="J57">
            <v>-0.18841662412817972</v>
          </cell>
        </row>
        <row r="58">
          <cell r="A58" t="str">
            <v xml:space="preserve">    Portfolio investment, net</v>
          </cell>
          <cell r="F58">
            <v>-7.2062149615756868E-2</v>
          </cell>
          <cell r="G58">
            <v>3.3735675783898995</v>
          </cell>
          <cell r="H58">
            <v>1.2962860875846332</v>
          </cell>
          <cell r="I58">
            <v>0.45751675337294417</v>
          </cell>
          <cell r="J58">
            <v>1.7127776969961923</v>
          </cell>
        </row>
        <row r="59">
          <cell r="A59" t="str">
            <v xml:space="preserve">           inflow</v>
          </cell>
          <cell r="F59">
            <v>8.2428714986805943E-2</v>
          </cell>
          <cell r="G59">
            <v>3.3396875551032648</v>
          </cell>
          <cell r="H59">
            <v>1.2968752571114583</v>
          </cell>
          <cell r="I59">
            <v>0.61177327455193875</v>
          </cell>
          <cell r="J59">
            <v>1.7518712405941963</v>
          </cell>
        </row>
        <row r="60">
          <cell r="A60" t="str">
            <v xml:space="preserve">              equity</v>
          </cell>
          <cell r="F60">
            <v>0</v>
          </cell>
          <cell r="G60">
            <v>0</v>
          </cell>
          <cell r="H60">
            <v>0.28641420208100909</v>
          </cell>
          <cell r="I60">
            <v>3.6899675096606951E-2</v>
          </cell>
          <cell r="J60">
            <v>-1.5961333408080744E-2</v>
          </cell>
        </row>
        <row r="61">
          <cell r="A61" t="str">
            <v xml:space="preserve">              debt</v>
          </cell>
          <cell r="F61">
            <v>8.2428714986805943E-2</v>
          </cell>
          <cell r="G61">
            <v>3.3396875551032648</v>
          </cell>
          <cell r="H61">
            <v>1.0104610550304494</v>
          </cell>
          <cell r="I61">
            <v>0.57487359945533179</v>
          </cell>
          <cell r="J61">
            <v>1.7678325740022773</v>
          </cell>
        </row>
        <row r="62">
          <cell r="A62" t="str">
            <v xml:space="preserve">           outflow</v>
          </cell>
          <cell r="F62">
            <v>-0.15449086460256281</v>
          </cell>
          <cell r="G62">
            <v>3.3880023286634309E-2</v>
          </cell>
          <cell r="H62">
            <v>-5.8916952682522088E-4</v>
          </cell>
          <cell r="I62">
            <v>-0.15425652117899463</v>
          </cell>
          <cell r="J62">
            <v>-3.9093543598004057E-2</v>
          </cell>
        </row>
        <row r="63">
          <cell r="A63" t="str">
            <v xml:space="preserve">              equity</v>
          </cell>
          <cell r="F63">
            <v>0</v>
          </cell>
          <cell r="G63">
            <v>0</v>
          </cell>
          <cell r="H63">
            <v>0</v>
          </cell>
          <cell r="I63">
            <v>0</v>
          </cell>
          <cell r="J63">
            <v>-2.6408261146119469E-3</v>
          </cell>
        </row>
        <row r="64">
          <cell r="A64" t="str">
            <v xml:space="preserve">              debt</v>
          </cell>
          <cell r="F64">
            <v>-0.15449086460256281</v>
          </cell>
          <cell r="G64">
            <v>3.3880023286634309E-2</v>
          </cell>
          <cell r="H64">
            <v>-5.8916952682522088E-4</v>
          </cell>
          <cell r="I64">
            <v>-0.15425652117899463</v>
          </cell>
          <cell r="J64">
            <v>-3.6452717483392114E-2</v>
          </cell>
        </row>
        <row r="65">
          <cell r="A65" t="str">
            <v xml:space="preserve">    Other investment, net</v>
          </cell>
          <cell r="F65">
            <v>1.9658623986277288</v>
          </cell>
          <cell r="G65">
            <v>-1.384025481536781</v>
          </cell>
          <cell r="H65">
            <v>3.4155771367982979</v>
          </cell>
          <cell r="I65">
            <v>-0.4851889277680958</v>
          </cell>
          <cell r="J65">
            <v>0.88745374353738138</v>
          </cell>
        </row>
        <row r="66">
          <cell r="A66" t="str">
            <v xml:space="preserve">         Government</v>
          </cell>
          <cell r="F66">
            <v>0.75072839844341854</v>
          </cell>
          <cell r="G66">
            <v>-0.36166016704612408</v>
          </cell>
          <cell r="H66">
            <v>-0.12779485177979605</v>
          </cell>
          <cell r="I66">
            <v>-0.11164212393103533</v>
          </cell>
          <cell r="J66">
            <v>8.6186901192277565E-2</v>
          </cell>
        </row>
        <row r="67">
          <cell r="A67" t="str">
            <v xml:space="preserve">         Non government</v>
          </cell>
          <cell r="F67">
            <v>1.2151340001843112</v>
          </cell>
          <cell r="G67">
            <v>-1.0223653144906566</v>
          </cell>
          <cell r="H67">
            <v>3.5433719885780937</v>
          </cell>
          <cell r="I67">
            <v>-0.37354680383706063</v>
          </cell>
          <cell r="J67">
            <v>0.80126684234510404</v>
          </cell>
        </row>
        <row r="68">
          <cell r="A68" t="str">
            <v xml:space="preserve">              Bank of Slovenia</v>
          </cell>
          <cell r="F68">
            <v>-0.37480790578787443</v>
          </cell>
          <cell r="G68">
            <v>0.6823350564590307</v>
          </cell>
          <cell r="H68">
            <v>-4.8331539934894398E-2</v>
          </cell>
          <cell r="I68">
            <v>-2.7468484905874786E-2</v>
          </cell>
          <cell r="J68">
            <v>-2.8097445856155045E-2</v>
          </cell>
        </row>
        <row r="69">
          <cell r="A69" t="str">
            <v xml:space="preserve">              Private sector</v>
          </cell>
          <cell r="F69">
            <v>1.5899419059721858</v>
          </cell>
          <cell r="G69">
            <v>-1.7047003709496875</v>
          </cell>
          <cell r="H69">
            <v>3.5917035285129884</v>
          </cell>
          <cell r="I69">
            <v>-0.34607831893118579</v>
          </cell>
          <cell r="J69">
            <v>0.82936428820125918</v>
          </cell>
        </row>
        <row r="71">
          <cell r="A71" t="str">
            <v>Net errors and omissions</v>
          </cell>
          <cell r="F71">
            <v>-1.0382876401827805</v>
          </cell>
          <cell r="G71">
            <v>-2.8091020892928163E-2</v>
          </cell>
          <cell r="H71">
            <v>0.42428854762564755</v>
          </cell>
          <cell r="I71">
            <v>0.31810007420257269</v>
          </cell>
          <cell r="J71">
            <v>0.13627964425160086</v>
          </cell>
        </row>
        <row r="72">
          <cell r="A72" t="str">
            <v>Overall balance</v>
          </cell>
          <cell r="F72">
            <v>1.2620765499265754</v>
          </cell>
          <cell r="G72">
            <v>3.1120749946064921</v>
          </cell>
          <cell r="H72">
            <v>7.0700309688975862</v>
          </cell>
          <cell r="I72">
            <v>0.80579335697939058</v>
          </cell>
          <cell r="J72">
            <v>-0.46014984621525862</v>
          </cell>
        </row>
        <row r="73">
          <cell r="A73" t="str">
            <v xml:space="preserve">Change in official  reserves </v>
          </cell>
          <cell r="F73">
            <v>-1.2620765503533982</v>
          </cell>
          <cell r="G73">
            <v>-3.1120749933351912</v>
          </cell>
          <cell r="H73">
            <v>-7.0700309692820689</v>
          </cell>
          <cell r="I73">
            <v>-0.80579335636667504</v>
          </cell>
          <cell r="J73">
            <v>0.4050949715578665</v>
          </cell>
        </row>
        <row r="75">
          <cell r="A75" t="str">
            <v>Memorandum items:</v>
          </cell>
          <cell r="F75" t="str">
            <v>(in percent of GDP)</v>
          </cell>
        </row>
        <row r="76">
          <cell r="A76" t="str">
            <v>External debt (percent of GDP)</v>
          </cell>
          <cell r="F76">
            <v>15.845647318112697</v>
          </cell>
          <cell r="G76">
            <v>21.241308492553713</v>
          </cell>
          <cell r="H76">
            <v>22.937801936313598</v>
          </cell>
          <cell r="I76">
            <v>25.320421415160531</v>
          </cell>
          <cell r="J76">
            <v>27.439690684826225</v>
          </cell>
        </row>
        <row r="77">
          <cell r="A77" t="str">
            <v>External debt (percent of XGS)</v>
          </cell>
          <cell r="F77">
            <v>28.618837128015468</v>
          </cell>
          <cell r="G77">
            <v>38.235477620630185</v>
          </cell>
          <cell r="H77">
            <v>39.942938750461074</v>
          </cell>
          <cell r="I77">
            <v>44.601862481299989</v>
          </cell>
          <cell r="J77">
            <v>52.186474404750719</v>
          </cell>
        </row>
        <row r="78">
          <cell r="A78" t="str">
            <v>Short-term debt/foreign reserves</v>
          </cell>
          <cell r="F78">
            <v>2.7753292675673595</v>
          </cell>
          <cell r="G78">
            <v>2.1503357867106816</v>
          </cell>
          <cell r="H78">
            <v>4.0943607147050347</v>
          </cell>
          <cell r="I78">
            <v>3.0787575971267636</v>
          </cell>
          <cell r="J78">
            <v>3.8250401981431237</v>
          </cell>
        </row>
        <row r="79">
          <cell r="A79" t="str">
            <v>Debt service (percent of XGS)</v>
          </cell>
          <cell r="F79">
            <v>7.1209833796644544</v>
          </cell>
          <cell r="G79">
            <v>8.9247897887555734</v>
          </cell>
          <cell r="H79">
            <v>8.8092544514307125</v>
          </cell>
          <cell r="I79">
            <v>13.814974948835811</v>
          </cell>
          <cell r="J79">
            <v>8.0403856030630312</v>
          </cell>
        </row>
        <row r="80">
          <cell r="A80" t="str">
            <v>Foreign exchange reserves</v>
          </cell>
        </row>
        <row r="81">
          <cell r="A81" t="str">
            <v xml:space="preserve">    Bank of Slovenia (million of $US)</v>
          </cell>
          <cell r="B81">
            <v>112.1</v>
          </cell>
          <cell r="C81">
            <v>715.54424700000004</v>
          </cell>
          <cell r="D81">
            <v>770.06670099999997</v>
          </cell>
          <cell r="E81">
            <v>1480.1183127679999</v>
          </cell>
          <cell r="F81">
            <v>1801.5880344110001</v>
          </cell>
          <cell r="G81">
            <v>2278.713878215</v>
          </cell>
          <cell r="H81">
            <v>3297.2180373640003</v>
          </cell>
          <cell r="I81">
            <v>3572.8697869120001</v>
          </cell>
          <cell r="J81">
            <v>3058.7913835990003</v>
          </cell>
        </row>
        <row r="82">
          <cell r="A82" t="str">
            <v xml:space="preserve">       (in months of MGNFS)</v>
          </cell>
          <cell r="B82">
            <v>0.28860759493670884</v>
          </cell>
          <cell r="C82">
            <v>1.2388965450103686</v>
          </cell>
          <cell r="D82">
            <v>1.2738100336473501</v>
          </cell>
          <cell r="E82">
            <v>2.1311393902614539</v>
          </cell>
          <cell r="F82">
            <v>2.0105777770772852</v>
          </cell>
          <cell r="G82">
            <v>2.5605623842176852</v>
          </cell>
          <cell r="H82">
            <v>3.7323624453385182</v>
          </cell>
          <cell r="I82">
            <v>3.7559103129613702</v>
          </cell>
          <cell r="J82">
            <v>3.2189365021658931</v>
          </cell>
        </row>
        <row r="83">
          <cell r="A83" t="str">
            <v xml:space="preserve">    Deposit money banks (million of $US)</v>
          </cell>
          <cell r="B83">
            <v>296.60000000000002</v>
          </cell>
          <cell r="C83">
            <v>448.11750699999999</v>
          </cell>
          <cell r="D83">
            <v>796.45774500000005</v>
          </cell>
          <cell r="E83">
            <v>1283.131247153</v>
          </cell>
          <cell r="F83">
            <v>1624.0927389589999</v>
          </cell>
          <cell r="G83">
            <v>1845.397132582</v>
          </cell>
          <cell r="H83">
            <v>1079.688673312</v>
          </cell>
          <cell r="I83">
            <v>1208.5825530969998</v>
          </cell>
          <cell r="J83">
            <v>1056.4228072799999</v>
          </cell>
        </row>
        <row r="84">
          <cell r="A84" t="str">
            <v xml:space="preserve">       (in months of MGNFS)</v>
          </cell>
          <cell r="B84">
            <v>0.76361295859257683</v>
          </cell>
          <cell r="C84">
            <v>0.77587267804692406</v>
          </cell>
          <cell r="D84">
            <v>1.3174649230250806</v>
          </cell>
          <cell r="E84">
            <v>1.8475087566271371</v>
          </cell>
          <cell r="F84">
            <v>1.8124924824620652</v>
          </cell>
          <cell r="G84">
            <v>2.0736497577897364</v>
          </cell>
          <cell r="H84">
            <v>1.2221786400722043</v>
          </cell>
          <cell r="I84">
            <v>1.2704990514545187</v>
          </cell>
          <cell r="J84">
            <v>1.1117325471451507</v>
          </cell>
        </row>
        <row r="85">
          <cell r="A85" t="str">
            <v>Export of GS volume growth (in percent)</v>
          </cell>
          <cell r="D85">
            <v>-1.6201799050405419</v>
          </cell>
          <cell r="E85">
            <v>7.1841639401958313</v>
          </cell>
          <cell r="F85">
            <v>-1.1216352375151617</v>
          </cell>
          <cell r="G85">
            <v>0.98844856873543385</v>
          </cell>
          <cell r="H85">
            <v>10.151424588822721</v>
          </cell>
          <cell r="I85">
            <v>5.7152771621242549</v>
          </cell>
          <cell r="J85">
            <v>-2.2134607262402017</v>
          </cell>
        </row>
        <row r="86">
          <cell r="A86" t="str">
            <v>Import of GS volume growth (in percent)</v>
          </cell>
          <cell r="D86">
            <v>6.2907382114488319</v>
          </cell>
          <cell r="E86">
            <v>10.945801695750923</v>
          </cell>
          <cell r="F86">
            <v>17.26658270129635</v>
          </cell>
          <cell r="G86">
            <v>-1.0537522736061011</v>
          </cell>
          <cell r="H86">
            <v>7.5049560245081581</v>
          </cell>
          <cell r="I86">
            <v>7.6945467075752561</v>
          </cell>
          <cell r="J86">
            <v>2.2180453307570902</v>
          </cell>
        </row>
        <row r="87">
          <cell r="A87" t="str">
            <v>Export of Goods volume growth (in percent)</v>
          </cell>
          <cell r="D87">
            <v>-3.5000000000000004</v>
          </cell>
          <cell r="E87">
            <v>6.1</v>
          </cell>
          <cell r="F87">
            <v>8.4</v>
          </cell>
          <cell r="G87">
            <v>-0.74902234521322386</v>
          </cell>
          <cell r="H87">
            <v>11.741619593577891</v>
          </cell>
          <cell r="I87">
            <v>8.2126641879183957</v>
          </cell>
          <cell r="J87">
            <v>-1.9069119082103958</v>
          </cell>
        </row>
        <row r="88">
          <cell r="A88" t="str">
            <v>Import of Goods volume growth (in percent)</v>
          </cell>
          <cell r="D88">
            <v>8.4867425996502313</v>
          </cell>
          <cell r="E88">
            <v>10.815437698289788</v>
          </cell>
          <cell r="F88">
            <v>16.633405815254278</v>
          </cell>
          <cell r="G88">
            <v>-1.498450588101452</v>
          </cell>
          <cell r="H88">
            <v>9.5930082985176348</v>
          </cell>
          <cell r="I88">
            <v>7.7903677656897985</v>
          </cell>
          <cell r="J88">
            <v>2.8265416526024545</v>
          </cell>
        </row>
        <row r="89">
          <cell r="A89" t="str">
            <v>Tourism receipts (percent change)</v>
          </cell>
          <cell r="B89" t="str">
            <v>...</v>
          </cell>
          <cell r="C89">
            <v>99.098515722801153</v>
          </cell>
          <cell r="D89">
            <v>9.4044850940989022</v>
          </cell>
          <cell r="E89">
            <v>24.370073475799558</v>
          </cell>
          <cell r="F89">
            <v>18.733881540398457</v>
          </cell>
          <cell r="G89">
            <v>14.37057639084891</v>
          </cell>
          <cell r="H89">
            <v>-4.2617148162509721</v>
          </cell>
          <cell r="I89">
            <v>-8.3000685160351075</v>
          </cell>
          <cell r="J89">
            <v>-12.385952693540004</v>
          </cell>
        </row>
        <row r="90">
          <cell r="A90" t="str">
            <v>Change in the terms of trade (percent change)</v>
          </cell>
          <cell r="H90">
            <v>-1.3458695199816018</v>
          </cell>
          <cell r="I90">
            <v>0.11485381029752162</v>
          </cell>
          <cell r="J90">
            <v>-0.44913134707084135</v>
          </cell>
        </row>
        <row r="92">
          <cell r="A92" t="str">
            <v>Gross domestic product (in billions of $US)</v>
          </cell>
          <cell r="B92">
            <v>12.673</v>
          </cell>
          <cell r="C92">
            <v>12.522635010456391</v>
          </cell>
          <cell r="D92">
            <v>12.67303956199223</v>
          </cell>
          <cell r="E92">
            <v>14.385617464618155</v>
          </cell>
          <cell r="F92">
            <v>18.74331758353021</v>
          </cell>
          <cell r="G92">
            <v>18.878309692671394</v>
          </cell>
          <cell r="H92">
            <v>18.205754900118983</v>
          </cell>
          <cell r="I92">
            <v>19.584982092876274</v>
          </cell>
          <cell r="J92">
            <v>20.011158518767299</v>
          </cell>
        </row>
        <row r="95">
          <cell r="A95" t="str">
            <v xml:space="preserve">  Sources:  Bank of Slovenia and staff estimates.</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ectors"/>
      <sheetName val="In WEO"/>
      <sheetName val="F1-reerproj"/>
      <sheetName val="Cash-Flow"/>
      <sheetName val="ControlSheet"/>
      <sheetName val="BOP note"/>
      <sheetName val="Monthly BOP"/>
      <sheetName val="Sustain"/>
      <sheetName val="Demand Im"/>
      <sheetName val="Tempor"/>
      <sheetName val="BOP-Q"/>
      <sheetName val="Sheet1"/>
      <sheetName val="X-M-WS"/>
      <sheetName val="EXPORTS-QA"/>
      <sheetName val="IMPORTS-QA"/>
      <sheetName val="Deflators"/>
      <sheetName val="Services"/>
      <sheetName val="Direct Inv"/>
      <sheetName val="Portfolio"/>
      <sheetName val="Other Inv"/>
      <sheetName val="C-ACC"/>
      <sheetName val="Sstnble CA"/>
      <sheetName val="RESERVES"/>
      <sheetName val="Int. Inv Position"/>
      <sheetName val="Ext. Dbt Stk"/>
      <sheetName val="Ext. Disb"/>
      <sheetName val="Ext. Amrt"/>
      <sheetName val="Ext. Int"/>
      <sheetName val="Ext. Dbt Ser"/>
      <sheetName val="Dbt data-Kyjac"/>
      <sheetName val="CA-finance"/>
      <sheetName val="Debt"/>
      <sheetName val="FISCAL"/>
      <sheetName val="StateGuarantees"/>
      <sheetName val="OUTPUT"/>
      <sheetName val="OUTPUT 2004H1"/>
      <sheetName val="WEO-BOP (old)"/>
      <sheetName val="WEO-BOP"/>
      <sheetName val="WEO-DEBT"/>
      <sheetName val="Vuln."/>
      <sheetName val="SR-Copy"/>
      <sheetName val="SR-Main"/>
      <sheetName val="SR-Medium-term"/>
      <sheetName val="OUT_DSA"/>
      <sheetName val="Out"/>
      <sheetName val="Input M"/>
      <sheetName val="Input Q"/>
      <sheetName val="Input A"/>
      <sheetName val="Trade M"/>
      <sheetName val="Trade Q"/>
      <sheetName val="Momentum"/>
      <sheetName val="charts"/>
      <sheetName val="WEO-TRADE"/>
      <sheetName val="Sheet2"/>
      <sheetName val="Slovak Republic"/>
      <sheetName val="imfpeter2"/>
      <sheetName val="STDebt"/>
      <sheetName val="Chart1"/>
      <sheetName val="Chart2"/>
      <sheetName val="Chart3"/>
      <sheetName val="Chart4"/>
      <sheetName val="In"/>
      <sheetName val="Debt (forecast)"/>
      <sheetName val="Chart5"/>
      <sheetName val="Vulnerability"/>
      <sheetName val="updating"/>
      <sheetName val="Chart_X&amp;M&amp;cars"/>
      <sheetName val="Svkbop"/>
      <sheetName val="i2-KA"/>
      <sheetName val="i-RE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refreshError="1"/>
      <sheetData sheetId="65"/>
      <sheetData sheetId="66"/>
      <sheetData sheetId="67" refreshError="1"/>
      <sheetData sheetId="68" refreshError="1"/>
      <sheetData sheetId="69" refreshError="1"/>
      <sheetData sheetId="7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StRp_Tbl1"/>
      <sheetName val="Stfrprtables"/>
      <sheetName val="WEO-BOP"/>
      <sheetName val="Contents"/>
      <sheetName val="i-REER"/>
      <sheetName val="i2-KA"/>
      <sheetName val="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 7- opatrenia 2013"/>
      <sheetName val="Tab2"/>
      <sheetName val="Tab3"/>
      <sheetName val="Tab4"/>
      <sheetName val="Tab5"/>
      <sheetName val="Tab Obce"/>
      <sheetName val="Tab ZP"/>
      <sheetName val="Tab Bilancie"/>
      <sheetName val="Tab subjekty salda"/>
      <sheetName val="Tab10"/>
      <sheetName val="Graf1"/>
      <sheetName val="Graf2"/>
      <sheetName val="Graf3"/>
      <sheetName val="Graf4"/>
      <sheetName val="Graf5"/>
      <sheetName val="Graf6"/>
      <sheetName val="Graf7"/>
      <sheetName val="Graf8_Graf9b"/>
      <sheetName val="Graf10"/>
      <sheetName val="Graf11"/>
      <sheetName val="Graf12_Graf13"/>
      <sheetName val="Graf14_Graf15"/>
      <sheetName val="Graf16"/>
      <sheetName val="Graf17"/>
      <sheetName val="Priloha1"/>
      <sheetName val="Priloha2"/>
      <sheetName val="Q6"/>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sheetDataSet>
      <sheetData sheetId="0"/>
      <sheetData sheetId="1"/>
      <sheetData sheetId="2" refreshError="1">
        <row r="6">
          <cell r="D6" t="str">
            <v>aip25</v>
          </cell>
          <cell r="E6" t="str">
            <v>LWAGE25</v>
          </cell>
          <cell r="F6" t="str">
            <v>LE25</v>
          </cell>
          <cell r="H6" t="str">
            <v>PCPI</v>
          </cell>
          <cell r="L6" t="str">
            <v>aip25sa</v>
          </cell>
          <cell r="N6" t="str">
            <v>LWAGE25sa</v>
          </cell>
          <cell r="S6" t="str">
            <v>PCPIsa</v>
          </cell>
        </row>
        <row r="20">
          <cell r="B20" t="str">
            <v>1990m1</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20">
          <cell r="B120" t="str">
            <v>+</v>
          </cell>
        </row>
        <row r="121">
          <cell r="B121" t="str">
            <v>+</v>
          </cell>
        </row>
        <row r="122">
          <cell r="B122" t="str">
            <v>+</v>
          </cell>
        </row>
        <row r="123">
          <cell r="B123" t="str">
            <v>+</v>
          </cell>
        </row>
        <row r="124">
          <cell r="B124" t="str">
            <v>+</v>
          </cell>
        </row>
        <row r="125">
          <cell r="B125" t="str">
            <v>+</v>
          </cell>
        </row>
        <row r="126">
          <cell r="B126" t="str">
            <v>+</v>
          </cell>
        </row>
        <row r="127">
          <cell r="B127" t="str">
            <v>+</v>
          </cell>
        </row>
        <row r="128">
          <cell r="B128" t="str">
            <v>+</v>
          </cell>
        </row>
        <row r="129">
          <cell r="B129" t="str">
            <v>+</v>
          </cell>
        </row>
        <row r="130">
          <cell r="B130" t="str">
            <v>+</v>
          </cell>
        </row>
        <row r="131">
          <cell r="B131" t="str">
            <v>+</v>
          </cell>
        </row>
        <row r="132">
          <cell r="B132" t="str">
            <v>+</v>
          </cell>
        </row>
        <row r="133">
          <cell r="B133" t="str">
            <v>+</v>
          </cell>
        </row>
        <row r="134">
          <cell r="B134" t="str">
            <v>+</v>
          </cell>
        </row>
      </sheetData>
      <sheetData sheetId="3"/>
      <sheetData sheetId="4" refreshError="1">
        <row r="6">
          <cell r="C6" t="str">
            <v>LWAGE25R</v>
          </cell>
          <cell r="D6" t="str">
            <v>lpwage25r</v>
          </cell>
          <cell r="H6" t="str">
            <v>LWAGE25Rsa</v>
          </cell>
          <cell r="I6" t="str">
            <v>lpwage25rsa</v>
          </cell>
        </row>
      </sheetData>
      <sheetData sheetId="5" refreshError="1">
        <row r="15">
          <cell r="V15" t="e">
            <v>#DIV/0!</v>
          </cell>
        </row>
        <row r="16">
          <cell r="V16" t="e">
            <v>#DIV/0!</v>
          </cell>
        </row>
        <row r="17">
          <cell r="V17" t="e">
            <v>#DIV/0!</v>
          </cell>
        </row>
        <row r="18">
          <cell r="V18" t="e">
            <v>#DIV/0!</v>
          </cell>
        </row>
        <row r="19">
          <cell r="V19" t="e">
            <v>#DIV/0!</v>
          </cell>
        </row>
        <row r="20">
          <cell r="V20" t="e">
            <v>#DIV/0!</v>
          </cell>
        </row>
        <row r="21">
          <cell r="V21" t="e">
            <v>#DIV/0!</v>
          </cell>
        </row>
        <row r="22">
          <cell r="V22" t="e">
            <v>#DIV/0!</v>
          </cell>
        </row>
        <row r="23">
          <cell r="V23" t="e">
            <v>#DIV/0!</v>
          </cell>
        </row>
        <row r="24">
          <cell r="V24" t="e">
            <v>#DIV/0!</v>
          </cell>
        </row>
        <row r="25">
          <cell r="V25" t="e">
            <v>#DIV/0!</v>
          </cell>
        </row>
        <row r="26">
          <cell r="V26" t="e">
            <v>#DIV/0!</v>
          </cell>
        </row>
        <row r="27">
          <cell r="V27" t="e">
            <v>#DIV/0!</v>
          </cell>
        </row>
        <row r="28">
          <cell r="V28" t="e">
            <v>#DIV/0!</v>
          </cell>
        </row>
        <row r="29">
          <cell r="V29" t="e">
            <v>#DIV/0!</v>
          </cell>
        </row>
        <row r="30">
          <cell r="V30" t="e">
            <v>#DIV/0!</v>
          </cell>
        </row>
        <row r="31">
          <cell r="V31" t="e">
            <v>#DIV/0!</v>
          </cell>
        </row>
        <row r="32">
          <cell r="V32" t="e">
            <v>#DIV/0!</v>
          </cell>
        </row>
        <row r="33">
          <cell r="V33" t="e">
            <v>#DIV/0!</v>
          </cell>
        </row>
        <row r="34">
          <cell r="V34" t="e">
            <v>#DIV/0!</v>
          </cell>
        </row>
        <row r="35">
          <cell r="V35" t="e">
            <v>#DIV/0!</v>
          </cell>
        </row>
        <row r="36">
          <cell r="V36" t="e">
            <v>#DIV/0!</v>
          </cell>
        </row>
        <row r="37">
          <cell r="V37" t="e">
            <v>#DIV/0!</v>
          </cell>
        </row>
        <row r="38">
          <cell r="V38" t="e">
            <v>#DIV/0!</v>
          </cell>
        </row>
        <row r="39">
          <cell r="V39" t="e">
            <v>#DIV/0!</v>
          </cell>
        </row>
        <row r="40">
          <cell r="V40" t="e">
            <v>#DIV/0!</v>
          </cell>
        </row>
        <row r="41">
          <cell r="V41" t="e">
            <v>#DIV/0!</v>
          </cell>
        </row>
        <row r="42">
          <cell r="V42" t="e">
            <v>#DIV/0!</v>
          </cell>
        </row>
        <row r="43">
          <cell r="V43" t="e">
            <v>#DIV/0!</v>
          </cell>
        </row>
        <row r="44">
          <cell r="V44" t="e">
            <v>#DIV/0!</v>
          </cell>
        </row>
        <row r="45">
          <cell r="V45" t="e">
            <v>#DIV/0!</v>
          </cell>
        </row>
        <row r="46">
          <cell r="V46" t="e">
            <v>#DIV/0!</v>
          </cell>
        </row>
        <row r="47">
          <cell r="V47" t="e">
            <v>#DIV/0!</v>
          </cell>
        </row>
        <row r="48">
          <cell r="V48" t="e">
            <v>#DIV/0!</v>
          </cell>
        </row>
        <row r="49">
          <cell r="V49" t="e">
            <v>#DIV/0!</v>
          </cell>
        </row>
        <row r="50">
          <cell r="V50" t="e">
            <v>#DIV/0!</v>
          </cell>
        </row>
        <row r="51">
          <cell r="V51" t="e">
            <v>#DIV/0!</v>
          </cell>
        </row>
        <row r="52">
          <cell r="V52" t="e">
            <v>#DIV/0!</v>
          </cell>
        </row>
        <row r="53">
          <cell r="V53" t="e">
            <v>#DIV/0!</v>
          </cell>
        </row>
        <row r="54">
          <cell r="V54" t="e">
            <v>#DIV/0!</v>
          </cell>
        </row>
        <row r="55">
          <cell r="V55" t="e">
            <v>#DIV/0!</v>
          </cell>
        </row>
        <row r="56">
          <cell r="V56" t="e">
            <v>#DIV/0!</v>
          </cell>
        </row>
        <row r="57">
          <cell r="V57" t="e">
            <v>#DIV/0!</v>
          </cell>
        </row>
        <row r="58">
          <cell r="V58" t="e">
            <v>#DIV/0!</v>
          </cell>
        </row>
        <row r="59">
          <cell r="V59" t="e">
            <v>#DIV/0!</v>
          </cell>
        </row>
        <row r="60">
          <cell r="V60" t="e">
            <v>#DIV/0!</v>
          </cell>
        </row>
        <row r="61">
          <cell r="V61" t="e">
            <v>#DIV/0!</v>
          </cell>
        </row>
        <row r="62">
          <cell r="V62" t="e">
            <v>#DIV/0!</v>
          </cell>
        </row>
        <row r="63">
          <cell r="V63" t="e">
            <v>#DIV/0!</v>
          </cell>
        </row>
        <row r="64">
          <cell r="V64" t="e">
            <v>#DIV/0!</v>
          </cell>
        </row>
        <row r="65">
          <cell r="V65" t="e">
            <v>#DIV/0!</v>
          </cell>
        </row>
        <row r="66">
          <cell r="V66" t="e">
            <v>#DIV/0!</v>
          </cell>
        </row>
        <row r="67">
          <cell r="V67" t="e">
            <v>#DIV/0!</v>
          </cell>
        </row>
        <row r="68">
          <cell r="V68" t="e">
            <v>#DIV/0!</v>
          </cell>
        </row>
        <row r="69">
          <cell r="V69" t="e">
            <v>#DIV/0!</v>
          </cell>
        </row>
        <row r="70">
          <cell r="V70" t="e">
            <v>#DIV/0!</v>
          </cell>
        </row>
        <row r="71">
          <cell r="V71" t="e">
            <v>#DIV/0!</v>
          </cell>
        </row>
        <row r="72">
          <cell r="V72" t="e">
            <v>#DIV/0!</v>
          </cell>
        </row>
        <row r="73">
          <cell r="V73" t="e">
            <v>#DIV/0!</v>
          </cell>
        </row>
        <row r="74">
          <cell r="V74" t="e">
            <v>#DIV/0!</v>
          </cell>
        </row>
        <row r="75">
          <cell r="V75" t="e">
            <v>#DIV/0!</v>
          </cell>
        </row>
        <row r="76">
          <cell r="V76" t="e">
            <v>#DIV/0!</v>
          </cell>
        </row>
        <row r="77">
          <cell r="V77" t="e">
            <v>#DIV/0!</v>
          </cell>
        </row>
        <row r="78">
          <cell r="V78" t="e">
            <v>#DIV/0!</v>
          </cell>
        </row>
        <row r="79">
          <cell r="V79" t="e">
            <v>#DIV/0!</v>
          </cell>
        </row>
        <row r="80">
          <cell r="V80" t="e">
            <v>#DIV/0!</v>
          </cell>
        </row>
        <row r="81">
          <cell r="V81" t="e">
            <v>#DIV/0!</v>
          </cell>
        </row>
        <row r="82">
          <cell r="V82" t="e">
            <v>#DIV/0!</v>
          </cell>
        </row>
        <row r="83">
          <cell r="V83" t="e">
            <v>#DIV/0!</v>
          </cell>
        </row>
        <row r="84">
          <cell r="V84" t="e">
            <v>#DIV/0!</v>
          </cell>
        </row>
        <row r="85">
          <cell r="V85" t="e">
            <v>#DIV/0!</v>
          </cell>
        </row>
        <row r="86">
          <cell r="V86" t="e">
            <v>#DIV/0!</v>
          </cell>
        </row>
        <row r="87">
          <cell r="V87" t="e">
            <v>#DIV/0!</v>
          </cell>
        </row>
        <row r="88">
          <cell r="V88" t="e">
            <v>#DIV/0!</v>
          </cell>
        </row>
        <row r="89">
          <cell r="V89" t="e">
            <v>#DIV/0!</v>
          </cell>
        </row>
        <row r="90">
          <cell r="V90" t="e">
            <v>#DIV/0!</v>
          </cell>
        </row>
        <row r="91">
          <cell r="V91" t="e">
            <v>#DIV/0!</v>
          </cell>
        </row>
        <row r="92">
          <cell r="V92" t="e">
            <v>#DIV/0!</v>
          </cell>
        </row>
        <row r="93">
          <cell r="V93" t="e">
            <v>#DIV/0!</v>
          </cell>
        </row>
        <row r="94">
          <cell r="V94" t="e">
            <v>#DIV/0!</v>
          </cell>
        </row>
        <row r="95">
          <cell r="V95" t="e">
            <v>#DIV/0!</v>
          </cell>
        </row>
        <row r="96">
          <cell r="V96" t="e">
            <v>#DIV/0!</v>
          </cell>
        </row>
        <row r="97">
          <cell r="V97">
            <v>168.17416629993104</v>
          </cell>
        </row>
        <row r="98">
          <cell r="V98">
            <v>159.84742361815643</v>
          </cell>
        </row>
      </sheetData>
      <sheetData sheetId="6"/>
      <sheetData sheetId="7"/>
      <sheetData sheetId="8"/>
      <sheetData sheetId="9"/>
      <sheetData sheetId="10" refreshError="1">
        <row r="1">
          <cell r="C1" t="str">
            <v>pcpi.m</v>
          </cell>
          <cell r="D1" t="str">
            <v>Pwpi.m</v>
          </cell>
          <cell r="E1" t="str">
            <v>INDPROD</v>
          </cell>
          <cell r="F1" t="str">
            <v>EMPI</v>
          </cell>
          <cell r="G1" t="str">
            <v>labprod</v>
          </cell>
          <cell r="H1" t="str">
            <v>rwagep</v>
          </cell>
          <cell r="I1" t="str">
            <v>rwagec</v>
          </cell>
          <cell r="J1" t="str">
            <v>corulc</v>
          </cell>
          <cell r="K1" t="str">
            <v>produlc</v>
          </cell>
          <cell r="L1" t="str">
            <v>$ulccr</v>
          </cell>
          <cell r="M1" t="str">
            <v>Rulc$</v>
          </cell>
          <cell r="N1" t="str">
            <v>$NULCG6</v>
          </cell>
        </row>
        <row r="9">
          <cell r="A9" t="str">
            <v>1990m1</v>
          </cell>
        </row>
        <row r="10">
          <cell r="A10" t="str">
            <v>+</v>
          </cell>
        </row>
        <row r="11">
          <cell r="A11" t="str">
            <v>+</v>
          </cell>
        </row>
        <row r="12">
          <cell r="A12" t="str">
            <v>+</v>
          </cell>
        </row>
        <row r="13">
          <cell r="A13" t="str">
            <v>+</v>
          </cell>
        </row>
        <row r="14">
          <cell r="A14" t="str">
            <v>+</v>
          </cell>
        </row>
        <row r="15">
          <cell r="A15" t="str">
            <v>+</v>
          </cell>
        </row>
        <row r="16">
          <cell r="A16" t="str">
            <v>+</v>
          </cell>
        </row>
        <row r="17">
          <cell r="A17" t="str">
            <v>+</v>
          </cell>
        </row>
        <row r="18">
          <cell r="A18" t="str">
            <v>+</v>
          </cell>
        </row>
        <row r="19">
          <cell r="A19" t="str">
            <v>+</v>
          </cell>
        </row>
        <row r="20">
          <cell r="A20" t="str">
            <v>+</v>
          </cell>
        </row>
        <row r="21">
          <cell r="A21" t="str">
            <v>+</v>
          </cell>
        </row>
        <row r="22">
          <cell r="A22" t="str">
            <v>+</v>
          </cell>
        </row>
        <row r="23">
          <cell r="A23" t="str">
            <v>+</v>
          </cell>
        </row>
        <row r="24">
          <cell r="A24" t="str">
            <v>+</v>
          </cell>
        </row>
        <row r="25">
          <cell r="A25" t="str">
            <v>+</v>
          </cell>
        </row>
        <row r="26">
          <cell r="A26" t="str">
            <v>+</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row r="51">
          <cell r="A51" t="str">
            <v>+</v>
          </cell>
        </row>
        <row r="52">
          <cell r="A52" t="str">
            <v>+</v>
          </cell>
        </row>
        <row r="53">
          <cell r="A53" t="str">
            <v>+</v>
          </cell>
        </row>
        <row r="54">
          <cell r="A54" t="str">
            <v>+</v>
          </cell>
        </row>
        <row r="55">
          <cell r="A55" t="str">
            <v>+</v>
          </cell>
        </row>
        <row r="56">
          <cell r="A56" t="str">
            <v>+</v>
          </cell>
        </row>
        <row r="57">
          <cell r="A57" t="str">
            <v>+</v>
          </cell>
        </row>
        <row r="58">
          <cell r="A58" t="str">
            <v>+</v>
          </cell>
        </row>
        <row r="59">
          <cell r="A59" t="str">
            <v>+</v>
          </cell>
        </row>
        <row r="60">
          <cell r="A60" t="str">
            <v>+</v>
          </cell>
        </row>
        <row r="61">
          <cell r="A61" t="str">
            <v>+</v>
          </cell>
        </row>
        <row r="62">
          <cell r="A62" t="str">
            <v>+</v>
          </cell>
        </row>
        <row r="63">
          <cell r="A63" t="str">
            <v>+</v>
          </cell>
        </row>
        <row r="64">
          <cell r="A64" t="str">
            <v>+</v>
          </cell>
        </row>
        <row r="65">
          <cell r="A65" t="str">
            <v>+</v>
          </cell>
        </row>
        <row r="66">
          <cell r="A66" t="str">
            <v>+</v>
          </cell>
        </row>
        <row r="67">
          <cell r="A67" t="str">
            <v>+</v>
          </cell>
        </row>
        <row r="68">
          <cell r="A68" t="str">
            <v>+</v>
          </cell>
        </row>
        <row r="69">
          <cell r="A69" t="str">
            <v>+</v>
          </cell>
        </row>
        <row r="70">
          <cell r="A70" t="str">
            <v>+</v>
          </cell>
        </row>
        <row r="71">
          <cell r="A71" t="str">
            <v>+</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sheetData>
      <sheetData sheetId="11" refreshError="1"/>
      <sheetData sheetId="12"/>
      <sheetData sheetId="13"/>
      <sheetData sheetId="14"/>
      <sheetData sheetId="15"/>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sheetData sheetId="2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Data sources"/>
      <sheetName val="Input 1 - Basics"/>
      <sheetName val="Input 2 - Data"/>
      <sheetName val="Input 3 - Debt and Banking"/>
      <sheetName val="Input 4 - Forecast"/>
      <sheetName val="Input 5 - Scenario Design"/>
      <sheetName val="Fan Chart"/>
      <sheetName val="Output - Instructions"/>
      <sheetName val="Variable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sheetDataSet>
      <sheetData sheetId="0" refreshError="1"/>
      <sheetData sheetId="1" refreshError="1"/>
      <sheetData sheetId="2" refreshError="1">
        <row r="3">
          <cell r="D3" t="str">
            <v>Slovak Republic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refreshError="1"/>
      <sheetData sheetId="1">
        <row r="2">
          <cell r="B2" t="str">
            <v>SK</v>
          </cell>
        </row>
        <row r="4">
          <cell r="B4" t="str">
            <v>S.2016</v>
          </cell>
        </row>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E"/>
      <sheetName val="B"/>
      <sheetName val="transfer"/>
      <sheetName val="C"/>
      <sheetName val="readme"/>
      <sheetName val="Graf14_Graf15"/>
      <sheetName val="Q6"/>
      <sheetName val="Q5"/>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Príloha _7"/>
      <sheetName val="daily calculations"/>
      <sheetName val="monthly"/>
      <sheetName val="Current"/>
      <sheetName val="Raw Data"/>
    </sheetNames>
    <sheetDataSet>
      <sheetData sheetId="0" refreshError="1"/>
      <sheetData sheetId="1" refreshError="1">
        <row r="20">
          <cell r="A20" t="str">
            <v>October</v>
          </cell>
        </row>
      </sheetData>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Raw Data"/>
      <sheetName val="i-rates"/>
      <sheetName val="i-REER"/>
      <sheetName val="wages"/>
      <sheetName val="outfore"/>
      <sheetName val="watchdog"/>
      <sheetName val="watch-gh"/>
      <sheetName val="inf proj"/>
      <sheetName val="reer.gh"/>
      <sheetName val="dirt-trade"/>
      <sheetName val="Mtarget"/>
      <sheetName val="A Current Data"/>
      <sheetName val="Sheet1"/>
      <sheetName val="daily calculations"/>
      <sheetName val="monthly"/>
      <sheetName val="readme"/>
      <sheetName val="Current"/>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2,55"/>
      <sheetName val="2,62"/>
      <sheetName val="Strukturalne_saldo_MODEL_DBP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sheetDataSet>
      <sheetData sheetId="0" refreshError="1"/>
      <sheetData sheetId="1" refreshError="1"/>
      <sheetData sheetId="2" refreshError="1">
        <row r="2">
          <cell r="B2" t="str">
            <v>Oneoffs - EK</v>
          </cell>
        </row>
        <row r="3">
          <cell r="B3" t="str">
            <v>Oneoffs - FK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2">
          <cell r="A2" t="str">
            <v>199801 *M</v>
          </cell>
          <cell r="B2" t="str">
            <v>P961HOEF@EUROSTAT</v>
          </cell>
          <cell r="C2" t="str">
            <v>N961PCI@EMERGECW</v>
          </cell>
          <cell r="E2" t="str">
            <v>P9610040@EUROSTAT</v>
          </cell>
          <cell r="F2" t="str">
            <v>P9610050@EUROSTAT</v>
          </cell>
          <cell r="G2" t="str">
            <v>P9610080@EUROSTAT</v>
          </cell>
          <cell r="H2" t="str">
            <v>P9610060@EUROSTAT</v>
          </cell>
          <cell r="J2" t="str">
            <v>P998H11@EUROSTAT</v>
          </cell>
          <cell r="K2" t="str">
            <v>P998HOE@EUROSTAT</v>
          </cell>
        </row>
        <row r="3">
          <cell r="A3" t="str">
            <v>.DESC</v>
          </cell>
          <cell r="B3" t="str">
            <v xml:space="preserve">Slovenia: HICP: Total excl Energy, Food, Alcohol, Tobacco (NSA, 1996=100) </v>
          </cell>
          <cell r="C3" t="str">
            <v xml:space="preserve">Slovenia: Consumer Price Index: Total Goods (NSA, 2000=100) </v>
          </cell>
          <cell r="E3" t="str">
            <v xml:space="preserve">Slovenia: PPI: Intermediate Goods (NSA, 2000=100) </v>
          </cell>
          <cell r="F3" t="str">
            <v xml:space="preserve">Slovenia: PPI: Capital Goods (NSA, 2000=100) </v>
          </cell>
          <cell r="G3" t="str">
            <v xml:space="preserve">Slovenia: PPI: Consumer Goods (NSA, 2000=100) </v>
          </cell>
          <cell r="H3" t="str">
            <v xml:space="preserve">Slovenia: PPI: Durable Consumer Goods (NSA, 2000=100) </v>
          </cell>
          <cell r="J3" t="str">
            <v xml:space="preserve">EU 15: EICP: Food (NSA, 1996=100) </v>
          </cell>
          <cell r="K3" t="str">
            <v xml:space="preserve">EU 15: EICP: Total excluding Energy (NSA, 1996=100) </v>
          </cell>
        </row>
        <row r="4">
          <cell r="A4" t="str">
            <v>.T1</v>
          </cell>
          <cell r="B4" t="str">
            <v>Jan-2000</v>
          </cell>
          <cell r="C4" t="str">
            <v>Jan-1992</v>
          </cell>
          <cell r="E4" t="str">
            <v>Jan-1997</v>
          </cell>
          <cell r="F4" t="str">
            <v>Jan-1997</v>
          </cell>
          <cell r="G4" t="str">
            <v>Jan-1997</v>
          </cell>
          <cell r="H4" t="str">
            <v>Jan-1997</v>
          </cell>
          <cell r="J4" t="str">
            <v>Jan-1995</v>
          </cell>
          <cell r="K4" t="str">
            <v>Jan-1990</v>
          </cell>
        </row>
        <row r="5">
          <cell r="A5" t="str">
            <v>.TN</v>
          </cell>
          <cell r="B5" t="str">
            <v>Dec-2005</v>
          </cell>
          <cell r="C5" t="str">
            <v>Dec-2005</v>
          </cell>
          <cell r="E5" t="str">
            <v>Dec-2005</v>
          </cell>
          <cell r="F5" t="str">
            <v>Dec-2005</v>
          </cell>
          <cell r="G5" t="str">
            <v>Dec-2005</v>
          </cell>
          <cell r="H5" t="str">
            <v>Dec-2005</v>
          </cell>
          <cell r="J5" t="str">
            <v>Dec-2005</v>
          </cell>
          <cell r="K5" t="str">
            <v>Dec-2005</v>
          </cell>
        </row>
        <row r="6">
          <cell r="A6" t="str">
            <v>.SOURCE</v>
          </cell>
          <cell r="B6" t="str">
            <v>Eurostat</v>
          </cell>
          <cell r="C6" t="str">
            <v>SORS</v>
          </cell>
          <cell r="E6" t="str">
            <v>Eurostat</v>
          </cell>
          <cell r="F6" t="str">
            <v>Eurostat</v>
          </cell>
          <cell r="G6" t="str">
            <v>Eurostat</v>
          </cell>
          <cell r="H6" t="str">
            <v>Eurostat</v>
          </cell>
          <cell r="J6" t="str">
            <v>Eurostat</v>
          </cell>
          <cell r="K6" t="str">
            <v>Eurostat</v>
          </cell>
        </row>
        <row r="7">
          <cell r="A7" t="str">
            <v>.LSOURCE</v>
          </cell>
          <cell r="B7" t="str">
            <v>Statistical Office of the European Communities</v>
          </cell>
          <cell r="C7" t="str">
            <v>Statistical Office of the Republic of Slovenia</v>
          </cell>
          <cell r="E7" t="str">
            <v>Statistical Office of the European Communities</v>
          </cell>
          <cell r="F7" t="str">
            <v>Statistical Office of the European Communities</v>
          </cell>
          <cell r="G7" t="str">
            <v>Statistical Office of the European Communities</v>
          </cell>
          <cell r="H7" t="str">
            <v>Statistical Office of the European Communities</v>
          </cell>
          <cell r="J7" t="str">
            <v>Statistical Office of the European Communities</v>
          </cell>
          <cell r="K7" t="str">
            <v>Statistical Office of the European Communities</v>
          </cell>
        </row>
        <row r="8">
          <cell r="A8" t="str">
            <v>.DTLM</v>
          </cell>
          <cell r="B8" t="str">
            <v>Jan 19 05:17:00 2006</v>
          </cell>
          <cell r="C8" t="str">
            <v>Dec 30 14:55:00 2005</v>
          </cell>
          <cell r="E8" t="str">
            <v>Jan 12 09:49:00 2006</v>
          </cell>
          <cell r="F8" t="str">
            <v>Jan 12 09:49:00 2006</v>
          </cell>
          <cell r="G8" t="str">
            <v>Jan 12 09:49:00 2006</v>
          </cell>
          <cell r="H8" t="str">
            <v>Jan 12 09:49:00 2006</v>
          </cell>
          <cell r="J8" t="str">
            <v>Jan 19 05:17:00 2006</v>
          </cell>
          <cell r="K8" t="str">
            <v>Jan 19 05:17:00 2006</v>
          </cell>
        </row>
      </sheetData>
      <sheetData sheetId="35"/>
      <sheetData sheetId="36"/>
      <sheetData sheetId="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 val="Haver"/>
      <sheetName val="VR"/>
      <sheetName val="rozpočtu"/>
    </sheetNames>
    <sheetDataSet>
      <sheetData sheetId="0"/>
      <sheetData sheetId="1" refreshError="1">
        <row r="1">
          <cell r="B1" t="str">
            <v>OCENA 1-12/2000</v>
          </cell>
        </row>
        <row r="2">
          <cell r="A2">
            <v>7000</v>
          </cell>
          <cell r="B2">
            <v>168084529.20554003</v>
          </cell>
        </row>
        <row r="3">
          <cell r="A3">
            <v>7001</v>
          </cell>
          <cell r="B3">
            <v>51311257.489250004</v>
          </cell>
        </row>
        <row r="4">
          <cell r="A4">
            <v>7002</v>
          </cell>
          <cell r="B4">
            <v>0</v>
          </cell>
        </row>
        <row r="5">
          <cell r="A5">
            <v>7010</v>
          </cell>
          <cell r="B5">
            <v>3718498.10984</v>
          </cell>
        </row>
        <row r="6">
          <cell r="A6">
            <v>7011</v>
          </cell>
          <cell r="B6">
            <v>2402270.01865</v>
          </cell>
        </row>
        <row r="7">
          <cell r="A7">
            <v>7012</v>
          </cell>
          <cell r="B7">
            <v>367275.22435999999</v>
          </cell>
        </row>
        <row r="8">
          <cell r="A8">
            <v>7013</v>
          </cell>
          <cell r="B8">
            <v>32451.976910000001</v>
          </cell>
        </row>
        <row r="9">
          <cell r="A9">
            <v>7020</v>
          </cell>
          <cell r="B9">
            <v>63222378.782150008</v>
          </cell>
        </row>
        <row r="10">
          <cell r="A10">
            <v>7021</v>
          </cell>
          <cell r="B10">
            <v>4376234.4516700003</v>
          </cell>
        </row>
        <row r="11">
          <cell r="A11">
            <v>7030</v>
          </cell>
          <cell r="B11">
            <v>0</v>
          </cell>
        </row>
        <row r="12">
          <cell r="A12">
            <v>7031</v>
          </cell>
          <cell r="B12">
            <v>0</v>
          </cell>
        </row>
        <row r="13">
          <cell r="A13">
            <v>7032</v>
          </cell>
          <cell r="B13">
            <v>0</v>
          </cell>
        </row>
        <row r="14">
          <cell r="A14">
            <v>7033</v>
          </cell>
          <cell r="B14">
            <v>1042708.3703600002</v>
          </cell>
        </row>
        <row r="15">
          <cell r="A15">
            <v>7040</v>
          </cell>
          <cell r="B15">
            <v>410803414.13252002</v>
          </cell>
        </row>
        <row r="16">
          <cell r="A16">
            <v>7041</v>
          </cell>
          <cell r="B16">
            <v>7905257.0202599987</v>
          </cell>
        </row>
        <row r="17">
          <cell r="A17">
            <v>7042</v>
          </cell>
          <cell r="B17">
            <v>135415367.11741999</v>
          </cell>
        </row>
        <row r="18">
          <cell r="A18">
            <v>7043</v>
          </cell>
          <cell r="B18">
            <v>0</v>
          </cell>
        </row>
        <row r="19">
          <cell r="A19">
            <v>7044</v>
          </cell>
          <cell r="B19">
            <v>15626748.317160001</v>
          </cell>
        </row>
        <row r="20">
          <cell r="A20">
            <v>7045</v>
          </cell>
          <cell r="B20">
            <v>0</v>
          </cell>
        </row>
        <row r="21">
          <cell r="A21">
            <v>7046</v>
          </cell>
          <cell r="B21">
            <v>16306971.605929997</v>
          </cell>
        </row>
        <row r="22">
          <cell r="A22">
            <v>7047</v>
          </cell>
          <cell r="B22">
            <v>4969588.7784500001</v>
          </cell>
        </row>
        <row r="23">
          <cell r="A23">
            <v>7048</v>
          </cell>
          <cell r="B23">
            <v>4695543.0908599999</v>
          </cell>
        </row>
        <row r="24">
          <cell r="A24">
            <v>7050</v>
          </cell>
          <cell r="B24">
            <v>36038259.703370005</v>
          </cell>
        </row>
        <row r="25">
          <cell r="A25">
            <v>7051</v>
          </cell>
          <cell r="B25">
            <v>2189516.54427</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233292.22389000002</v>
          </cell>
        </row>
        <row r="32">
          <cell r="A32">
            <v>7100</v>
          </cell>
          <cell r="B32">
            <v>348013.67935000005</v>
          </cell>
        </row>
        <row r="33">
          <cell r="A33">
            <v>7101</v>
          </cell>
          <cell r="B33">
            <v>3898190.3339399993</v>
          </cell>
        </row>
        <row r="34">
          <cell r="A34">
            <v>7102</v>
          </cell>
          <cell r="B34">
            <v>5643306.3510999996</v>
          </cell>
        </row>
        <row r="35">
          <cell r="A35">
            <v>7103</v>
          </cell>
          <cell r="B35">
            <v>4034567.8938899999</v>
          </cell>
        </row>
        <row r="36">
          <cell r="A36">
            <v>7110</v>
          </cell>
          <cell r="B36">
            <v>7509924.1503799995</v>
          </cell>
        </row>
        <row r="37">
          <cell r="A37">
            <v>7111</v>
          </cell>
          <cell r="B37">
            <v>11702546.51761</v>
          </cell>
        </row>
        <row r="38">
          <cell r="A38">
            <v>7120</v>
          </cell>
          <cell r="B38">
            <v>7230942.1754399994</v>
          </cell>
        </row>
        <row r="39">
          <cell r="A39">
            <v>7130</v>
          </cell>
          <cell r="B39">
            <v>4970409.2226000009</v>
          </cell>
        </row>
        <row r="40">
          <cell r="A40">
            <v>7140</v>
          </cell>
          <cell r="B40">
            <v>0</v>
          </cell>
        </row>
        <row r="41">
          <cell r="A41">
            <v>7141</v>
          </cell>
          <cell r="B41">
            <v>8421207.292510001</v>
          </cell>
        </row>
        <row r="42">
          <cell r="A42">
            <v>7200</v>
          </cell>
          <cell r="B42">
            <v>427839.62583000003</v>
          </cell>
        </row>
        <row r="43">
          <cell r="A43">
            <v>7201</v>
          </cell>
          <cell r="B43">
            <v>54152.870699999999</v>
          </cell>
        </row>
        <row r="44">
          <cell r="A44">
            <v>7202</v>
          </cell>
          <cell r="B44">
            <v>9942.1666999999998</v>
          </cell>
        </row>
        <row r="45">
          <cell r="A45">
            <v>7203</v>
          </cell>
          <cell r="B45">
            <v>0</v>
          </cell>
        </row>
        <row r="46">
          <cell r="A46">
            <v>7210</v>
          </cell>
          <cell r="B46">
            <v>0</v>
          </cell>
        </row>
        <row r="47">
          <cell r="A47">
            <v>7211</v>
          </cell>
          <cell r="B47">
            <v>0</v>
          </cell>
        </row>
        <row r="48">
          <cell r="A48">
            <v>7220</v>
          </cell>
          <cell r="B48">
            <v>3897.0179999999996</v>
          </cell>
        </row>
        <row r="49">
          <cell r="A49">
            <v>7221</v>
          </cell>
          <cell r="B49">
            <v>1318.8565000000001</v>
          </cell>
        </row>
        <row r="50">
          <cell r="A50">
            <v>7222</v>
          </cell>
          <cell r="B50">
            <v>0</v>
          </cell>
        </row>
        <row r="51">
          <cell r="A51">
            <v>7300</v>
          </cell>
          <cell r="B51">
            <v>7205.71144</v>
          </cell>
        </row>
        <row r="52">
          <cell r="A52">
            <v>7301</v>
          </cell>
          <cell r="B52">
            <v>0</v>
          </cell>
        </row>
        <row r="53">
          <cell r="A53">
            <v>7310</v>
          </cell>
          <cell r="B53">
            <v>5744357.5786700007</v>
          </cell>
        </row>
        <row r="54">
          <cell r="A54">
            <v>7311</v>
          </cell>
          <cell r="B54">
            <v>1457529.1908799999</v>
          </cell>
        </row>
        <row r="55">
          <cell r="A55">
            <v>7400</v>
          </cell>
          <cell r="B55">
            <v>0</v>
          </cell>
        </row>
        <row r="56">
          <cell r="A56">
            <v>7401</v>
          </cell>
          <cell r="B56">
            <v>0</v>
          </cell>
        </row>
        <row r="57">
          <cell r="A57">
            <v>7402</v>
          </cell>
          <cell r="B57">
            <v>0</v>
          </cell>
        </row>
        <row r="58">
          <cell r="A58">
            <v>7403</v>
          </cell>
          <cell r="B58">
            <v>0</v>
          </cell>
        </row>
        <row r="59">
          <cell r="A59">
            <v>4000</v>
          </cell>
          <cell r="B59">
            <v>97265346.111592188</v>
          </cell>
        </row>
        <row r="60">
          <cell r="A60">
            <v>4001</v>
          </cell>
          <cell r="B60">
            <v>3738295.1632000054</v>
          </cell>
        </row>
        <row r="61">
          <cell r="A61">
            <v>4002</v>
          </cell>
          <cell r="B61">
            <v>8621803.1542800032</v>
          </cell>
        </row>
        <row r="62">
          <cell r="A62">
            <v>4003</v>
          </cell>
          <cell r="B62">
            <v>2505608.2352599995</v>
          </cell>
        </row>
        <row r="63">
          <cell r="A63">
            <v>4004</v>
          </cell>
          <cell r="B63">
            <v>1663987.4132099997</v>
          </cell>
        </row>
        <row r="64">
          <cell r="A64">
            <v>4005</v>
          </cell>
          <cell r="B64">
            <v>15717.282799999999</v>
          </cell>
        </row>
        <row r="65">
          <cell r="A65">
            <v>4009</v>
          </cell>
          <cell r="B65">
            <v>696560.35642000008</v>
          </cell>
        </row>
        <row r="66">
          <cell r="A66">
            <v>4010</v>
          </cell>
          <cell r="B66">
            <v>11582981.567600001</v>
          </cell>
        </row>
        <row r="67">
          <cell r="A67">
            <v>4011</v>
          </cell>
          <cell r="B67">
            <v>6851838.3412179993</v>
          </cell>
        </row>
        <row r="68">
          <cell r="A68">
            <v>4012</v>
          </cell>
          <cell r="B68">
            <v>59612.367040000005</v>
          </cell>
        </row>
        <row r="69">
          <cell r="A69">
            <v>4013</v>
          </cell>
          <cell r="B69">
            <v>99423.557805000048</v>
          </cell>
        </row>
        <row r="70">
          <cell r="A70">
            <v>4020</v>
          </cell>
          <cell r="B70">
            <v>15745112.736810001</v>
          </cell>
        </row>
        <row r="71">
          <cell r="A71">
            <v>4021</v>
          </cell>
          <cell r="B71">
            <v>15896077.584850002</v>
          </cell>
        </row>
        <row r="72">
          <cell r="A72">
            <v>4022</v>
          </cell>
          <cell r="B72">
            <v>7681812.7632100005</v>
          </cell>
        </row>
        <row r="73">
          <cell r="A73">
            <v>4023</v>
          </cell>
          <cell r="B73">
            <v>4621042.6945999991</v>
          </cell>
        </row>
        <row r="74">
          <cell r="A74">
            <v>4024</v>
          </cell>
          <cell r="B74">
            <v>3241847.53039</v>
          </cell>
        </row>
        <row r="75">
          <cell r="A75">
            <v>4025</v>
          </cell>
          <cell r="B75">
            <v>22645712.80446</v>
          </cell>
        </row>
        <row r="76">
          <cell r="A76">
            <v>4026</v>
          </cell>
          <cell r="B76">
            <v>8688795.5853899997</v>
          </cell>
        </row>
        <row r="77">
          <cell r="A77">
            <v>4027</v>
          </cell>
          <cell r="B77">
            <v>2822162.7418900002</v>
          </cell>
        </row>
        <row r="78">
          <cell r="A78">
            <v>4029</v>
          </cell>
          <cell r="B78">
            <v>24513140.981079999</v>
          </cell>
        </row>
        <row r="79">
          <cell r="A79">
            <v>4030</v>
          </cell>
          <cell r="B79">
            <v>0</v>
          </cell>
        </row>
        <row r="80">
          <cell r="A80">
            <v>4031</v>
          </cell>
          <cell r="B80">
            <v>5532638.7062299997</v>
          </cell>
        </row>
        <row r="81">
          <cell r="A81">
            <v>4032</v>
          </cell>
          <cell r="B81">
            <v>0</v>
          </cell>
        </row>
        <row r="82">
          <cell r="A82">
            <v>4033</v>
          </cell>
          <cell r="B82">
            <v>3981.3971099999999</v>
          </cell>
        </row>
        <row r="83">
          <cell r="A83">
            <v>4034</v>
          </cell>
          <cell r="B83">
            <v>28758016.435799994</v>
          </cell>
        </row>
        <row r="84">
          <cell r="A84">
            <v>4040</v>
          </cell>
          <cell r="B84">
            <v>4422376.7713299999</v>
          </cell>
        </row>
        <row r="85">
          <cell r="A85">
            <v>4041</v>
          </cell>
          <cell r="B85">
            <v>764984.14835000003</v>
          </cell>
        </row>
        <row r="86">
          <cell r="A86">
            <v>4042</v>
          </cell>
          <cell r="B86">
            <v>3838504.3075500005</v>
          </cell>
        </row>
        <row r="87">
          <cell r="A87">
            <v>4043</v>
          </cell>
          <cell r="B87">
            <v>12027624.75</v>
          </cell>
        </row>
        <row r="88">
          <cell r="A88">
            <v>4044</v>
          </cell>
          <cell r="B88" t="str">
            <v xml:space="preserve"> </v>
          </cell>
        </row>
        <row r="89">
          <cell r="A89">
            <v>4090</v>
          </cell>
          <cell r="B89">
            <v>0</v>
          </cell>
        </row>
        <row r="90">
          <cell r="A90">
            <v>4091</v>
          </cell>
          <cell r="B90">
            <v>9828170.2368199993</v>
          </cell>
        </row>
        <row r="91">
          <cell r="A91">
            <v>4092</v>
          </cell>
          <cell r="B91">
            <v>0</v>
          </cell>
        </row>
        <row r="92">
          <cell r="A92">
            <v>4100</v>
          </cell>
          <cell r="B92">
            <v>15001229.34317</v>
          </cell>
        </row>
        <row r="93">
          <cell r="A93">
            <v>4101</v>
          </cell>
          <cell r="B93">
            <v>0</v>
          </cell>
        </row>
        <row r="94">
          <cell r="A94">
            <v>4102</v>
          </cell>
          <cell r="B94">
            <v>35730902.330730006</v>
          </cell>
        </row>
        <row r="95">
          <cell r="A95">
            <v>4110</v>
          </cell>
          <cell r="B95">
            <v>24149653.021240003</v>
          </cell>
        </row>
        <row r="96">
          <cell r="A96">
            <v>4111</v>
          </cell>
          <cell r="B96">
            <v>73786959.816789985</v>
          </cell>
        </row>
        <row r="97">
          <cell r="A97">
            <v>4112</v>
          </cell>
          <cell r="B97">
            <v>14820498.684629999</v>
          </cell>
        </row>
        <row r="98">
          <cell r="A98">
            <v>4113</v>
          </cell>
          <cell r="B98">
            <v>15540162.713770598</v>
          </cell>
        </row>
        <row r="99">
          <cell r="A99">
            <v>4114</v>
          </cell>
          <cell r="B99">
            <v>0</v>
          </cell>
        </row>
        <row r="100">
          <cell r="A100">
            <v>4115</v>
          </cell>
          <cell r="B100">
            <v>0</v>
          </cell>
        </row>
        <row r="101">
          <cell r="A101">
            <v>4116</v>
          </cell>
          <cell r="B101">
            <v>0</v>
          </cell>
        </row>
        <row r="102">
          <cell r="A102">
            <v>4117</v>
          </cell>
          <cell r="B102">
            <v>15823597.24047</v>
          </cell>
        </row>
        <row r="103">
          <cell r="A103">
            <v>4119</v>
          </cell>
          <cell r="B103">
            <v>6161023.925230002</v>
          </cell>
        </row>
        <row r="104">
          <cell r="A104">
            <v>4120</v>
          </cell>
          <cell r="B104">
            <v>6199263.2739400007</v>
          </cell>
        </row>
        <row r="105">
          <cell r="A105">
            <v>4130</v>
          </cell>
          <cell r="B105">
            <v>33031608.250999998</v>
          </cell>
        </row>
        <row r="106">
          <cell r="A106">
            <v>4131</v>
          </cell>
          <cell r="B106">
            <v>153875923.50099999</v>
          </cell>
        </row>
        <row r="107">
          <cell r="A107">
            <v>4132</v>
          </cell>
          <cell r="B107">
            <v>1686210.2479599998</v>
          </cell>
        </row>
        <row r="108">
          <cell r="A108">
            <v>4133</v>
          </cell>
          <cell r="B108">
            <v>210660440.41909829</v>
          </cell>
        </row>
        <row r="109">
          <cell r="A109">
            <v>413300</v>
          </cell>
          <cell r="B109">
            <v>143979265.36728489</v>
          </cell>
        </row>
        <row r="110">
          <cell r="A110">
            <v>413301</v>
          </cell>
          <cell r="B110">
            <v>24303978.317163397</v>
          </cell>
        </row>
        <row r="111">
          <cell r="A111">
            <v>413302</v>
          </cell>
          <cell r="B111">
            <v>42377196.734650001</v>
          </cell>
        </row>
        <row r="112">
          <cell r="A112">
            <v>4140</v>
          </cell>
          <cell r="B112">
            <v>158297.89730999997</v>
          </cell>
        </row>
        <row r="113">
          <cell r="A113">
            <v>4141</v>
          </cell>
          <cell r="B113">
            <v>477061.89881000004</v>
          </cell>
        </row>
        <row r="114">
          <cell r="A114">
            <v>4142</v>
          </cell>
          <cell r="B114">
            <v>447151.01597000001</v>
          </cell>
        </row>
        <row r="115">
          <cell r="A115">
            <v>4143</v>
          </cell>
          <cell r="B115">
            <v>1531349.5595499999</v>
          </cell>
        </row>
        <row r="116">
          <cell r="A116">
            <v>4200</v>
          </cell>
          <cell r="B116">
            <v>3353441.6678099995</v>
          </cell>
        </row>
        <row r="117">
          <cell r="A117">
            <v>4201</v>
          </cell>
          <cell r="B117">
            <v>1491698.6475</v>
          </cell>
        </row>
        <row r="118">
          <cell r="A118">
            <v>4202</v>
          </cell>
          <cell r="B118">
            <v>13147952.345960001</v>
          </cell>
        </row>
        <row r="119">
          <cell r="A119">
            <v>4203</v>
          </cell>
          <cell r="B119">
            <v>522616.77835000004</v>
          </cell>
        </row>
        <row r="120">
          <cell r="A120">
            <v>4204</v>
          </cell>
          <cell r="B120">
            <v>26281418.176729999</v>
          </cell>
        </row>
        <row r="121">
          <cell r="A121">
            <v>4205</v>
          </cell>
          <cell r="B121">
            <v>7920299.6143699996</v>
          </cell>
        </row>
        <row r="122">
          <cell r="A122">
            <v>4206</v>
          </cell>
          <cell r="B122">
            <v>1296401.21924</v>
          </cell>
        </row>
        <row r="123">
          <cell r="A123">
            <v>4207</v>
          </cell>
          <cell r="B123">
            <v>212696.35337999999</v>
          </cell>
        </row>
        <row r="124">
          <cell r="A124">
            <v>4208</v>
          </cell>
          <cell r="B124">
            <v>5654475.532279999</v>
          </cell>
        </row>
        <row r="125">
          <cell r="A125">
            <v>4209</v>
          </cell>
          <cell r="B125">
            <v>0</v>
          </cell>
        </row>
        <row r="126">
          <cell r="A126">
            <v>4300</v>
          </cell>
          <cell r="B126">
            <v>9995407.7047000006</v>
          </cell>
        </row>
        <row r="127">
          <cell r="A127">
            <v>4301</v>
          </cell>
          <cell r="B127">
            <v>262667.489</v>
          </cell>
        </row>
        <row r="128">
          <cell r="A128">
            <v>4302</v>
          </cell>
          <cell r="B128">
            <v>1039951.20809</v>
          </cell>
        </row>
        <row r="129">
          <cell r="A129">
            <v>4303</v>
          </cell>
          <cell r="B129">
            <v>28476406.913000003</v>
          </cell>
        </row>
        <row r="130">
          <cell r="A130">
            <v>4304</v>
          </cell>
          <cell r="B130">
            <v>0</v>
          </cell>
        </row>
        <row r="131">
          <cell r="A131">
            <v>4305</v>
          </cell>
          <cell r="B131">
            <v>4397875.1238299999</v>
          </cell>
        </row>
        <row r="132">
          <cell r="A132">
            <v>4306</v>
          </cell>
          <cell r="B132">
            <v>813050.78759999981</v>
          </cell>
        </row>
        <row r="133">
          <cell r="A133">
            <v>4307</v>
          </cell>
          <cell r="B133">
            <v>5207806.601809999</v>
          </cell>
        </row>
        <row r="134">
          <cell r="A134">
            <v>4308</v>
          </cell>
          <cell r="B134">
            <v>5977.1215599999996</v>
          </cell>
        </row>
        <row r="135">
          <cell r="A135">
            <v>7500</v>
          </cell>
          <cell r="B135">
            <v>96700.469700000001</v>
          </cell>
        </row>
        <row r="136">
          <cell r="A136">
            <v>7501</v>
          </cell>
          <cell r="B136">
            <v>0</v>
          </cell>
        </row>
        <row r="137">
          <cell r="A137">
            <v>7502</v>
          </cell>
          <cell r="B137">
            <v>6153065.0701000001</v>
          </cell>
        </row>
        <row r="138">
          <cell r="A138">
            <v>7503</v>
          </cell>
          <cell r="B138">
            <v>190941.26101999998</v>
          </cell>
        </row>
        <row r="139">
          <cell r="A139">
            <v>7504</v>
          </cell>
          <cell r="B139">
            <v>387353.68069999991</v>
          </cell>
        </row>
        <row r="140">
          <cell r="A140">
            <v>7505</v>
          </cell>
          <cell r="B140">
            <v>0</v>
          </cell>
        </row>
        <row r="141">
          <cell r="A141">
            <v>7510</v>
          </cell>
          <cell r="B141">
            <v>0</v>
          </cell>
        </row>
        <row r="142">
          <cell r="A142">
            <v>7511</v>
          </cell>
          <cell r="B142">
            <v>0</v>
          </cell>
        </row>
        <row r="143">
          <cell r="A143">
            <v>7512</v>
          </cell>
          <cell r="B143">
            <v>0</v>
          </cell>
        </row>
        <row r="144">
          <cell r="A144">
            <v>7520</v>
          </cell>
          <cell r="B144">
            <v>3730372.9487199998</v>
          </cell>
        </row>
        <row r="145">
          <cell r="A145">
            <v>4400</v>
          </cell>
          <cell r="B145">
            <v>4474.9119999999994</v>
          </cell>
        </row>
        <row r="146">
          <cell r="A146">
            <v>4401</v>
          </cell>
          <cell r="B146">
            <v>0</v>
          </cell>
        </row>
        <row r="147">
          <cell r="A147">
            <v>4402</v>
          </cell>
          <cell r="B147">
            <v>0</v>
          </cell>
        </row>
        <row r="148">
          <cell r="A148">
            <v>4403</v>
          </cell>
          <cell r="B148">
            <v>0</v>
          </cell>
        </row>
        <row r="149">
          <cell r="A149">
            <v>4404</v>
          </cell>
          <cell r="B149">
            <v>6703124.6434299992</v>
          </cell>
        </row>
        <row r="150">
          <cell r="A150">
            <v>4405</v>
          </cell>
          <cell r="B150">
            <v>0</v>
          </cell>
        </row>
        <row r="151">
          <cell r="A151">
            <v>4406</v>
          </cell>
          <cell r="B151">
            <v>0</v>
          </cell>
        </row>
        <row r="152">
          <cell r="A152">
            <v>4410</v>
          </cell>
          <cell r="B152">
            <v>805026.51249999995</v>
          </cell>
        </row>
        <row r="153">
          <cell r="A153">
            <v>4411</v>
          </cell>
          <cell r="B153">
            <v>0</v>
          </cell>
        </row>
        <row r="154">
          <cell r="A154">
            <v>4412</v>
          </cell>
          <cell r="B154">
            <v>0</v>
          </cell>
        </row>
        <row r="155">
          <cell r="A155">
            <v>4413</v>
          </cell>
          <cell r="B155">
            <v>0</v>
          </cell>
        </row>
        <row r="156">
          <cell r="A156">
            <v>4414</v>
          </cell>
          <cell r="B156">
            <v>252166.88433</v>
          </cell>
        </row>
        <row r="157">
          <cell r="A157">
            <v>4420</v>
          </cell>
          <cell r="B157">
            <v>932334.07999999996</v>
          </cell>
        </row>
        <row r="158">
          <cell r="A158">
            <v>4421</v>
          </cell>
          <cell r="B158">
            <v>3521783.0027800002</v>
          </cell>
        </row>
        <row r="159">
          <cell r="A159">
            <v>4422</v>
          </cell>
          <cell r="B159">
            <v>500000</v>
          </cell>
        </row>
        <row r="160">
          <cell r="A160">
            <v>5000</v>
          </cell>
          <cell r="B160">
            <v>0</v>
          </cell>
        </row>
        <row r="161">
          <cell r="A161">
            <v>5001</v>
          </cell>
          <cell r="B161">
            <v>13023213.170030002</v>
          </cell>
        </row>
        <row r="162">
          <cell r="A162">
            <v>5002</v>
          </cell>
          <cell r="B162">
            <v>0</v>
          </cell>
        </row>
        <row r="163">
          <cell r="A163">
            <v>5003</v>
          </cell>
          <cell r="B163">
            <v>-500000</v>
          </cell>
        </row>
        <row r="164">
          <cell r="A164">
            <v>5004</v>
          </cell>
          <cell r="B164">
            <v>60471073.692469999</v>
          </cell>
        </row>
        <row r="165">
          <cell r="A165">
            <v>5010</v>
          </cell>
          <cell r="B165">
            <v>3125367.4524599998</v>
          </cell>
        </row>
        <row r="166">
          <cell r="A166">
            <v>5011</v>
          </cell>
          <cell r="B166">
            <v>0</v>
          </cell>
        </row>
        <row r="167">
          <cell r="A167">
            <v>5012</v>
          </cell>
          <cell r="B167">
            <v>0</v>
          </cell>
        </row>
        <row r="168">
          <cell r="A168">
            <v>5013</v>
          </cell>
          <cell r="B168">
            <v>0</v>
          </cell>
        </row>
        <row r="169">
          <cell r="A169">
            <v>5014</v>
          </cell>
          <cell r="B169">
            <v>80553240</v>
          </cell>
        </row>
        <row r="170">
          <cell r="A170">
            <v>5500</v>
          </cell>
          <cell r="B170">
            <v>0</v>
          </cell>
        </row>
        <row r="171">
          <cell r="A171">
            <v>5501</v>
          </cell>
          <cell r="B171">
            <v>21876791.218499999</v>
          </cell>
        </row>
        <row r="172">
          <cell r="A172">
            <v>5502</v>
          </cell>
          <cell r="B172">
            <v>0</v>
          </cell>
        </row>
        <row r="173">
          <cell r="A173">
            <v>5503</v>
          </cell>
          <cell r="B173">
            <v>0</v>
          </cell>
        </row>
        <row r="174">
          <cell r="A174">
            <v>5504</v>
          </cell>
          <cell r="B174">
            <v>83853264.171829998</v>
          </cell>
        </row>
        <row r="175">
          <cell r="A175">
            <v>5510</v>
          </cell>
          <cell r="B175">
            <v>9443378.1717199981</v>
          </cell>
        </row>
        <row r="176">
          <cell r="A176">
            <v>5511</v>
          </cell>
          <cell r="B176">
            <v>3340596.0715899998</v>
          </cell>
        </row>
        <row r="177">
          <cell r="A177">
            <v>5512</v>
          </cell>
          <cell r="B177">
            <v>132359.36960999999</v>
          </cell>
        </row>
        <row r="178">
          <cell r="A178">
            <v>5513</v>
          </cell>
          <cell r="B178">
            <v>986973</v>
          </cell>
        </row>
        <row r="179">
          <cell r="A179">
            <v>5514</v>
          </cell>
          <cell r="B179">
            <v>992025.35744000005</v>
          </cell>
        </row>
        <row r="180">
          <cell r="A180">
            <v>7506</v>
          </cell>
        </row>
        <row r="181">
          <cell r="A181">
            <v>500301</v>
          </cell>
        </row>
        <row r="182">
          <cell r="A182">
            <v>5505</v>
          </cell>
        </row>
      </sheetData>
      <sheetData sheetId="2" refreshError="1">
        <row r="1">
          <cell r="B1" t="str">
            <v>OCENA 1-12/2000</v>
          </cell>
        </row>
        <row r="2">
          <cell r="A2">
            <v>7000</v>
          </cell>
          <cell r="B2">
            <v>92205527.797127008</v>
          </cell>
        </row>
        <row r="3">
          <cell r="A3">
            <v>7001</v>
          </cell>
          <cell r="B3">
            <v>0</v>
          </cell>
        </row>
        <row r="4">
          <cell r="A4">
            <v>7002</v>
          </cell>
          <cell r="B4">
            <v>0</v>
          </cell>
        </row>
        <row r="5">
          <cell r="A5">
            <v>7010</v>
          </cell>
          <cell r="B5">
            <v>0</v>
          </cell>
        </row>
        <row r="6">
          <cell r="A6">
            <v>7011</v>
          </cell>
          <cell r="B6">
            <v>0</v>
          </cell>
        </row>
        <row r="7">
          <cell r="A7">
            <v>7012</v>
          </cell>
          <cell r="B7">
            <v>0</v>
          </cell>
        </row>
        <row r="8">
          <cell r="A8">
            <v>7013</v>
          </cell>
          <cell r="B8">
            <v>0</v>
          </cell>
        </row>
        <row r="9">
          <cell r="A9">
            <v>7020</v>
          </cell>
          <cell r="B9">
            <v>0</v>
          </cell>
        </row>
        <row r="10">
          <cell r="A10">
            <v>7021</v>
          </cell>
          <cell r="B10">
            <v>0</v>
          </cell>
        </row>
        <row r="11">
          <cell r="A11">
            <v>7030</v>
          </cell>
          <cell r="B11">
            <v>21168663.10353817</v>
          </cell>
        </row>
        <row r="12">
          <cell r="A12">
            <v>7031</v>
          </cell>
          <cell r="B12">
            <v>2574.002109704641</v>
          </cell>
        </row>
        <row r="13">
          <cell r="A13">
            <v>7032</v>
          </cell>
          <cell r="B13">
            <v>370101.51396370877</v>
          </cell>
        </row>
        <row r="14">
          <cell r="A14">
            <v>7033</v>
          </cell>
          <cell r="B14">
            <v>5512545.7578569688</v>
          </cell>
        </row>
        <row r="15">
          <cell r="A15">
            <v>7040</v>
          </cell>
          <cell r="B15">
            <v>0</v>
          </cell>
        </row>
        <row r="16">
          <cell r="A16">
            <v>7041</v>
          </cell>
          <cell r="B16">
            <v>0</v>
          </cell>
        </row>
        <row r="17">
          <cell r="A17">
            <v>7042</v>
          </cell>
          <cell r="B17">
            <v>0</v>
          </cell>
        </row>
        <row r="18">
          <cell r="A18">
            <v>7043</v>
          </cell>
          <cell r="B18">
            <v>0</v>
          </cell>
        </row>
        <row r="19">
          <cell r="A19">
            <v>7044</v>
          </cell>
          <cell r="B19">
            <v>3155567.7541543264</v>
          </cell>
        </row>
        <row r="20">
          <cell r="A20">
            <v>7045</v>
          </cell>
          <cell r="B20">
            <v>0</v>
          </cell>
        </row>
        <row r="21">
          <cell r="A21">
            <v>7046</v>
          </cell>
          <cell r="B21">
            <v>20798</v>
          </cell>
        </row>
        <row r="22">
          <cell r="A22">
            <v>7047</v>
          </cell>
          <cell r="B22">
            <v>7058630.5164100006</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871</v>
          </cell>
        </row>
        <row r="32">
          <cell r="A32">
            <v>7100</v>
          </cell>
          <cell r="B32">
            <v>108968.39125762659</v>
          </cell>
        </row>
        <row r="33">
          <cell r="A33">
            <v>7101</v>
          </cell>
          <cell r="B33">
            <v>269908.95048456383</v>
          </cell>
        </row>
        <row r="34">
          <cell r="A34">
            <v>7102</v>
          </cell>
          <cell r="B34">
            <v>1754134.1058400001</v>
          </cell>
        </row>
        <row r="35">
          <cell r="A35">
            <v>7103</v>
          </cell>
          <cell r="B35">
            <v>10904024.425209999</v>
          </cell>
        </row>
        <row r="36">
          <cell r="A36">
            <v>7110</v>
          </cell>
          <cell r="B36">
            <v>0</v>
          </cell>
        </row>
        <row r="37">
          <cell r="A37">
            <v>7111</v>
          </cell>
          <cell r="B37">
            <v>1023341.02786</v>
          </cell>
        </row>
        <row r="38">
          <cell r="A38">
            <v>7120</v>
          </cell>
          <cell r="B38">
            <v>359683.76026000001</v>
          </cell>
        </row>
        <row r="39">
          <cell r="A39">
            <v>7130</v>
          </cell>
          <cell r="B39">
            <v>1370930.7696999998</v>
          </cell>
        </row>
        <row r="40">
          <cell r="A40">
            <v>7140</v>
          </cell>
          <cell r="B40">
            <v>0</v>
          </cell>
        </row>
        <row r="41">
          <cell r="A41">
            <v>7141</v>
          </cell>
          <cell r="B41">
            <v>15595960.3246</v>
          </cell>
        </row>
        <row r="42">
          <cell r="A42">
            <v>7200</v>
          </cell>
          <cell r="B42">
            <v>2689925.1969999997</v>
          </cell>
        </row>
        <row r="43">
          <cell r="A43">
            <v>7201</v>
          </cell>
          <cell r="B43">
            <v>16488.405815424667</v>
          </cell>
        </row>
        <row r="44">
          <cell r="A44">
            <v>7202</v>
          </cell>
          <cell r="B44">
            <v>1441.783393501805</v>
          </cell>
        </row>
        <row r="45">
          <cell r="A45">
            <v>7203</v>
          </cell>
          <cell r="B45">
            <v>27307</v>
          </cell>
        </row>
        <row r="46">
          <cell r="A46">
            <v>7210</v>
          </cell>
          <cell r="B46">
            <v>0</v>
          </cell>
        </row>
        <row r="47">
          <cell r="A47">
            <v>7211</v>
          </cell>
          <cell r="B47">
            <v>0</v>
          </cell>
        </row>
        <row r="48">
          <cell r="A48">
            <v>7220</v>
          </cell>
          <cell r="B48">
            <v>36287.875</v>
          </cell>
        </row>
        <row r="49">
          <cell r="A49">
            <v>7221</v>
          </cell>
          <cell r="B49">
            <v>2677017.9959999998</v>
          </cell>
        </row>
        <row r="50">
          <cell r="A50">
            <v>7222</v>
          </cell>
          <cell r="B50">
            <v>58303</v>
          </cell>
        </row>
        <row r="51">
          <cell r="A51">
            <v>7300</v>
          </cell>
          <cell r="B51">
            <v>695115.35379187064</v>
          </cell>
        </row>
        <row r="52">
          <cell r="A52">
            <v>7301</v>
          </cell>
          <cell r="B52">
            <v>0</v>
          </cell>
        </row>
        <row r="53">
          <cell r="A53">
            <v>7310</v>
          </cell>
          <cell r="B53">
            <v>123913</v>
          </cell>
        </row>
        <row r="54">
          <cell r="A54">
            <v>7311</v>
          </cell>
          <cell r="B54">
            <v>0</v>
          </cell>
        </row>
        <row r="55">
          <cell r="A55">
            <v>7400</v>
          </cell>
          <cell r="B55">
            <v>44376594.241999999</v>
          </cell>
        </row>
        <row r="56">
          <cell r="A56">
            <v>740000</v>
          </cell>
          <cell r="B56">
            <v>32421132.23</v>
          </cell>
        </row>
        <row r="57">
          <cell r="A57">
            <v>740001</v>
          </cell>
          <cell r="B57">
            <v>2944846.2889999999</v>
          </cell>
        </row>
        <row r="58">
          <cell r="A58">
            <v>740002</v>
          </cell>
          <cell r="B58">
            <v>9010615.7230000012</v>
          </cell>
        </row>
        <row r="59">
          <cell r="A59">
            <v>7401</v>
          </cell>
          <cell r="B59">
            <v>1442553</v>
          </cell>
        </row>
        <row r="60">
          <cell r="A60">
            <v>7402</v>
          </cell>
          <cell r="B60">
            <v>63663.671000000002</v>
          </cell>
        </row>
        <row r="61">
          <cell r="A61">
            <v>7403</v>
          </cell>
          <cell r="B61">
            <v>918430.91818316549</v>
          </cell>
        </row>
        <row r="62">
          <cell r="A62">
            <v>400</v>
          </cell>
          <cell r="B62">
            <v>11753931.18482</v>
          </cell>
        </row>
        <row r="63">
          <cell r="A63">
            <v>4010</v>
          </cell>
          <cell r="B63">
            <v>1038829.1611949998</v>
          </cell>
        </row>
        <row r="64">
          <cell r="A64">
            <v>4011</v>
          </cell>
          <cell r="B64">
            <v>590318.79318699986</v>
          </cell>
        </row>
        <row r="65">
          <cell r="A65">
            <v>4012</v>
          </cell>
          <cell r="B65">
            <v>9069.1434707499975</v>
          </cell>
        </row>
        <row r="66">
          <cell r="A66">
            <v>4013</v>
          </cell>
          <cell r="B66">
            <v>10718.078647250035</v>
          </cell>
        </row>
        <row r="67">
          <cell r="A67">
            <v>4020</v>
          </cell>
          <cell r="B67">
            <v>4335472.9816100001</v>
          </cell>
        </row>
        <row r="68">
          <cell r="A68">
            <v>4021</v>
          </cell>
          <cell r="B68">
            <v>835157.88981468184</v>
          </cell>
        </row>
        <row r="69">
          <cell r="A69">
            <v>4022</v>
          </cell>
          <cell r="B69">
            <v>4007002.8577200002</v>
          </cell>
        </row>
        <row r="70">
          <cell r="A70">
            <v>4023</v>
          </cell>
          <cell r="B70">
            <v>493539.85437000002</v>
          </cell>
        </row>
        <row r="71">
          <cell r="A71">
            <v>4024</v>
          </cell>
          <cell r="B71">
            <v>226504.31286999999</v>
          </cell>
        </row>
        <row r="72">
          <cell r="A72">
            <v>4025</v>
          </cell>
          <cell r="B72">
            <v>12069581.241840001</v>
          </cell>
        </row>
        <row r="73">
          <cell r="A73">
            <v>4026</v>
          </cell>
          <cell r="B73">
            <v>713656.05028999993</v>
          </cell>
        </row>
        <row r="74">
          <cell r="A74">
            <v>4027</v>
          </cell>
          <cell r="B74">
            <v>1153008.9709999999</v>
          </cell>
        </row>
        <row r="75">
          <cell r="A75">
            <v>4029</v>
          </cell>
          <cell r="B75">
            <v>6104084.142</v>
          </cell>
        </row>
        <row r="76">
          <cell r="A76">
            <v>4030</v>
          </cell>
          <cell r="B76">
            <v>0</v>
          </cell>
        </row>
        <row r="77">
          <cell r="A77">
            <v>4031</v>
          </cell>
          <cell r="B77">
            <v>468725.22796095611</v>
          </cell>
        </row>
        <row r="78">
          <cell r="A78">
            <v>4032</v>
          </cell>
          <cell r="B78">
            <v>41770.944915254237</v>
          </cell>
        </row>
        <row r="79">
          <cell r="A79">
            <v>4033</v>
          </cell>
          <cell r="B79">
            <v>144020.47174777143</v>
          </cell>
        </row>
        <row r="80">
          <cell r="A80">
            <v>4034</v>
          </cell>
          <cell r="B80">
            <v>18705</v>
          </cell>
        </row>
        <row r="81">
          <cell r="A81">
            <v>4040</v>
          </cell>
          <cell r="B81">
            <v>0</v>
          </cell>
        </row>
        <row r="82">
          <cell r="A82">
            <v>4041</v>
          </cell>
          <cell r="B82">
            <v>0</v>
          </cell>
        </row>
        <row r="83">
          <cell r="A83">
            <v>4042</v>
          </cell>
          <cell r="B83">
            <v>0</v>
          </cell>
        </row>
        <row r="84">
          <cell r="A84">
            <v>4043</v>
          </cell>
          <cell r="B84">
            <v>0</v>
          </cell>
        </row>
        <row r="85">
          <cell r="A85">
            <v>4044</v>
          </cell>
          <cell r="B85">
            <v>0</v>
          </cell>
        </row>
        <row r="86">
          <cell r="A86">
            <v>409</v>
          </cell>
          <cell r="B86">
            <v>1258527.919</v>
          </cell>
        </row>
        <row r="87">
          <cell r="A87">
            <v>4100</v>
          </cell>
          <cell r="B87">
            <v>2342371.7479999997</v>
          </cell>
        </row>
        <row r="88">
          <cell r="A88">
            <v>4101</v>
          </cell>
          <cell r="B88">
            <v>0</v>
          </cell>
        </row>
        <row r="89">
          <cell r="A89">
            <v>4102</v>
          </cell>
          <cell r="B89">
            <v>2859951.5881000003</v>
          </cell>
        </row>
        <row r="90">
          <cell r="A90">
            <v>4110</v>
          </cell>
          <cell r="B90">
            <v>111241</v>
          </cell>
        </row>
        <row r="91">
          <cell r="A91">
            <v>4111</v>
          </cell>
          <cell r="B91">
            <v>119094</v>
          </cell>
        </row>
        <row r="92">
          <cell r="A92">
            <v>4112</v>
          </cell>
          <cell r="B92">
            <v>395533.36800000002</v>
          </cell>
        </row>
        <row r="93">
          <cell r="A93">
            <v>4113</v>
          </cell>
          <cell r="B93">
            <v>1988</v>
          </cell>
        </row>
        <row r="94">
          <cell r="A94">
            <v>4114</v>
          </cell>
          <cell r="B94">
            <v>0</v>
          </cell>
        </row>
        <row r="95">
          <cell r="A95">
            <v>4115</v>
          </cell>
          <cell r="B95">
            <v>0</v>
          </cell>
        </row>
        <row r="96">
          <cell r="A96">
            <v>4116</v>
          </cell>
          <cell r="B96">
            <v>0</v>
          </cell>
        </row>
        <row r="97">
          <cell r="A97">
            <v>4117</v>
          </cell>
          <cell r="B97">
            <v>180507</v>
          </cell>
        </row>
        <row r="98">
          <cell r="A98">
            <v>4119</v>
          </cell>
          <cell r="B98">
            <v>21631499.574443001</v>
          </cell>
        </row>
        <row r="99">
          <cell r="A99">
            <v>4120</v>
          </cell>
          <cell r="B99">
            <v>9100403.0396400001</v>
          </cell>
        </row>
        <row r="100">
          <cell r="A100">
            <v>4130</v>
          </cell>
          <cell r="B100">
            <v>3603900.7405499998</v>
          </cell>
        </row>
        <row r="101">
          <cell r="A101">
            <v>4131</v>
          </cell>
          <cell r="B101">
            <v>1931683.6459999999</v>
          </cell>
        </row>
        <row r="102">
          <cell r="A102">
            <v>4132</v>
          </cell>
          <cell r="B102">
            <v>5514085.8925800007</v>
          </cell>
        </row>
        <row r="103">
          <cell r="A103">
            <v>4133</v>
          </cell>
          <cell r="B103">
            <v>41804284.844300002</v>
          </cell>
        </row>
        <row r="104">
          <cell r="A104">
            <v>413300</v>
          </cell>
          <cell r="B104">
            <v>15472353.039650001</v>
          </cell>
        </row>
        <row r="105">
          <cell r="A105">
            <v>413301</v>
          </cell>
          <cell r="B105">
            <v>2132573.0855299998</v>
          </cell>
        </row>
        <row r="106">
          <cell r="A106">
            <v>413302</v>
          </cell>
          <cell r="B106">
            <v>24199358.71912</v>
          </cell>
        </row>
        <row r="107">
          <cell r="A107">
            <v>4140</v>
          </cell>
          <cell r="B107">
            <v>0</v>
          </cell>
        </row>
        <row r="108">
          <cell r="A108">
            <v>4141</v>
          </cell>
          <cell r="B108">
            <v>0</v>
          </cell>
        </row>
        <row r="109">
          <cell r="A109">
            <v>4142</v>
          </cell>
          <cell r="B109">
            <v>0</v>
          </cell>
        </row>
        <row r="110">
          <cell r="A110">
            <v>4143</v>
          </cell>
          <cell r="B110">
            <v>0</v>
          </cell>
        </row>
        <row r="111">
          <cell r="A111">
            <v>4200</v>
          </cell>
          <cell r="B111">
            <v>1942295</v>
          </cell>
        </row>
        <row r="112">
          <cell r="A112">
            <v>4201</v>
          </cell>
          <cell r="B112">
            <v>446060.51</v>
          </cell>
        </row>
        <row r="113">
          <cell r="A113">
            <v>4202</v>
          </cell>
          <cell r="B113">
            <v>2361268.6279199999</v>
          </cell>
        </row>
        <row r="114">
          <cell r="A114">
            <v>4203</v>
          </cell>
          <cell r="B114">
            <v>228408.932</v>
          </cell>
        </row>
        <row r="115">
          <cell r="A115">
            <v>4204</v>
          </cell>
          <cell r="B115">
            <v>35984838.863949999</v>
          </cell>
        </row>
        <row r="116">
          <cell r="A116">
            <v>4205</v>
          </cell>
          <cell r="B116">
            <v>10669985.36365</v>
          </cell>
        </row>
        <row r="117">
          <cell r="A117">
            <v>4206</v>
          </cell>
          <cell r="B117">
            <v>2775482.8910000003</v>
          </cell>
        </row>
        <row r="118">
          <cell r="A118">
            <v>4207</v>
          </cell>
          <cell r="B118">
            <v>99949</v>
          </cell>
        </row>
        <row r="119">
          <cell r="A119">
            <v>4208</v>
          </cell>
          <cell r="B119">
            <v>3812036.1277200002</v>
          </cell>
        </row>
        <row r="120">
          <cell r="A120">
            <v>4209</v>
          </cell>
          <cell r="B120">
            <v>0</v>
          </cell>
        </row>
        <row r="121">
          <cell r="A121">
            <v>4300</v>
          </cell>
          <cell r="B121">
            <v>1830795</v>
          </cell>
        </row>
        <row r="122">
          <cell r="A122">
            <v>4301</v>
          </cell>
          <cell r="B122">
            <v>1572393</v>
          </cell>
        </row>
        <row r="123">
          <cell r="A123">
            <v>4302</v>
          </cell>
          <cell r="B123">
            <v>1053651</v>
          </cell>
        </row>
        <row r="124">
          <cell r="A124">
            <v>4303</v>
          </cell>
          <cell r="B124">
            <v>3379389.2461000001</v>
          </cell>
        </row>
        <row r="125">
          <cell r="A125">
            <v>4304</v>
          </cell>
          <cell r="B125">
            <v>0</v>
          </cell>
        </row>
        <row r="126">
          <cell r="A126">
            <v>4305</v>
          </cell>
          <cell r="B126">
            <v>686197.81633000006</v>
          </cell>
        </row>
        <row r="127">
          <cell r="A127">
            <v>4306</v>
          </cell>
          <cell r="B127">
            <v>192225.59842143027</v>
          </cell>
        </row>
        <row r="128">
          <cell r="A128">
            <v>4307</v>
          </cell>
          <cell r="B128">
            <v>11104392.789287176</v>
          </cell>
        </row>
        <row r="129">
          <cell r="A129">
            <v>4308</v>
          </cell>
          <cell r="B129">
            <v>0</v>
          </cell>
        </row>
        <row r="130">
          <cell r="A130">
            <v>7500</v>
          </cell>
          <cell r="B130">
            <v>505398.19</v>
          </cell>
        </row>
        <row r="131">
          <cell r="A131">
            <v>7501</v>
          </cell>
          <cell r="B131">
            <v>28703.279999999999</v>
          </cell>
        </row>
        <row r="132">
          <cell r="A132">
            <v>7502</v>
          </cell>
          <cell r="B132">
            <v>371567.77399999998</v>
          </cell>
        </row>
        <row r="133">
          <cell r="A133">
            <v>7503</v>
          </cell>
          <cell r="B133">
            <v>325341.27864363941</v>
          </cell>
        </row>
        <row r="134">
          <cell r="A134">
            <v>7504</v>
          </cell>
          <cell r="B134">
            <v>96691.862523540491</v>
          </cell>
        </row>
        <row r="135">
          <cell r="A135">
            <v>7505</v>
          </cell>
          <cell r="B135">
            <v>0</v>
          </cell>
        </row>
        <row r="136">
          <cell r="A136">
            <v>7510</v>
          </cell>
          <cell r="B136">
            <v>149609</v>
          </cell>
        </row>
        <row r="137">
          <cell r="A137">
            <v>7511</v>
          </cell>
          <cell r="B137">
            <v>9895</v>
          </cell>
        </row>
        <row r="138">
          <cell r="A138">
            <v>7512</v>
          </cell>
          <cell r="B138">
            <v>182586</v>
          </cell>
        </row>
        <row r="139">
          <cell r="A139">
            <v>7520</v>
          </cell>
          <cell r="B139">
            <v>0</v>
          </cell>
        </row>
        <row r="140">
          <cell r="A140">
            <v>4400</v>
          </cell>
          <cell r="B140">
            <v>98376.304950495047</v>
          </cell>
        </row>
        <row r="141">
          <cell r="A141">
            <v>4401</v>
          </cell>
          <cell r="B141">
            <v>3900</v>
          </cell>
        </row>
        <row r="142">
          <cell r="A142">
            <v>4402</v>
          </cell>
          <cell r="B142">
            <v>58345</v>
          </cell>
        </row>
        <row r="143">
          <cell r="A143">
            <v>4403</v>
          </cell>
          <cell r="B143">
            <v>593450</v>
          </cell>
        </row>
        <row r="144">
          <cell r="A144">
            <v>4404</v>
          </cell>
          <cell r="B144">
            <v>301855</v>
          </cell>
        </row>
        <row r="145">
          <cell r="A145">
            <v>4405</v>
          </cell>
          <cell r="B145">
            <v>165064</v>
          </cell>
        </row>
        <row r="146">
          <cell r="A146">
            <v>4406</v>
          </cell>
          <cell r="B146">
            <v>0</v>
          </cell>
        </row>
        <row r="147">
          <cell r="A147">
            <v>4410</v>
          </cell>
          <cell r="B147">
            <v>411648.78632478637</v>
          </cell>
        </row>
        <row r="148">
          <cell r="A148">
            <v>4411</v>
          </cell>
          <cell r="B148">
            <v>5100</v>
          </cell>
        </row>
        <row r="149">
          <cell r="A149">
            <v>4412</v>
          </cell>
          <cell r="B149">
            <v>344988</v>
          </cell>
        </row>
        <row r="150">
          <cell r="A150">
            <v>4413</v>
          </cell>
          <cell r="B150">
            <v>17130</v>
          </cell>
        </row>
        <row r="151">
          <cell r="A151">
            <v>4414</v>
          </cell>
          <cell r="B151">
            <v>0</v>
          </cell>
        </row>
        <row r="152">
          <cell r="A152">
            <v>4420</v>
          </cell>
          <cell r="B152">
            <v>0</v>
          </cell>
        </row>
        <row r="153">
          <cell r="A153">
            <v>4421</v>
          </cell>
          <cell r="B153">
            <v>0</v>
          </cell>
        </row>
        <row r="154">
          <cell r="A154">
            <v>4422</v>
          </cell>
          <cell r="B154">
            <v>0</v>
          </cell>
        </row>
        <row r="155">
          <cell r="A155">
            <v>5000</v>
          </cell>
          <cell r="B155">
            <v>0</v>
          </cell>
        </row>
        <row r="156">
          <cell r="A156">
            <v>5001</v>
          </cell>
          <cell r="B156">
            <v>1248441</v>
          </cell>
        </row>
        <row r="157">
          <cell r="A157">
            <v>5002</v>
          </cell>
          <cell r="B157">
            <v>5000</v>
          </cell>
        </row>
        <row r="158">
          <cell r="A158">
            <v>5003</v>
          </cell>
          <cell r="B158">
            <v>422539</v>
          </cell>
        </row>
        <row r="159">
          <cell r="A159">
            <v>5004</v>
          </cell>
          <cell r="B159">
            <v>0</v>
          </cell>
        </row>
        <row r="160">
          <cell r="A160">
            <v>5010</v>
          </cell>
          <cell r="B160">
            <v>0</v>
          </cell>
        </row>
        <row r="161">
          <cell r="A161">
            <v>5011</v>
          </cell>
          <cell r="B161">
            <v>0</v>
          </cell>
        </row>
        <row r="162">
          <cell r="A162">
            <v>5012</v>
          </cell>
          <cell r="B162">
            <v>0</v>
          </cell>
        </row>
        <row r="163">
          <cell r="A163">
            <v>5013</v>
          </cell>
          <cell r="B163">
            <v>0</v>
          </cell>
        </row>
        <row r="164">
          <cell r="A164">
            <v>5014</v>
          </cell>
          <cell r="B164">
            <v>0</v>
          </cell>
        </row>
        <row r="165">
          <cell r="A165">
            <v>5500</v>
          </cell>
          <cell r="B165">
            <v>0</v>
          </cell>
        </row>
        <row r="166">
          <cell r="A166">
            <v>5501</v>
          </cell>
          <cell r="B166">
            <v>1293711.4035606559</v>
          </cell>
        </row>
        <row r="167">
          <cell r="A167">
            <v>5502</v>
          </cell>
          <cell r="B167">
            <v>237854.46063651593</v>
          </cell>
        </row>
        <row r="168">
          <cell r="A168">
            <v>5503</v>
          </cell>
          <cell r="B168">
            <v>972081.34487216966</v>
          </cell>
        </row>
        <row r="169">
          <cell r="A169">
            <v>5504</v>
          </cell>
          <cell r="B169">
            <v>155958</v>
          </cell>
        </row>
        <row r="170">
          <cell r="A170">
            <v>5510</v>
          </cell>
          <cell r="B170">
            <v>0</v>
          </cell>
        </row>
        <row r="171">
          <cell r="A171">
            <v>5511</v>
          </cell>
          <cell r="B171">
            <v>0</v>
          </cell>
        </row>
        <row r="172">
          <cell r="A172">
            <v>5512</v>
          </cell>
          <cell r="B172">
            <v>0</v>
          </cell>
        </row>
        <row r="173">
          <cell r="A173">
            <v>5513</v>
          </cell>
          <cell r="B173">
            <v>0</v>
          </cell>
        </row>
        <row r="174">
          <cell r="A174">
            <v>5514</v>
          </cell>
          <cell r="B174">
            <v>0</v>
          </cell>
        </row>
        <row r="175">
          <cell r="A175">
            <v>7506</v>
          </cell>
        </row>
        <row r="176">
          <cell r="A176">
            <v>5505</v>
          </cell>
        </row>
      </sheetData>
      <sheetData sheetId="3" refreshError="1">
        <row r="1">
          <cell r="B1" t="str">
            <v>OCENA 1-12/2000</v>
          </cell>
        </row>
        <row r="2">
          <cell r="A2">
            <v>7000</v>
          </cell>
          <cell r="B2">
            <v>0</v>
          </cell>
        </row>
        <row r="3">
          <cell r="A3">
            <v>7001</v>
          </cell>
          <cell r="B3">
            <v>0</v>
          </cell>
        </row>
        <row r="4">
          <cell r="A4">
            <v>7002</v>
          </cell>
          <cell r="B4">
            <v>0</v>
          </cell>
        </row>
        <row r="5">
          <cell r="A5">
            <v>7010</v>
          </cell>
          <cell r="B5">
            <v>234499526</v>
          </cell>
        </row>
        <row r="6">
          <cell r="A6">
            <v>7011</v>
          </cell>
          <cell r="B6">
            <v>138809098</v>
          </cell>
        </row>
        <row r="7">
          <cell r="A7">
            <v>7012</v>
          </cell>
          <cell r="B7">
            <v>21466133</v>
          </cell>
        </row>
        <row r="8">
          <cell r="A8">
            <v>7013</v>
          </cell>
          <cell r="B8">
            <v>2340744</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280000</v>
          </cell>
        </row>
        <row r="32">
          <cell r="A32">
            <v>7100</v>
          </cell>
          <cell r="B32">
            <v>0</v>
          </cell>
        </row>
        <row r="33">
          <cell r="A33">
            <v>7101</v>
          </cell>
          <cell r="B33">
            <v>0</v>
          </cell>
        </row>
        <row r="34">
          <cell r="A34">
            <v>7102</v>
          </cell>
          <cell r="B34">
            <v>408942</v>
          </cell>
        </row>
        <row r="35">
          <cell r="A35">
            <v>7103</v>
          </cell>
          <cell r="B35">
            <v>26594</v>
          </cell>
        </row>
        <row r="36">
          <cell r="A36">
            <v>7110</v>
          </cell>
          <cell r="B36">
            <v>0</v>
          </cell>
        </row>
        <row r="37">
          <cell r="A37">
            <v>7111</v>
          </cell>
          <cell r="B37">
            <v>0</v>
          </cell>
        </row>
        <row r="38">
          <cell r="A38">
            <v>7120</v>
          </cell>
          <cell r="B38">
            <v>0</v>
          </cell>
        </row>
        <row r="39">
          <cell r="A39">
            <v>7130</v>
          </cell>
          <cell r="B39">
            <v>19120</v>
          </cell>
        </row>
        <row r="40">
          <cell r="A40">
            <v>7140</v>
          </cell>
          <cell r="B40">
            <v>3110951</v>
          </cell>
        </row>
        <row r="41">
          <cell r="A41">
            <v>7141</v>
          </cell>
          <cell r="B41">
            <v>705944</v>
          </cell>
        </row>
        <row r="42">
          <cell r="A42">
            <v>7200</v>
          </cell>
          <cell r="B42">
            <v>194</v>
          </cell>
        </row>
        <row r="43">
          <cell r="A43">
            <v>7201</v>
          </cell>
          <cell r="B43">
            <v>0</v>
          </cell>
        </row>
        <row r="44">
          <cell r="A44">
            <v>7202</v>
          </cell>
          <cell r="B44">
            <v>0</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v>
          </cell>
          <cell r="B51">
            <v>0</v>
          </cell>
        </row>
        <row r="52">
          <cell r="A52">
            <v>7300</v>
          </cell>
          <cell r="B52">
            <v>0</v>
          </cell>
        </row>
        <row r="53">
          <cell r="A53">
            <v>7301</v>
          </cell>
          <cell r="B53">
            <v>0</v>
          </cell>
        </row>
        <row r="54">
          <cell r="A54">
            <v>7310</v>
          </cell>
          <cell r="B54">
            <v>0</v>
          </cell>
        </row>
        <row r="55">
          <cell r="A55">
            <v>7311</v>
          </cell>
          <cell r="B55">
            <v>0</v>
          </cell>
        </row>
        <row r="56">
          <cell r="A56">
            <v>7400</v>
          </cell>
          <cell r="B56">
            <v>156389498</v>
          </cell>
        </row>
        <row r="57">
          <cell r="A57">
            <v>740000</v>
          </cell>
          <cell r="B57">
            <v>43502900</v>
          </cell>
        </row>
        <row r="58">
          <cell r="A58">
            <v>740001</v>
          </cell>
          <cell r="B58">
            <v>0</v>
          </cell>
        </row>
        <row r="59">
          <cell r="A59">
            <v>740002</v>
          </cell>
          <cell r="B59">
            <v>110117250</v>
          </cell>
        </row>
        <row r="60">
          <cell r="A60">
            <v>740003</v>
          </cell>
          <cell r="B60">
            <v>0</v>
          </cell>
        </row>
        <row r="61">
          <cell r="A61">
            <v>740004</v>
          </cell>
          <cell r="B61">
            <v>240888</v>
          </cell>
        </row>
        <row r="62">
          <cell r="A62">
            <v>740005</v>
          </cell>
          <cell r="B62">
            <v>2528460</v>
          </cell>
        </row>
        <row r="63">
          <cell r="A63">
            <v>7401</v>
          </cell>
          <cell r="B63">
            <v>0</v>
          </cell>
        </row>
        <row r="64">
          <cell r="A64">
            <v>7402</v>
          </cell>
          <cell r="B64">
            <v>0</v>
          </cell>
        </row>
        <row r="65">
          <cell r="A65">
            <v>7403</v>
          </cell>
          <cell r="B65">
            <v>12593341</v>
          </cell>
        </row>
        <row r="66">
          <cell r="A66">
            <v>400</v>
          </cell>
          <cell r="B66">
            <v>2061529</v>
          </cell>
        </row>
        <row r="67">
          <cell r="A67">
            <v>4010</v>
          </cell>
          <cell r="B67">
            <v>161682.70714078002</v>
          </cell>
        </row>
        <row r="68">
          <cell r="A68">
            <v>4011</v>
          </cell>
          <cell r="B68">
            <v>125867.97219591064</v>
          </cell>
        </row>
        <row r="69">
          <cell r="A69">
            <v>4012</v>
          </cell>
          <cell r="B69">
            <v>1102.3136268080275</v>
          </cell>
        </row>
        <row r="70">
          <cell r="A70">
            <v>4013</v>
          </cell>
          <cell r="B70">
            <v>1828.0070365013253</v>
          </cell>
        </row>
        <row r="71">
          <cell r="A71">
            <v>402</v>
          </cell>
          <cell r="B71">
            <v>4366280</v>
          </cell>
        </row>
        <row r="72">
          <cell r="A72">
            <v>4030</v>
          </cell>
          <cell r="B72">
            <v>0</v>
          </cell>
        </row>
        <row r="73">
          <cell r="A73">
            <v>4031</v>
          </cell>
          <cell r="B73">
            <v>28306</v>
          </cell>
        </row>
        <row r="74">
          <cell r="A74">
            <v>4032</v>
          </cell>
          <cell r="B74">
            <v>0</v>
          </cell>
        </row>
        <row r="75">
          <cell r="A75">
            <v>4033</v>
          </cell>
          <cell r="B75">
            <v>0</v>
          </cell>
        </row>
        <row r="76">
          <cell r="A76">
            <v>4034</v>
          </cell>
          <cell r="B76">
            <v>0</v>
          </cell>
        </row>
        <row r="77">
          <cell r="A77">
            <v>404</v>
          </cell>
          <cell r="B77">
            <v>0</v>
          </cell>
        </row>
        <row r="78">
          <cell r="A78">
            <v>409</v>
          </cell>
          <cell r="B78">
            <v>0</v>
          </cell>
        </row>
        <row r="79">
          <cell r="A79">
            <v>4100</v>
          </cell>
          <cell r="B79">
            <v>0</v>
          </cell>
        </row>
        <row r="80">
          <cell r="A80">
            <v>4101</v>
          </cell>
          <cell r="B80">
            <v>0</v>
          </cell>
        </row>
        <row r="81">
          <cell r="A81">
            <v>4102</v>
          </cell>
          <cell r="B81">
            <v>0</v>
          </cell>
        </row>
        <row r="82">
          <cell r="A82">
            <v>4110</v>
          </cell>
          <cell r="B82">
            <v>0</v>
          </cell>
        </row>
        <row r="83">
          <cell r="A83">
            <v>4111</v>
          </cell>
          <cell r="B83">
            <v>0</v>
          </cell>
        </row>
        <row r="84">
          <cell r="A84">
            <v>4112</v>
          </cell>
          <cell r="B84">
            <v>23030244</v>
          </cell>
        </row>
        <row r="85">
          <cell r="A85">
            <v>4113</v>
          </cell>
          <cell r="B85">
            <v>0</v>
          </cell>
        </row>
        <row r="86">
          <cell r="A86">
            <v>4114</v>
          </cell>
          <cell r="B86">
            <v>490001160.80234003</v>
          </cell>
        </row>
        <row r="87">
          <cell r="A87">
            <v>4115</v>
          </cell>
          <cell r="B87">
            <v>22362482</v>
          </cell>
        </row>
        <row r="88">
          <cell r="A88">
            <v>4116</v>
          </cell>
          <cell r="B88">
            <v>0</v>
          </cell>
        </row>
        <row r="89">
          <cell r="A89">
            <v>4117</v>
          </cell>
          <cell r="B89">
            <v>3665</v>
          </cell>
        </row>
        <row r="90">
          <cell r="A90">
            <v>4119</v>
          </cell>
          <cell r="B90">
            <v>9036</v>
          </cell>
        </row>
        <row r="91">
          <cell r="A91">
            <v>4120</v>
          </cell>
          <cell r="B91">
            <v>484999</v>
          </cell>
        </row>
        <row r="92">
          <cell r="A92">
            <v>4130</v>
          </cell>
          <cell r="B92">
            <v>0</v>
          </cell>
        </row>
        <row r="93">
          <cell r="A93">
            <v>4131</v>
          </cell>
          <cell r="B93">
            <v>40675855</v>
          </cell>
        </row>
        <row r="95">
          <cell r="A95">
            <v>4132</v>
          </cell>
        </row>
        <row r="96">
          <cell r="A96">
            <v>4133</v>
          </cell>
          <cell r="B96">
            <v>0</v>
          </cell>
        </row>
        <row r="97">
          <cell r="A97">
            <v>414</v>
          </cell>
          <cell r="B97">
            <v>0</v>
          </cell>
        </row>
        <row r="98">
          <cell r="A98">
            <v>420</v>
          </cell>
          <cell r="B98">
            <v>296748</v>
          </cell>
        </row>
        <row r="99">
          <cell r="A99">
            <v>430</v>
          </cell>
          <cell r="B99">
            <v>0</v>
          </cell>
        </row>
        <row r="100">
          <cell r="A100">
            <v>750</v>
          </cell>
          <cell r="B100">
            <v>615484</v>
          </cell>
        </row>
        <row r="101">
          <cell r="A101">
            <v>751</v>
          </cell>
          <cell r="B101">
            <v>0</v>
          </cell>
        </row>
        <row r="102">
          <cell r="A102">
            <v>440</v>
          </cell>
          <cell r="B102">
            <v>571000</v>
          </cell>
        </row>
        <row r="103">
          <cell r="A103">
            <v>441</v>
          </cell>
          <cell r="B103">
            <v>0</v>
          </cell>
        </row>
        <row r="104">
          <cell r="A104">
            <v>442</v>
          </cell>
          <cell r="B104">
            <v>0</v>
          </cell>
        </row>
        <row r="105">
          <cell r="A105">
            <v>5000</v>
          </cell>
          <cell r="B105">
            <v>0</v>
          </cell>
        </row>
        <row r="106">
          <cell r="A106">
            <v>5001</v>
          </cell>
          <cell r="B106">
            <v>26500000</v>
          </cell>
        </row>
        <row r="107">
          <cell r="A107">
            <v>5002</v>
          </cell>
          <cell r="B107">
            <v>0</v>
          </cell>
        </row>
        <row r="108">
          <cell r="A108">
            <v>5003</v>
          </cell>
          <cell r="B108">
            <v>0</v>
          </cell>
        </row>
        <row r="109">
          <cell r="A109">
            <v>5004</v>
          </cell>
          <cell r="B109">
            <v>0</v>
          </cell>
        </row>
        <row r="110">
          <cell r="A110">
            <v>5010</v>
          </cell>
          <cell r="B110">
            <v>0</v>
          </cell>
        </row>
        <row r="111">
          <cell r="A111">
            <v>5011</v>
          </cell>
          <cell r="B111">
            <v>0</v>
          </cell>
        </row>
        <row r="112">
          <cell r="A112">
            <v>5012</v>
          </cell>
          <cell r="B112">
            <v>0</v>
          </cell>
        </row>
        <row r="113">
          <cell r="A113">
            <v>5013</v>
          </cell>
          <cell r="B113">
            <v>0</v>
          </cell>
        </row>
        <row r="114">
          <cell r="A114">
            <v>5014</v>
          </cell>
          <cell r="B114">
            <v>0</v>
          </cell>
        </row>
        <row r="115">
          <cell r="A115">
            <v>5500</v>
          </cell>
          <cell r="B115">
            <v>0</v>
          </cell>
        </row>
        <row r="116">
          <cell r="A116">
            <v>5501</v>
          </cell>
          <cell r="B116">
            <v>6100000</v>
          </cell>
        </row>
        <row r="117">
          <cell r="A117">
            <v>5502</v>
          </cell>
          <cell r="B117">
            <v>0</v>
          </cell>
        </row>
        <row r="118">
          <cell r="A118">
            <v>5503</v>
          </cell>
          <cell r="B118">
            <v>3700000</v>
          </cell>
        </row>
        <row r="119">
          <cell r="A119">
            <v>5504</v>
          </cell>
          <cell r="B119">
            <v>0</v>
          </cell>
        </row>
        <row r="120">
          <cell r="A120">
            <v>5510</v>
          </cell>
          <cell r="B120">
            <v>0</v>
          </cell>
        </row>
        <row r="121">
          <cell r="A121">
            <v>5511</v>
          </cell>
          <cell r="B121">
            <v>0</v>
          </cell>
        </row>
        <row r="122">
          <cell r="A122">
            <v>5512</v>
          </cell>
          <cell r="B122">
            <v>0</v>
          </cell>
        </row>
        <row r="123">
          <cell r="A123">
            <v>5513</v>
          </cell>
          <cell r="B123">
            <v>0</v>
          </cell>
        </row>
        <row r="124">
          <cell r="A124">
            <v>5514</v>
          </cell>
          <cell r="B124">
            <v>0</v>
          </cell>
        </row>
        <row r="125">
          <cell r="A125">
            <v>7520</v>
          </cell>
        </row>
        <row r="126">
          <cell r="A126">
            <v>5505</v>
          </cell>
        </row>
      </sheetData>
      <sheetData sheetId="4" refreshError="1">
        <row r="1">
          <cell r="B1" t="str">
            <v>OCENA 1-12/2000</v>
          </cell>
        </row>
        <row r="2">
          <cell r="A2">
            <v>7000</v>
          </cell>
          <cell r="B2">
            <v>0</v>
          </cell>
        </row>
        <row r="3">
          <cell r="A3">
            <v>7001</v>
          </cell>
          <cell r="B3">
            <v>0</v>
          </cell>
        </row>
        <row r="4">
          <cell r="A4">
            <v>7002</v>
          </cell>
          <cell r="B4">
            <v>0</v>
          </cell>
        </row>
        <row r="5">
          <cell r="A5">
            <v>7010</v>
          </cell>
          <cell r="B5">
            <v>101258878.74304315</v>
          </cell>
        </row>
        <row r="6">
          <cell r="A6">
            <v>7011</v>
          </cell>
          <cell r="B6">
            <v>97082422.651802808</v>
          </cell>
        </row>
        <row r="7">
          <cell r="A7">
            <v>7012</v>
          </cell>
          <cell r="B7">
            <v>12345292.26437185</v>
          </cell>
        </row>
        <row r="8">
          <cell r="A8">
            <v>7013</v>
          </cell>
          <cell r="B8">
            <v>1154495.05795</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0</v>
          </cell>
        </row>
        <row r="32">
          <cell r="A32">
            <v>7100</v>
          </cell>
          <cell r="B32">
            <v>0</v>
          </cell>
        </row>
        <row r="33">
          <cell r="A33">
            <v>7101</v>
          </cell>
          <cell r="B33">
            <v>2335.7591400000001</v>
          </cell>
        </row>
        <row r="34">
          <cell r="A34">
            <v>7102</v>
          </cell>
          <cell r="B34">
            <v>1195372.6825299999</v>
          </cell>
        </row>
        <row r="35">
          <cell r="A35">
            <v>7103</v>
          </cell>
          <cell r="B35">
            <v>95239.120439999999</v>
          </cell>
        </row>
        <row r="36">
          <cell r="A36">
            <v>7110</v>
          </cell>
          <cell r="B36">
            <v>0</v>
          </cell>
        </row>
        <row r="37">
          <cell r="A37">
            <v>7111</v>
          </cell>
          <cell r="B37">
            <v>0</v>
          </cell>
        </row>
        <row r="38">
          <cell r="A38">
            <v>7120</v>
          </cell>
          <cell r="B38">
            <v>13177</v>
          </cell>
        </row>
        <row r="39">
          <cell r="A39">
            <v>7130</v>
          </cell>
          <cell r="B39">
            <v>2127111.5138900001</v>
          </cell>
        </row>
        <row r="40">
          <cell r="A40">
            <v>7140</v>
          </cell>
          <cell r="B40">
            <v>0</v>
          </cell>
        </row>
        <row r="41">
          <cell r="A41">
            <v>7141</v>
          </cell>
          <cell r="B41">
            <v>1949872.9322600001</v>
          </cell>
        </row>
        <row r="42">
          <cell r="A42">
            <v>7200</v>
          </cell>
          <cell r="B42">
            <v>16496</v>
          </cell>
        </row>
        <row r="43">
          <cell r="A43">
            <v>7201</v>
          </cell>
          <cell r="B43">
            <v>4390</v>
          </cell>
        </row>
        <row r="44">
          <cell r="A44">
            <v>7202</v>
          </cell>
          <cell r="B44">
            <v>3110.1909600000004</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7300</v>
          </cell>
          <cell r="B51">
            <v>100</v>
          </cell>
        </row>
        <row r="52">
          <cell r="A52">
            <v>7301</v>
          </cell>
          <cell r="B52">
            <v>0</v>
          </cell>
        </row>
        <row r="53">
          <cell r="A53">
            <v>7310</v>
          </cell>
          <cell r="B53">
            <v>0</v>
          </cell>
        </row>
        <row r="54">
          <cell r="A54">
            <v>7311</v>
          </cell>
          <cell r="B54">
            <v>0</v>
          </cell>
        </row>
        <row r="55">
          <cell r="A55">
            <v>740</v>
          </cell>
          <cell r="B55">
            <v>48265990.179958582</v>
          </cell>
        </row>
        <row r="56">
          <cell r="A56">
            <v>7400</v>
          </cell>
          <cell r="B56">
            <v>1802362.95521</v>
          </cell>
        </row>
        <row r="57">
          <cell r="A57">
            <v>740000</v>
          </cell>
          <cell r="B57">
            <v>0</v>
          </cell>
        </row>
        <row r="58">
          <cell r="A58">
            <v>740001</v>
          </cell>
          <cell r="B58">
            <v>0</v>
          </cell>
        </row>
        <row r="59">
          <cell r="A59">
            <v>740002</v>
          </cell>
          <cell r="B59">
            <v>0</v>
          </cell>
        </row>
        <row r="60">
          <cell r="A60">
            <v>740003</v>
          </cell>
          <cell r="B60">
            <v>1636693.8203</v>
          </cell>
        </row>
        <row r="61">
          <cell r="A61">
            <v>740004</v>
          </cell>
          <cell r="B61">
            <v>165669.13490999999</v>
          </cell>
        </row>
        <row r="62">
          <cell r="A62">
            <v>7401</v>
          </cell>
          <cell r="B62">
            <v>2108086.9517200002</v>
          </cell>
        </row>
        <row r="63">
          <cell r="A63">
            <v>7402</v>
          </cell>
          <cell r="B63">
            <v>44355540.27302859</v>
          </cell>
        </row>
        <row r="64">
          <cell r="A64">
            <v>7403</v>
          </cell>
          <cell r="B64">
            <v>0</v>
          </cell>
        </row>
        <row r="65">
          <cell r="A65">
            <v>400</v>
          </cell>
          <cell r="B65">
            <v>2822053.79734175</v>
          </cell>
        </row>
        <row r="66">
          <cell r="A66">
            <v>4010</v>
          </cell>
          <cell r="B66">
            <v>220857.80998758794</v>
          </cell>
        </row>
        <row r="67">
          <cell r="A67">
            <v>4011</v>
          </cell>
          <cell r="B67">
            <v>171944.4656800013</v>
          </cell>
        </row>
        <row r="68">
          <cell r="A68">
            <v>4012</v>
          </cell>
          <cell r="B68">
            <v>1497.5051830262753</v>
          </cell>
        </row>
        <row r="69">
          <cell r="A69">
            <v>4013</v>
          </cell>
          <cell r="B69">
            <v>2495.4451764844316</v>
          </cell>
        </row>
        <row r="70">
          <cell r="A70">
            <v>402</v>
          </cell>
          <cell r="B70">
            <v>4990787.8124500001</v>
          </cell>
        </row>
        <row r="71">
          <cell r="A71">
            <v>403</v>
          </cell>
          <cell r="B71">
            <v>0</v>
          </cell>
        </row>
        <row r="72">
          <cell r="A72">
            <v>404</v>
          </cell>
          <cell r="B72">
            <v>0</v>
          </cell>
        </row>
        <row r="73">
          <cell r="A73">
            <v>409</v>
          </cell>
          <cell r="B73">
            <v>0</v>
          </cell>
        </row>
        <row r="74">
          <cell r="A74">
            <v>4100</v>
          </cell>
          <cell r="B74">
            <v>0</v>
          </cell>
        </row>
        <row r="75">
          <cell r="A75">
            <v>4101</v>
          </cell>
          <cell r="B75">
            <v>0</v>
          </cell>
        </row>
        <row r="76">
          <cell r="A76">
            <v>4102</v>
          </cell>
          <cell r="B76">
            <v>0</v>
          </cell>
        </row>
        <row r="77">
          <cell r="A77">
            <v>4110</v>
          </cell>
          <cell r="B77">
            <v>0</v>
          </cell>
        </row>
        <row r="78">
          <cell r="A78">
            <v>4111</v>
          </cell>
          <cell r="B78">
            <v>0</v>
          </cell>
        </row>
        <row r="79">
          <cell r="A79">
            <v>4112</v>
          </cell>
          <cell r="B79">
            <v>0</v>
          </cell>
        </row>
        <row r="80">
          <cell r="A80">
            <v>4113</v>
          </cell>
          <cell r="B80">
            <v>0</v>
          </cell>
        </row>
        <row r="81">
          <cell r="A81">
            <v>4114</v>
          </cell>
          <cell r="B81">
            <v>0</v>
          </cell>
        </row>
        <row r="82">
          <cell r="A82">
            <v>4115</v>
          </cell>
          <cell r="B82">
            <v>0</v>
          </cell>
        </row>
        <row r="83">
          <cell r="A83">
            <v>4116</v>
          </cell>
          <cell r="B83">
            <v>22069321.720629998</v>
          </cell>
        </row>
        <row r="84">
          <cell r="A84">
            <v>4117</v>
          </cell>
          <cell r="B84">
            <v>0</v>
          </cell>
        </row>
        <row r="85">
          <cell r="A85">
            <v>4119</v>
          </cell>
          <cell r="B85">
            <v>2418939.7835400002</v>
          </cell>
        </row>
        <row r="86">
          <cell r="A86">
            <v>4120</v>
          </cell>
          <cell r="B86">
            <v>1115997.5227800002</v>
          </cell>
        </row>
        <row r="87">
          <cell r="A87">
            <v>4130</v>
          </cell>
          <cell r="B87">
            <v>0</v>
          </cell>
        </row>
        <row r="88">
          <cell r="A88">
            <v>4131</v>
          </cell>
          <cell r="B88">
            <v>0</v>
          </cell>
        </row>
        <row r="89">
          <cell r="A89">
            <v>4132</v>
          </cell>
          <cell r="B89">
            <v>0</v>
          </cell>
        </row>
        <row r="90">
          <cell r="A90">
            <v>4133</v>
          </cell>
          <cell r="B90">
            <v>231818528.07684004</v>
          </cell>
        </row>
        <row r="91">
          <cell r="A91">
            <v>413300</v>
          </cell>
          <cell r="B91">
            <v>97290863.71886</v>
          </cell>
        </row>
        <row r="92">
          <cell r="A92">
            <v>413301</v>
          </cell>
          <cell r="B92">
            <v>19471353.48401</v>
          </cell>
        </row>
        <row r="93">
          <cell r="A93">
            <v>413302</v>
          </cell>
          <cell r="B93">
            <v>74283367.257310003</v>
          </cell>
        </row>
        <row r="94">
          <cell r="A94">
            <v>413303</v>
          </cell>
          <cell r="B94">
            <v>31373706.889629997</v>
          </cell>
        </row>
        <row r="95">
          <cell r="A95">
            <v>413304</v>
          </cell>
          <cell r="B95">
            <v>7130913.0417400002</v>
          </cell>
        </row>
        <row r="96">
          <cell r="A96">
            <v>413305</v>
          </cell>
          <cell r="B96">
            <v>2068323.1955799998</v>
          </cell>
        </row>
        <row r="97">
          <cell r="A97">
            <v>413306</v>
          </cell>
          <cell r="B97">
            <v>0.33799999999610009</v>
          </cell>
        </row>
        <row r="98">
          <cell r="A98">
            <v>413307</v>
          </cell>
          <cell r="B98">
            <v>0.15171000003465451</v>
          </cell>
        </row>
        <row r="99">
          <cell r="A99">
            <v>4140</v>
          </cell>
          <cell r="B99">
            <v>0</v>
          </cell>
        </row>
        <row r="100">
          <cell r="A100">
            <v>4141</v>
          </cell>
          <cell r="B100">
            <v>0</v>
          </cell>
        </row>
        <row r="101">
          <cell r="A101">
            <v>4142</v>
          </cell>
          <cell r="B101">
            <v>1102298.20025</v>
          </cell>
        </row>
        <row r="102">
          <cell r="A102">
            <v>4143</v>
          </cell>
          <cell r="B102">
            <v>0</v>
          </cell>
        </row>
        <row r="103">
          <cell r="A103">
            <v>4200</v>
          </cell>
          <cell r="B103">
            <v>1727234.5722700001</v>
          </cell>
        </row>
        <row r="104">
          <cell r="A104">
            <v>4201</v>
          </cell>
          <cell r="B104">
            <v>0</v>
          </cell>
        </row>
        <row r="105">
          <cell r="A105">
            <v>4202</v>
          </cell>
          <cell r="B105">
            <v>0</v>
          </cell>
        </row>
        <row r="106">
          <cell r="A106">
            <v>4203</v>
          </cell>
          <cell r="B106">
            <v>0</v>
          </cell>
        </row>
        <row r="107">
          <cell r="A107">
            <v>4204</v>
          </cell>
          <cell r="B107">
            <v>0</v>
          </cell>
        </row>
        <row r="108">
          <cell r="A108">
            <v>4205</v>
          </cell>
          <cell r="B108">
            <v>0</v>
          </cell>
        </row>
        <row r="109">
          <cell r="A109">
            <v>4206</v>
          </cell>
          <cell r="B109">
            <v>0</v>
          </cell>
        </row>
        <row r="110">
          <cell r="A110">
            <v>4207</v>
          </cell>
          <cell r="B110">
            <v>0</v>
          </cell>
        </row>
        <row r="111">
          <cell r="A111">
            <v>4208</v>
          </cell>
          <cell r="B111">
            <v>0</v>
          </cell>
        </row>
        <row r="112">
          <cell r="A112">
            <v>4209</v>
          </cell>
          <cell r="B112">
            <v>0</v>
          </cell>
        </row>
        <row r="113">
          <cell r="A113">
            <v>4300</v>
          </cell>
          <cell r="B113">
            <v>0</v>
          </cell>
        </row>
        <row r="114">
          <cell r="A114">
            <v>4301</v>
          </cell>
          <cell r="B114">
            <v>0</v>
          </cell>
        </row>
        <row r="115">
          <cell r="A115">
            <v>4302</v>
          </cell>
          <cell r="B115">
            <v>0</v>
          </cell>
        </row>
        <row r="116">
          <cell r="A116">
            <v>4303</v>
          </cell>
          <cell r="B116">
            <v>0</v>
          </cell>
        </row>
        <row r="117">
          <cell r="A117">
            <v>4304</v>
          </cell>
          <cell r="B117">
            <v>0</v>
          </cell>
        </row>
        <row r="118">
          <cell r="A118">
            <v>4305</v>
          </cell>
          <cell r="B118">
            <v>0</v>
          </cell>
        </row>
        <row r="119">
          <cell r="A119">
            <v>4306</v>
          </cell>
          <cell r="B119">
            <v>0</v>
          </cell>
        </row>
        <row r="120">
          <cell r="A120">
            <v>4307</v>
          </cell>
          <cell r="B120">
            <v>0</v>
          </cell>
        </row>
        <row r="121">
          <cell r="A121">
            <v>4308</v>
          </cell>
          <cell r="B121">
            <v>0</v>
          </cell>
        </row>
        <row r="122">
          <cell r="A122">
            <v>7500</v>
          </cell>
          <cell r="B122">
            <v>0</v>
          </cell>
        </row>
        <row r="123">
          <cell r="A123">
            <v>7501</v>
          </cell>
          <cell r="B123">
            <v>0</v>
          </cell>
        </row>
        <row r="124">
          <cell r="A124">
            <v>7502</v>
          </cell>
          <cell r="B124">
            <v>0</v>
          </cell>
        </row>
        <row r="125">
          <cell r="A125">
            <v>7503</v>
          </cell>
          <cell r="B125">
            <v>0</v>
          </cell>
        </row>
        <row r="126">
          <cell r="A126">
            <v>7504</v>
          </cell>
          <cell r="B126">
            <v>0</v>
          </cell>
        </row>
        <row r="127">
          <cell r="A127">
            <v>7505</v>
          </cell>
          <cell r="B127">
            <v>0</v>
          </cell>
        </row>
        <row r="128">
          <cell r="A128">
            <v>7506</v>
          </cell>
          <cell r="B128">
            <v>718464</v>
          </cell>
        </row>
        <row r="129">
          <cell r="A129">
            <v>751</v>
          </cell>
          <cell r="B129">
            <v>8226.8293099999992</v>
          </cell>
        </row>
        <row r="130">
          <cell r="A130">
            <v>4400</v>
          </cell>
          <cell r="B130">
            <v>0</v>
          </cell>
        </row>
        <row r="131">
          <cell r="A131">
            <v>4401</v>
          </cell>
          <cell r="B131">
            <v>0</v>
          </cell>
        </row>
        <row r="132">
          <cell r="A132">
            <v>4402</v>
          </cell>
          <cell r="B132">
            <v>0</v>
          </cell>
        </row>
        <row r="133">
          <cell r="A133">
            <v>4403</v>
          </cell>
          <cell r="B133">
            <v>0</v>
          </cell>
        </row>
        <row r="134">
          <cell r="A134">
            <v>4404</v>
          </cell>
          <cell r="B134">
            <v>0</v>
          </cell>
        </row>
        <row r="135">
          <cell r="A135">
            <v>4407</v>
          </cell>
          <cell r="B135">
            <v>0</v>
          </cell>
        </row>
        <row r="136">
          <cell r="A136">
            <v>4406</v>
          </cell>
          <cell r="B136">
            <v>0</v>
          </cell>
        </row>
        <row r="137">
          <cell r="A137">
            <v>4405</v>
          </cell>
          <cell r="B137">
            <v>-850000</v>
          </cell>
        </row>
        <row r="138">
          <cell r="A138">
            <v>441</v>
          </cell>
          <cell r="B138">
            <v>0</v>
          </cell>
        </row>
        <row r="139">
          <cell r="A139">
            <v>5000</v>
          </cell>
          <cell r="B139">
            <v>0</v>
          </cell>
        </row>
        <row r="140">
          <cell r="A140">
            <v>5001</v>
          </cell>
          <cell r="B140">
            <v>0</v>
          </cell>
        </row>
        <row r="141">
          <cell r="A141">
            <v>5002</v>
          </cell>
          <cell r="B141">
            <v>0</v>
          </cell>
        </row>
        <row r="142">
          <cell r="A142">
            <v>5003</v>
          </cell>
          <cell r="B142">
            <v>0</v>
          </cell>
        </row>
        <row r="143">
          <cell r="A143">
            <v>5004</v>
          </cell>
          <cell r="B143">
            <v>0</v>
          </cell>
        </row>
        <row r="144">
          <cell r="A144">
            <v>501</v>
          </cell>
          <cell r="B144">
            <v>0</v>
          </cell>
        </row>
        <row r="145">
          <cell r="A145">
            <v>5500</v>
          </cell>
          <cell r="B145">
            <v>0</v>
          </cell>
        </row>
        <row r="146">
          <cell r="A146">
            <v>5501</v>
          </cell>
          <cell r="B146">
            <v>0</v>
          </cell>
        </row>
        <row r="147">
          <cell r="A147">
            <v>5502</v>
          </cell>
          <cell r="B147">
            <v>0</v>
          </cell>
        </row>
        <row r="148">
          <cell r="A148">
            <v>5503</v>
          </cell>
          <cell r="B148">
            <v>0</v>
          </cell>
        </row>
        <row r="149">
          <cell r="A149">
            <v>5504</v>
          </cell>
          <cell r="B149">
            <v>0</v>
          </cell>
        </row>
        <row r="150">
          <cell r="A150">
            <v>551</v>
          </cell>
          <cell r="B150">
            <v>0</v>
          </cell>
        </row>
        <row r="151">
          <cell r="A151">
            <v>7520</v>
          </cell>
        </row>
        <row r="152">
          <cell r="A152">
            <v>5505</v>
          </cell>
        </row>
      </sheetData>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DP"/>
      <sheetName val="LS"/>
      <sheetName val="ZPIZ"/>
      <sheetName val="ZZZS"/>
      <sheetName val="Haver"/>
      <sheetName val="SUMMARY"/>
      <sheetName val="e9"/>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 val="DP"/>
      <sheetName val="LS"/>
      <sheetName val="ZPIZ"/>
      <sheetName val="ZZZS"/>
      <sheetName val="M"/>
      <sheetName val="SUMMARY"/>
      <sheetName val="Haver"/>
    </sheetNames>
    <sheetDataSet>
      <sheetData sheetId="0" refreshError="1">
        <row r="2">
          <cell r="A2" t="str">
            <v>Table A42. Czech Republic: External Debt in Convertible and Nonconvertible Currencies, 1980-97 Q3</v>
          </cell>
        </row>
        <row r="4">
          <cell r="A4" t="str">
            <v>(In millions of U.S. dollars, end of period)</v>
          </cell>
        </row>
        <row r="7">
          <cell r="E7">
            <v>1980</v>
          </cell>
          <cell r="G7">
            <v>1985</v>
          </cell>
          <cell r="I7">
            <v>1990</v>
          </cell>
          <cell r="K7">
            <v>1991</v>
          </cell>
          <cell r="M7">
            <v>1992</v>
          </cell>
          <cell r="O7">
            <v>1993</v>
          </cell>
          <cell r="Q7">
            <v>1994</v>
          </cell>
          <cell r="S7">
            <v>1995</v>
          </cell>
          <cell r="U7">
            <v>1996</v>
          </cell>
          <cell r="V7">
            <v>1997</v>
          </cell>
        </row>
        <row r="8">
          <cell r="V8" t="str">
            <v xml:space="preserve">Q3 </v>
          </cell>
        </row>
        <row r="10">
          <cell r="A10" t="str">
            <v>Debt in convertible currencies</v>
          </cell>
        </row>
        <row r="11">
          <cell r="B11" t="str">
            <v>Medium- and long-term</v>
          </cell>
          <cell r="E11">
            <v>1936</v>
          </cell>
          <cell r="G11">
            <v>1835</v>
          </cell>
          <cell r="I11">
            <v>3557</v>
          </cell>
          <cell r="K11">
            <v>4565</v>
          </cell>
          <cell r="M11">
            <v>5284</v>
          </cell>
          <cell r="O11">
            <v>6494</v>
          </cell>
          <cell r="Q11">
            <v>7806</v>
          </cell>
          <cell r="S11">
            <v>11504</v>
          </cell>
          <cell r="U11">
            <v>14823</v>
          </cell>
          <cell r="V11">
            <v>14938</v>
          </cell>
        </row>
        <row r="12">
          <cell r="C12" t="str">
            <v>By maturity</v>
          </cell>
        </row>
        <row r="13">
          <cell r="D13" t="str">
            <v>1-5 years</v>
          </cell>
          <cell r="E13">
            <v>473</v>
          </cell>
          <cell r="G13">
            <v>854</v>
          </cell>
          <cell r="I13">
            <v>1321</v>
          </cell>
          <cell r="K13">
            <v>1463</v>
          </cell>
          <cell r="M13">
            <v>2094</v>
          </cell>
          <cell r="O13">
            <v>2530</v>
          </cell>
          <cell r="Q13">
            <v>4170</v>
          </cell>
          <cell r="S13">
            <v>7155</v>
          </cell>
          <cell r="U13" t="str">
            <v>...</v>
          </cell>
          <cell r="V13" t="str">
            <v>...</v>
          </cell>
        </row>
        <row r="14">
          <cell r="D14" t="str">
            <v>Over 5 years</v>
          </cell>
          <cell r="E14">
            <v>1463</v>
          </cell>
          <cell r="G14">
            <v>981</v>
          </cell>
          <cell r="I14">
            <v>2236</v>
          </cell>
          <cell r="K14">
            <v>3112</v>
          </cell>
          <cell r="M14">
            <v>3190</v>
          </cell>
          <cell r="O14">
            <v>3964</v>
          </cell>
          <cell r="Q14">
            <v>3636</v>
          </cell>
          <cell r="S14">
            <v>4349</v>
          </cell>
          <cell r="U14" t="str">
            <v>...</v>
          </cell>
          <cell r="V14" t="str">
            <v>...</v>
          </cell>
        </row>
        <row r="15">
          <cell r="B15" t="str">
            <v>By creditor</v>
          </cell>
        </row>
        <row r="16">
          <cell r="C16" t="str">
            <v>Banks</v>
          </cell>
          <cell r="E16">
            <v>1373</v>
          </cell>
          <cell r="G16">
            <v>1273</v>
          </cell>
          <cell r="I16">
            <v>2193</v>
          </cell>
          <cell r="K16">
            <v>2250</v>
          </cell>
          <cell r="M16">
            <v>2298</v>
          </cell>
          <cell r="O16">
            <v>2766</v>
          </cell>
          <cell r="Q16">
            <v>4429</v>
          </cell>
          <cell r="S16">
            <v>8207</v>
          </cell>
          <cell r="U16">
            <v>11009</v>
          </cell>
          <cell r="V16">
            <v>10982</v>
          </cell>
        </row>
        <row r="17">
          <cell r="B17" t="str">
            <v>Governments</v>
          </cell>
          <cell r="E17">
            <v>5</v>
          </cell>
          <cell r="G17">
            <v>0</v>
          </cell>
          <cell r="I17">
            <v>0</v>
          </cell>
          <cell r="K17">
            <v>59</v>
          </cell>
          <cell r="M17">
            <v>231</v>
          </cell>
          <cell r="O17">
            <v>245</v>
          </cell>
          <cell r="Q17">
            <v>267</v>
          </cell>
          <cell r="S17">
            <v>265</v>
          </cell>
          <cell r="U17">
            <v>243</v>
          </cell>
          <cell r="V17">
            <v>219</v>
          </cell>
        </row>
        <row r="18">
          <cell r="C18" t="str">
            <v>Multilateral institutions</v>
          </cell>
          <cell r="E18">
            <v>0</v>
          </cell>
          <cell r="G18">
            <v>0</v>
          </cell>
          <cell r="I18">
            <v>0</v>
          </cell>
          <cell r="K18">
            <v>1177</v>
          </cell>
          <cell r="M18">
            <v>1594</v>
          </cell>
          <cell r="O18">
            <v>1766</v>
          </cell>
          <cell r="Q18">
            <v>709</v>
          </cell>
          <cell r="S18">
            <v>714</v>
          </cell>
          <cell r="U18">
            <v>646</v>
          </cell>
          <cell r="V18">
            <v>559</v>
          </cell>
        </row>
        <row r="19">
          <cell r="C19" t="str">
            <v>Suppliers' credits</v>
          </cell>
          <cell r="E19">
            <v>322</v>
          </cell>
          <cell r="G19">
            <v>488</v>
          </cell>
          <cell r="I19">
            <v>1192</v>
          </cell>
          <cell r="K19">
            <v>911</v>
          </cell>
          <cell r="M19">
            <v>1020</v>
          </cell>
          <cell r="O19">
            <v>863</v>
          </cell>
          <cell r="Q19">
            <v>1162</v>
          </cell>
          <cell r="S19">
            <v>923</v>
          </cell>
          <cell r="U19">
            <v>992</v>
          </cell>
          <cell r="V19">
            <v>1077</v>
          </cell>
        </row>
        <row r="20">
          <cell r="C20" t="str">
            <v>Other investors</v>
          </cell>
          <cell r="E20">
            <v>236</v>
          </cell>
          <cell r="G20">
            <v>74</v>
          </cell>
          <cell r="I20">
            <v>172</v>
          </cell>
          <cell r="K20">
            <v>168</v>
          </cell>
          <cell r="M20">
            <v>141</v>
          </cell>
          <cell r="O20">
            <v>855</v>
          </cell>
          <cell r="Q20">
            <v>1239</v>
          </cell>
          <cell r="S20">
            <v>1396</v>
          </cell>
          <cell r="U20">
            <v>1933</v>
          </cell>
          <cell r="V20">
            <v>2101</v>
          </cell>
        </row>
        <row r="22">
          <cell r="B22" t="str">
            <v>By debtor</v>
          </cell>
        </row>
        <row r="23">
          <cell r="C23" t="str">
            <v>Banks</v>
          </cell>
          <cell r="O23">
            <v>2504</v>
          </cell>
          <cell r="Q23">
            <v>1799</v>
          </cell>
          <cell r="S23">
            <v>4425</v>
          </cell>
          <cell r="U23">
            <v>5926</v>
          </cell>
          <cell r="V23">
            <v>5824</v>
          </cell>
        </row>
        <row r="24">
          <cell r="C24" t="str">
            <v>Of which: commercial banks</v>
          </cell>
          <cell r="O24">
            <v>540</v>
          </cell>
          <cell r="Q24">
            <v>985</v>
          </cell>
          <cell r="S24">
            <v>3588</v>
          </cell>
          <cell r="U24">
            <v>5517</v>
          </cell>
          <cell r="V24">
            <v>5445</v>
          </cell>
        </row>
        <row r="25">
          <cell r="C25" t="str">
            <v>Government</v>
          </cell>
          <cell r="O25">
            <v>1986</v>
          </cell>
          <cell r="Q25">
            <v>2202</v>
          </cell>
          <cell r="S25">
            <v>1959</v>
          </cell>
          <cell r="U25">
            <v>1710</v>
          </cell>
          <cell r="V25">
            <v>1431</v>
          </cell>
        </row>
        <row r="26">
          <cell r="C26" t="str">
            <v>Corporations and other</v>
          </cell>
          <cell r="O26">
            <v>2004</v>
          </cell>
          <cell r="Q26">
            <v>3805</v>
          </cell>
          <cell r="S26">
            <v>5121</v>
          </cell>
          <cell r="U26">
            <v>7187</v>
          </cell>
          <cell r="V26">
            <v>7683</v>
          </cell>
        </row>
        <row r="28">
          <cell r="B28" t="str">
            <v xml:space="preserve">Short-term </v>
          </cell>
          <cell r="E28">
            <v>3790</v>
          </cell>
          <cell r="G28">
            <v>1539</v>
          </cell>
          <cell r="I28">
            <v>2400</v>
          </cell>
          <cell r="K28">
            <v>2143</v>
          </cell>
          <cell r="M28">
            <v>1798</v>
          </cell>
          <cell r="O28">
            <v>2002</v>
          </cell>
          <cell r="Q28">
            <v>2888</v>
          </cell>
          <cell r="S28">
            <v>5045</v>
          </cell>
          <cell r="U28">
            <v>6022</v>
          </cell>
          <cell r="V28">
            <v>6065</v>
          </cell>
        </row>
        <row r="29">
          <cell r="B29" t="str">
            <v>Of which: liabilities in CZK</v>
          </cell>
          <cell r="S29">
            <v>757</v>
          </cell>
          <cell r="U29">
            <v>1783</v>
          </cell>
          <cell r="V29">
            <v>1600</v>
          </cell>
        </row>
        <row r="31">
          <cell r="C31" t="str">
            <v>Total</v>
          </cell>
          <cell r="E31">
            <v>5726</v>
          </cell>
          <cell r="G31">
            <v>3374</v>
          </cell>
          <cell r="I31">
            <v>5957</v>
          </cell>
          <cell r="K31">
            <v>6708</v>
          </cell>
          <cell r="M31">
            <v>7082</v>
          </cell>
          <cell r="O31">
            <v>8496</v>
          </cell>
          <cell r="Q31">
            <v>10694</v>
          </cell>
          <cell r="S31">
            <v>16549</v>
          </cell>
          <cell r="U31">
            <v>20845</v>
          </cell>
          <cell r="V31">
            <v>21003</v>
          </cell>
        </row>
        <row r="33">
          <cell r="A33" t="str">
            <v>Debt in nonconvertible currencies 1/</v>
          </cell>
        </row>
        <row r="34">
          <cell r="B34" t="str">
            <v>Medium- and long-term</v>
          </cell>
          <cell r="E34">
            <v>125</v>
          </cell>
          <cell r="G34">
            <v>54</v>
          </cell>
          <cell r="I34">
            <v>39</v>
          </cell>
          <cell r="K34">
            <v>33</v>
          </cell>
          <cell r="M34">
            <v>344</v>
          </cell>
          <cell r="O34">
            <v>770</v>
          </cell>
          <cell r="Q34">
            <v>812</v>
          </cell>
          <cell r="S34">
            <v>357</v>
          </cell>
          <cell r="U34">
            <v>324</v>
          </cell>
          <cell r="V34">
            <v>271</v>
          </cell>
        </row>
        <row r="35">
          <cell r="B35" t="str">
            <v>Short-term</v>
          </cell>
          <cell r="E35">
            <v>659</v>
          </cell>
          <cell r="G35">
            <v>750</v>
          </cell>
          <cell r="I35">
            <v>1032</v>
          </cell>
          <cell r="K35">
            <v>1510</v>
          </cell>
          <cell r="M35">
            <v>27</v>
          </cell>
          <cell r="O35">
            <v>7</v>
          </cell>
          <cell r="Q35">
            <v>245</v>
          </cell>
          <cell r="S35">
            <v>0</v>
          </cell>
          <cell r="U35">
            <v>0</v>
          </cell>
          <cell r="V35">
            <v>0</v>
          </cell>
        </row>
        <row r="37">
          <cell r="C37" t="str">
            <v>Total</v>
          </cell>
          <cell r="E37">
            <v>784</v>
          </cell>
          <cell r="G37">
            <v>804</v>
          </cell>
          <cell r="I37">
            <v>1071</v>
          </cell>
          <cell r="K37">
            <v>1543</v>
          </cell>
          <cell r="M37">
            <v>371</v>
          </cell>
          <cell r="O37">
            <v>776</v>
          </cell>
          <cell r="Q37">
            <v>1057</v>
          </cell>
          <cell r="S37">
            <v>357</v>
          </cell>
          <cell r="U37">
            <v>324</v>
          </cell>
          <cell r="V37">
            <v>271</v>
          </cell>
        </row>
        <row r="39">
          <cell r="A39" t="str">
            <v>Total debt 2/</v>
          </cell>
          <cell r="E39">
            <v>6510</v>
          </cell>
          <cell r="G39">
            <v>4178</v>
          </cell>
          <cell r="I39">
            <v>7028</v>
          </cell>
          <cell r="K39">
            <v>8251</v>
          </cell>
          <cell r="M39">
            <v>7453</v>
          </cell>
          <cell r="O39">
            <v>9605</v>
          </cell>
          <cell r="Q39">
            <v>12210</v>
          </cell>
          <cell r="S39">
            <v>17190</v>
          </cell>
          <cell r="U39">
            <v>21181</v>
          </cell>
          <cell r="V39">
            <v>21282</v>
          </cell>
        </row>
        <row r="40">
          <cell r="B40" t="str">
            <v>Medium- and long-term</v>
          </cell>
          <cell r="E40">
            <v>2061</v>
          </cell>
          <cell r="G40">
            <v>1889</v>
          </cell>
          <cell r="I40">
            <v>3596</v>
          </cell>
          <cell r="K40">
            <v>4598</v>
          </cell>
          <cell r="M40">
            <v>5627</v>
          </cell>
          <cell r="O40">
            <v>7278</v>
          </cell>
          <cell r="Q40">
            <v>8629</v>
          </cell>
          <cell r="S40">
            <v>11898</v>
          </cell>
          <cell r="U40">
            <v>15148</v>
          </cell>
          <cell r="V40">
            <v>15208</v>
          </cell>
        </row>
        <row r="41">
          <cell r="B41" t="str">
            <v>Short-term</v>
          </cell>
          <cell r="E41">
            <v>4449</v>
          </cell>
          <cell r="G41">
            <v>2289</v>
          </cell>
          <cell r="I41">
            <v>3432</v>
          </cell>
          <cell r="K41">
            <v>3653</v>
          </cell>
          <cell r="M41">
            <v>1826</v>
          </cell>
          <cell r="O41">
            <v>2327</v>
          </cell>
          <cell r="Q41">
            <v>3580</v>
          </cell>
          <cell r="S41">
            <v>5292</v>
          </cell>
          <cell r="U41">
            <v>6033</v>
          </cell>
          <cell r="V41">
            <v>6074</v>
          </cell>
        </row>
        <row r="44">
          <cell r="B44" t="str">
            <v>Source: Data provided by the Czech National Bank.</v>
          </cell>
        </row>
        <row r="46">
          <cell r="B46" t="str">
            <v>1/  Excluding the Slovak Republic. Total debt to the Slovak Republic at the end of 1995 was US$285 million, of which US$247 million was short-term, and</v>
          </cell>
        </row>
        <row r="47">
          <cell r="B47" t="str">
            <v>the remainder medium- and long-term. At end-June 1997, this figure had fallen to US$8.4 million, all of which was short-term.</v>
          </cell>
        </row>
        <row r="48">
          <cell r="B48" t="str">
            <v>2/  Includes debt vis-à-vis the Slovak Republic from 1993.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e9"/>
      <sheetName val="IFRS"/>
      <sheetName val="Macroframework-Ver.1"/>
      <sheetName val="SUMMARY"/>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e9"/>
      <sheetName val="Main"/>
      <sheetName val="Links"/>
      <sheetName val="ErrCheck"/>
      <sheetName val="Contents"/>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sheetDataSet>
      <sheetData sheetId="0"/>
      <sheetData sheetId="1"/>
      <sheetData sheetId="2"/>
      <sheetData sheetId="3" refreshError="1">
        <row r="1">
          <cell r="A1" t="str">
            <v>.</v>
          </cell>
          <cell r="J1" t="str">
            <v>Medium Term Forecast - Revenues-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row>
        <row r="3">
          <cell r="A3" t="str">
            <v>General government 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cell r="X3">
            <v>1531.7805853333227</v>
          </cell>
        </row>
        <row r="4">
          <cell r="F4" t="str">
            <v>% of GDP</v>
          </cell>
          <cell r="G4">
            <v>42.634680419343937</v>
          </cell>
          <cell r="H4">
            <v>41.878792267033525</v>
          </cell>
          <cell r="I4">
            <v>40.35126884182408</v>
          </cell>
          <cell r="J4">
            <v>39.677013422818789</v>
          </cell>
          <cell r="K4">
            <v>39.279653005616417</v>
          </cell>
          <cell r="L4">
            <v>41.427140529869853</v>
          </cell>
          <cell r="M4">
            <v>40.458995943653996</v>
          </cell>
          <cell r="N4">
            <v>40.157195639782024</v>
          </cell>
          <cell r="O4">
            <v>39.845198170401176</v>
          </cell>
          <cell r="P4">
            <v>39.68628784384201</v>
          </cell>
          <cell r="Q4">
            <v>39.416170315723292</v>
          </cell>
          <cell r="R4">
            <v>39.119525910945981</v>
          </cell>
          <cell r="S4">
            <v>39.004572034655979</v>
          </cell>
          <cell r="T4">
            <v>38.924454152669036</v>
          </cell>
          <cell r="U4">
            <v>38.879348694106085</v>
          </cell>
          <cell r="V4">
            <v>38.869515449185975</v>
          </cell>
          <cell r="W4">
            <v>38.856362186228374</v>
          </cell>
          <cell r="X4">
            <v>38.846183666553749</v>
          </cell>
        </row>
        <row r="5">
          <cell r="B5" t="str">
            <v>Total Revenue</v>
          </cell>
          <cell r="G5">
            <v>497.983</v>
          </cell>
          <cell r="H5">
            <v>572.91300000000001</v>
          </cell>
          <cell r="I5">
            <v>626.18299999999999</v>
          </cell>
          <cell r="J5">
            <v>652.98199999999997</v>
          </cell>
          <cell r="K5">
            <v>696.58299999999997</v>
          </cell>
          <cell r="L5">
            <v>729.56404208000004</v>
          </cell>
          <cell r="M5">
            <v>762.60500000000002</v>
          </cell>
          <cell r="N5">
            <v>802.366624840501</v>
          </cell>
          <cell r="O5">
            <v>850.27050190742818</v>
          </cell>
          <cell r="P5">
            <v>906.25027676494369</v>
          </cell>
          <cell r="Q5">
            <v>966.52796093207962</v>
          </cell>
          <cell r="R5">
            <v>1026.6340725240343</v>
          </cell>
          <cell r="S5">
            <v>1093.7949781189118</v>
          </cell>
          <cell r="T5">
            <v>1166.3751010798617</v>
          </cell>
          <cell r="U5">
            <v>1244.8780347131476</v>
          </cell>
          <cell r="V5">
            <v>1329.8593605922474</v>
          </cell>
          <cell r="W5">
            <v>1420.494956594305</v>
          </cell>
          <cell r="X5">
            <v>1517.4000820462416</v>
          </cell>
        </row>
        <row r="6">
          <cell r="F6" t="str">
            <v>% of GDP</v>
          </cell>
          <cell r="G6">
            <v>42.102045992560029</v>
          </cell>
          <cell r="H6">
            <v>41.482369126058941</v>
          </cell>
          <cell r="I6">
            <v>39.82592380588946</v>
          </cell>
          <cell r="J6">
            <v>39.128835091083417</v>
          </cell>
          <cell r="K6">
            <v>38.735639214813986</v>
          </cell>
          <cell r="L6">
            <v>39.730111750803246</v>
          </cell>
          <cell r="M6">
            <v>39.74841814187176</v>
          </cell>
          <cell r="N6">
            <v>39.475040950071076</v>
          </cell>
          <cell r="O6">
            <v>39.190329668278672</v>
          </cell>
          <cell r="P6">
            <v>39.077260136868084</v>
          </cell>
          <cell r="Q6">
            <v>38.868045379446755</v>
          </cell>
          <cell r="R6">
            <v>38.653619715110928</v>
          </cell>
          <cell r="S6">
            <v>38.557302086654325</v>
          </cell>
          <cell r="T6">
            <v>38.495075002587456</v>
          </cell>
          <cell r="U6">
            <v>38.46714471002776</v>
          </cell>
          <cell r="V6">
            <v>38.473799624470786</v>
          </cell>
          <cell r="W6">
            <v>38.476474994501785</v>
          </cell>
          <cell r="X6">
            <v>38.481491962496222</v>
          </cell>
        </row>
        <row r="7">
          <cell r="C7" t="str">
            <v>Tax Revenue</v>
          </cell>
          <cell r="G7">
            <v>446.09099999999995</v>
          </cell>
          <cell r="H7">
            <v>511.20300000000003</v>
          </cell>
          <cell r="I7">
            <v>568.88</v>
          </cell>
          <cell r="J7">
            <v>607.73199999999997</v>
          </cell>
          <cell r="K7">
            <v>648.02599999999995</v>
          </cell>
          <cell r="L7">
            <v>682.05501575000005</v>
          </cell>
          <cell r="M7">
            <v>715.30799999999999</v>
          </cell>
          <cell r="N7">
            <v>754.26327781874306</v>
          </cell>
          <cell r="O7">
            <v>800.97872683578771</v>
          </cell>
          <cell r="P7">
            <v>855.6687957159387</v>
          </cell>
          <cell r="Q7">
            <v>914.46121336658859</v>
          </cell>
          <cell r="R7">
            <v>973.24707885387454</v>
          </cell>
          <cell r="S7">
            <v>1039.0542611276567</v>
          </cell>
          <cell r="T7">
            <v>1110.2463346760028</v>
          </cell>
          <cell r="U7">
            <v>1187.3260224053392</v>
          </cell>
          <cell r="V7">
            <v>1270.8480134187523</v>
          </cell>
          <cell r="W7">
            <v>1359.9872704928011</v>
          </cell>
          <cell r="X7">
            <v>1455.3581146497991</v>
          </cell>
        </row>
        <row r="8">
          <cell r="F8" t="str">
            <v>% of GDP</v>
          </cell>
          <cell r="G8">
            <v>37.714829218802834</v>
          </cell>
          <cell r="H8">
            <v>37.014191586416629</v>
          </cell>
          <cell r="I8">
            <v>36.181390319913504</v>
          </cell>
          <cell r="J8">
            <v>36.417305848513905</v>
          </cell>
          <cell r="K8">
            <v>36.035477951398541</v>
          </cell>
          <cell r="L8">
            <v>37.142896898654911</v>
          </cell>
          <cell r="M8">
            <v>37.28320884891393</v>
          </cell>
          <cell r="N8">
            <v>37.108440028831559</v>
          </cell>
          <cell r="O8">
            <v>36.918392783888734</v>
          </cell>
          <cell r="P8">
            <v>36.896200727853738</v>
          </cell>
          <cell r="Q8">
            <v>36.774228346792988</v>
          </cell>
          <cell r="R8">
            <v>36.643555363763305</v>
          </cell>
          <cell r="S8">
            <v>36.627640309360622</v>
          </cell>
          <cell r="T8">
            <v>36.642599696385489</v>
          </cell>
          <cell r="U8">
            <v>36.688768416073877</v>
          </cell>
          <cell r="V8">
            <v>36.766558382275058</v>
          </cell>
          <cell r="W8">
            <v>36.837523401993892</v>
          </cell>
          <cell r="X8">
            <v>36.908098433688643</v>
          </cell>
        </row>
        <row r="9">
          <cell r="D9" t="str">
            <v>Indirect taxes</v>
          </cell>
          <cell r="G9">
            <v>154.88900000000001</v>
          </cell>
          <cell r="H9">
            <v>173.60899999999998</v>
          </cell>
          <cell r="I9">
            <v>196.21100000000001</v>
          </cell>
          <cell r="J9">
            <v>208.41200000000001</v>
          </cell>
          <cell r="K9">
            <v>212.16800000000001</v>
          </cell>
          <cell r="L9">
            <v>234.79711571999997</v>
          </cell>
          <cell r="M9">
            <v>249.64</v>
          </cell>
          <cell r="N9">
            <v>265.80868664785709</v>
          </cell>
          <cell r="O9">
            <v>283.86286031860004</v>
          </cell>
          <cell r="P9">
            <v>304.4191823242781</v>
          </cell>
          <cell r="Q9">
            <v>325.64724249310785</v>
          </cell>
          <cell r="R9">
            <v>345.16488741836622</v>
          </cell>
          <cell r="S9">
            <v>363.4316290499869</v>
          </cell>
          <cell r="T9">
            <v>382.83755093129491</v>
          </cell>
          <cell r="U9">
            <v>403.45812449159246</v>
          </cell>
          <cell r="V9">
            <v>425.37391766411685</v>
          </cell>
          <cell r="W9">
            <v>448.67094102596923</v>
          </cell>
          <cell r="X9">
            <v>473.44101748668203</v>
          </cell>
        </row>
        <row r="10">
          <cell r="F10" t="str">
            <v>tax growth</v>
          </cell>
          <cell r="H10">
            <v>112.08607454370548</v>
          </cell>
          <cell r="I10">
            <v>113.01891030994939</v>
          </cell>
          <cell r="J10">
            <v>106.21830580344628</v>
          </cell>
          <cell r="K10">
            <v>101.80219948947278</v>
          </cell>
          <cell r="L10">
            <v>110.66565915689452</v>
          </cell>
          <cell r="M10">
            <v>106.32157862522487</v>
          </cell>
          <cell r="N10">
            <v>106.4768012529471</v>
          </cell>
          <cell r="O10">
            <v>106.79216841948475</v>
          </cell>
          <cell r="P10">
            <v>107.24163843857777</v>
          </cell>
          <cell r="Q10">
            <v>106.97329912220081</v>
          </cell>
          <cell r="R10">
            <v>105.99349307423398</v>
          </cell>
          <cell r="S10">
            <v>105.29217840442733</v>
          </cell>
          <cell r="T10">
            <v>105.33963483916776</v>
          </cell>
          <cell r="U10">
            <v>105.38624633611194</v>
          </cell>
          <cell r="V10">
            <v>105.43198707428212</v>
          </cell>
          <cell r="W10">
            <v>105.47683400284269</v>
          </cell>
          <cell r="X10">
            <v>105.52076682391586</v>
          </cell>
        </row>
        <row r="11">
          <cell r="F11" t="str">
            <v>% of GDP</v>
          </cell>
          <cell r="G11">
            <v>13.095113290497126</v>
          </cell>
          <cell r="H11">
            <v>12.57034248063138</v>
          </cell>
          <cell r="I11">
            <v>12.479234242828978</v>
          </cell>
          <cell r="J11">
            <v>12.488734419942475</v>
          </cell>
          <cell r="K11">
            <v>11.79825390646722</v>
          </cell>
          <cell r="L11">
            <v>12.786424643032182</v>
          </cell>
          <cell r="M11">
            <v>13.011710000507296</v>
          </cell>
          <cell r="N11">
            <v>13.077324586369219</v>
          </cell>
          <cell r="O11">
            <v>13.083694014446307</v>
          </cell>
          <cell r="P11">
            <v>13.126470560432113</v>
          </cell>
          <cell r="Q11">
            <v>13.095608518875821</v>
          </cell>
          <cell r="R11">
            <v>12.99574274256932</v>
          </cell>
          <cell r="S11">
            <v>12.81130686230105</v>
          </cell>
          <cell r="T11">
            <v>12.635180760685685</v>
          </cell>
          <cell r="U11">
            <v>12.466990039574977</v>
          </cell>
          <cell r="V11">
            <v>12.306377169385</v>
          </cell>
          <cell r="W11">
            <v>12.153000729080169</v>
          </cell>
          <cell r="X11">
            <v>12.006534680399858</v>
          </cell>
        </row>
        <row r="12">
          <cell r="E12" t="str">
            <v>VAT</v>
          </cell>
          <cell r="G12">
            <v>85.849000000000004</v>
          </cell>
          <cell r="H12">
            <v>94.801000000000002</v>
          </cell>
          <cell r="I12">
            <v>109.313</v>
          </cell>
          <cell r="J12">
            <v>117.65600000000001</v>
          </cell>
          <cell r="K12">
            <v>119.395</v>
          </cell>
          <cell r="L12">
            <v>138.33062853999999</v>
          </cell>
          <cell r="M12">
            <v>149.9</v>
          </cell>
          <cell r="N12">
            <v>165.4778309305448</v>
          </cell>
          <cell r="O12">
            <v>182.01858971882291</v>
          </cell>
          <cell r="P12">
            <v>200.40050901070742</v>
          </cell>
          <cell r="Q12">
            <v>219.17785233654243</v>
          </cell>
          <cell r="R12">
            <v>236.44047532885037</v>
          </cell>
          <cell r="S12">
            <v>252.53734288923849</v>
          </cell>
          <cell r="T12">
            <v>269.73008519313782</v>
          </cell>
          <cell r="U12">
            <v>288.09330939308666</v>
          </cell>
          <cell r="V12">
            <v>307.70670189656795</v>
          </cell>
          <cell r="W12">
            <v>328.65537416168627</v>
          </cell>
          <cell r="X12">
            <v>351.03023203461385</v>
          </cell>
        </row>
        <row r="13">
          <cell r="F13" t="str">
            <v>tax growth</v>
          </cell>
          <cell r="H13">
            <v>110.42761127095248</v>
          </cell>
          <cell r="I13">
            <v>115.30785540236917</v>
          </cell>
          <cell r="J13">
            <v>107.63221208822374</v>
          </cell>
          <cell r="K13">
            <v>101.47803766913714</v>
          </cell>
          <cell r="L13">
            <v>115.85964951631141</v>
          </cell>
          <cell r="M13">
            <v>108.36356458588243</v>
          </cell>
          <cell r="N13">
            <v>110.39214871950954</v>
          </cell>
          <cell r="O13">
            <v>109.99575513847573</v>
          </cell>
          <cell r="P13">
            <v>110.09892413751825</v>
          </cell>
          <cell r="Q13">
            <v>109.36990800000001</v>
          </cell>
          <cell r="R13">
            <v>107.87608</v>
          </cell>
          <cell r="S13">
            <v>106.80799999999999</v>
          </cell>
          <cell r="T13">
            <v>106.80799999999999</v>
          </cell>
          <cell r="U13">
            <v>106.80800000000002</v>
          </cell>
          <cell r="V13">
            <v>106.80799999999999</v>
          </cell>
          <cell r="W13">
            <v>106.80799999999999</v>
          </cell>
          <cell r="X13">
            <v>106.80799999999999</v>
          </cell>
        </row>
        <row r="14">
          <cell r="F14" t="str">
            <v>nom. GDP growth</v>
          </cell>
          <cell r="H14">
            <v>116.76530267162664</v>
          </cell>
          <cell r="I14">
            <v>113.84403736152342</v>
          </cell>
          <cell r="J14">
            <v>106.13750556509571</v>
          </cell>
          <cell r="K14">
            <v>107.76006711409396</v>
          </cell>
          <cell r="L14">
            <v>102.11310682311073</v>
          </cell>
          <cell r="M14">
            <v>104.48072182416119</v>
          </cell>
          <cell r="N14">
            <v>105.94256115116079</v>
          </cell>
          <cell r="O14">
            <v>106.7401796588799</v>
          </cell>
          <cell r="P14">
            <v>106.89215935681382</v>
          </cell>
          <cell r="Q14">
            <v>107.22540000000001</v>
          </cell>
          <cell r="R14">
            <v>106.80799999999999</v>
          </cell>
          <cell r="S14">
            <v>106.80799999999999</v>
          </cell>
          <cell r="T14">
            <v>106.80799999999999</v>
          </cell>
          <cell r="U14">
            <v>106.80799999999999</v>
          </cell>
          <cell r="V14">
            <v>106.80799999999999</v>
          </cell>
          <cell r="W14">
            <v>106.80799999999999</v>
          </cell>
          <cell r="X14">
            <v>106.80799999999999</v>
          </cell>
        </row>
        <row r="15">
          <cell r="F15" t="str">
            <v>Scale</v>
          </cell>
          <cell r="H15">
            <v>0.94572281957340243</v>
          </cell>
          <cell r="I15">
            <v>1.0128581002112325</v>
          </cell>
          <cell r="J15">
            <v>1.0140827364951714</v>
          </cell>
          <cell r="K15">
            <v>0.94170354925349531</v>
          </cell>
          <cell r="L15">
            <v>1.1346207467471698</v>
          </cell>
          <cell r="M15">
            <v>1.0371632459455629</v>
          </cell>
          <cell r="N15">
            <v>1.042</v>
          </cell>
          <cell r="O15">
            <v>1.0305</v>
          </cell>
          <cell r="P15">
            <v>1.03</v>
          </cell>
          <cell r="Q15">
            <v>1.02</v>
          </cell>
          <cell r="R15">
            <v>1.01</v>
          </cell>
          <cell r="S15">
            <v>1</v>
          </cell>
          <cell r="T15">
            <v>1</v>
          </cell>
          <cell r="U15">
            <v>1</v>
          </cell>
          <cell r="V15">
            <v>1</v>
          </cell>
          <cell r="W15">
            <v>1</v>
          </cell>
          <cell r="X15">
            <v>1</v>
          </cell>
          <cell r="Z15" t="str">
            <v>stagnace poměru přírůstku HDP a výběru daně</v>
          </cell>
        </row>
        <row r="16">
          <cell r="F16" t="str">
            <v>% of GDP</v>
          </cell>
          <cell r="G16">
            <v>7.2581163341224215</v>
          </cell>
          <cell r="H16">
            <v>6.8641662442980245</v>
          </cell>
          <cell r="I16">
            <v>6.9524263817337655</v>
          </cell>
          <cell r="J16">
            <v>7.0503355704697999</v>
          </cell>
          <cell r="K16">
            <v>6.6393260301395767</v>
          </cell>
          <cell r="L16">
            <v>7.5331170582148888</v>
          </cell>
          <cell r="M16">
            <v>7.8130721401860432</v>
          </cell>
          <cell r="N16">
            <v>8.141221170073857</v>
          </cell>
          <cell r="O16">
            <v>8.3895284157611076</v>
          </cell>
          <cell r="P16">
            <v>8.6412142682339415</v>
          </cell>
          <cell r="Q16">
            <v>8.8140385535986212</v>
          </cell>
          <cell r="R16">
            <v>8.9021789391346076</v>
          </cell>
          <cell r="S16">
            <v>8.9021789391346076</v>
          </cell>
          <cell r="T16">
            <v>8.9021789391346076</v>
          </cell>
          <cell r="U16">
            <v>8.9021789391346076</v>
          </cell>
          <cell r="V16">
            <v>8.9021789391346076</v>
          </cell>
          <cell r="W16">
            <v>8.9021789391346076</v>
          </cell>
          <cell r="X16">
            <v>8.9021789391346076</v>
          </cell>
        </row>
        <row r="17">
          <cell r="E17" t="str">
            <v>Excises</v>
          </cell>
          <cell r="G17">
            <v>46.36</v>
          </cell>
          <cell r="H17">
            <v>56.65</v>
          </cell>
          <cell r="I17">
            <v>61.17</v>
          </cell>
          <cell r="J17">
            <v>64.171999999999997</v>
          </cell>
          <cell r="K17">
            <v>67.802000000000007</v>
          </cell>
          <cell r="L17">
            <v>73.143358329999998</v>
          </cell>
          <cell r="M17">
            <v>77.599999999999994</v>
          </cell>
          <cell r="N17">
            <v>77.813399999999987</v>
          </cell>
          <cell r="O17">
            <v>78.770504819999985</v>
          </cell>
          <cell r="P17">
            <v>80.341188686110797</v>
          </cell>
          <cell r="Q17">
            <v>82.096643658902309</v>
          </cell>
          <cell r="R17">
            <v>83.73365073346082</v>
          </cell>
          <cell r="S17">
            <v>85.403299729086029</v>
          </cell>
          <cell r="T17">
            <v>87.106241525684013</v>
          </cell>
          <cell r="U17">
            <v>88.843139981706173</v>
          </cell>
          <cell r="V17">
            <v>90.614672192941399</v>
          </cell>
          <cell r="W17">
            <v>92.421528756468661</v>
          </cell>
          <cell r="X17">
            <v>94.264414039872634</v>
          </cell>
        </row>
        <row r="18">
          <cell r="F18" t="str">
            <v>tax growth</v>
          </cell>
          <cell r="H18">
            <v>122.19585849870577</v>
          </cell>
          <cell r="I18">
            <v>107.97881729920566</v>
          </cell>
          <cell r="J18">
            <v>104.90763446133724</v>
          </cell>
          <cell r="K18">
            <v>105.65667269213989</v>
          </cell>
          <cell r="L18">
            <v>107.87787724550897</v>
          </cell>
          <cell r="M18">
            <v>106.09302303278587</v>
          </cell>
          <cell r="N18">
            <v>100.27499999999998</v>
          </cell>
          <cell r="O18">
            <v>101.23</v>
          </cell>
          <cell r="P18">
            <v>101.994</v>
          </cell>
          <cell r="Q18">
            <v>102.18499999999999</v>
          </cell>
          <cell r="R18">
            <v>101.994</v>
          </cell>
          <cell r="S18">
            <v>101.994</v>
          </cell>
          <cell r="T18">
            <v>101.994</v>
          </cell>
          <cell r="U18">
            <v>101.99400000000003</v>
          </cell>
          <cell r="V18">
            <v>101.994</v>
          </cell>
          <cell r="W18">
            <v>101.994</v>
          </cell>
          <cell r="X18">
            <v>101.99399999999999</v>
          </cell>
        </row>
        <row r="19">
          <cell r="F19" t="str">
            <v>nom. wage growth</v>
          </cell>
          <cell r="I19">
            <v>117.90543495729051</v>
          </cell>
          <cell r="J19">
            <v>107.5968433184494</v>
          </cell>
          <cell r="K19">
            <v>106.54237228343221</v>
          </cell>
          <cell r="L19">
            <v>103.13840120886117</v>
          </cell>
          <cell r="M19">
            <v>104.5</v>
          </cell>
          <cell r="N19">
            <v>105</v>
          </cell>
          <cell r="O19">
            <v>106</v>
          </cell>
          <cell r="P19">
            <v>106.80000000000001</v>
          </cell>
          <cell r="Q19">
            <v>107</v>
          </cell>
          <cell r="R19">
            <v>106.80000000000001</v>
          </cell>
          <cell r="S19">
            <v>106.80000000000001</v>
          </cell>
          <cell r="T19">
            <v>106.80000000000001</v>
          </cell>
          <cell r="U19">
            <v>106.80000000000001</v>
          </cell>
          <cell r="V19">
            <v>106.80000000000001</v>
          </cell>
          <cell r="W19">
            <v>106.80000000000001</v>
          </cell>
          <cell r="X19">
            <v>106.80000000000001</v>
          </cell>
        </row>
        <row r="20">
          <cell r="F20" t="str">
            <v>Scale</v>
          </cell>
          <cell r="I20">
            <v>0.91580865070655459</v>
          </cell>
          <cell r="J20">
            <v>0.97500661939353517</v>
          </cell>
          <cell r="K20">
            <v>0.99168687938601441</v>
          </cell>
          <cell r="L20">
            <v>1.045952583917314</v>
          </cell>
          <cell r="M20">
            <v>1.0152442395481902</v>
          </cell>
          <cell r="N20">
            <v>0.95499999999999996</v>
          </cell>
          <cell r="O20">
            <v>0.95499999999999996</v>
          </cell>
          <cell r="P20">
            <v>0.95499999999999996</v>
          </cell>
          <cell r="Q20">
            <v>0.95499999999999996</v>
          </cell>
          <cell r="R20">
            <v>0.95499999999999996</v>
          </cell>
          <cell r="S20">
            <v>0.95499999999999996</v>
          </cell>
          <cell r="T20">
            <v>0.95499999999999996</v>
          </cell>
          <cell r="U20">
            <v>0.95499999999999996</v>
          </cell>
          <cell r="V20">
            <v>0.95499999999999996</v>
          </cell>
          <cell r="W20">
            <v>0.95499999999999996</v>
          </cell>
          <cell r="X20">
            <v>0.95499999999999996</v>
          </cell>
          <cell r="Y20">
            <v>0.95499999999999996</v>
          </cell>
          <cell r="Z20" t="str">
            <v>pomalejší přírůstek daně než objemu mezd</v>
          </cell>
        </row>
        <row r="21">
          <cell r="F21" t="str">
            <v>% of GDP</v>
          </cell>
          <cell r="G21">
            <v>3.9195130199526549</v>
          </cell>
          <cell r="H21">
            <v>4.1018029107233369</v>
          </cell>
          <cell r="I21">
            <v>3.8904789162373596</v>
          </cell>
          <cell r="J21">
            <v>3.8453978906999038</v>
          </cell>
          <cell r="K21">
            <v>3.7703386531724412</v>
          </cell>
          <cell r="L21">
            <v>3.9831921978979468</v>
          </cell>
          <cell r="M21">
            <v>4.044659093251747</v>
          </cell>
          <cell r="N21">
            <v>3.8282837999086361</v>
          </cell>
          <cell r="O21">
            <v>3.6306587669539434</v>
          </cell>
          <cell r="P21">
            <v>3.4642897337361673</v>
          </cell>
          <cell r="Q21">
            <v>3.3014420691536728</v>
          </cell>
          <cell r="R21">
            <v>3.1526410231561277</v>
          </cell>
          <cell r="S21">
            <v>3.0105466680003938</v>
          </cell>
          <cell r="T21">
            <v>2.874856722867503</v>
          </cell>
          <cell r="U21">
            <v>2.7452825311975526</v>
          </cell>
          <cell r="V21">
            <v>2.6215484466235042</v>
          </cell>
          <cell r="W21">
            <v>2.5033912465818826</v>
          </cell>
          <cell r="X21">
            <v>2.3905595723529371</v>
          </cell>
        </row>
        <row r="22">
          <cell r="E22" t="str">
            <v>Other indirect taxes</v>
          </cell>
          <cell r="G22">
            <v>22.68</v>
          </cell>
          <cell r="H22">
            <v>22.158000000000001</v>
          </cell>
          <cell r="I22">
            <v>25.728000000000002</v>
          </cell>
          <cell r="J22">
            <v>26.584</v>
          </cell>
          <cell r="K22">
            <v>24.971</v>
          </cell>
          <cell r="L22">
            <v>23.32312885</v>
          </cell>
          <cell r="M22">
            <v>22.14</v>
          </cell>
          <cell r="N22">
            <v>22.51745571731232</v>
          </cell>
          <cell r="O22">
            <v>23.073765779777176</v>
          </cell>
          <cell r="P22">
            <v>23.677484627459897</v>
          </cell>
          <cell r="Q22">
            <v>24.372746497663091</v>
          </cell>
          <cell r="R22">
            <v>24.990761356055028</v>
          </cell>
          <cell r="S22">
            <v>25.490986431662364</v>
          </cell>
          <cell r="T22">
            <v>26.001224212473087</v>
          </cell>
          <cell r="U22">
            <v>26.521675116799631</v>
          </cell>
          <cell r="V22">
            <v>27.052543574607533</v>
          </cell>
          <cell r="W22">
            <v>27.594038107814306</v>
          </cell>
          <cell r="X22">
            <v>28.14637141219556</v>
          </cell>
        </row>
        <row r="23">
          <cell r="F23" t="str">
            <v>tax growth</v>
          </cell>
          <cell r="H23">
            <v>97.69841269841271</v>
          </cell>
          <cell r="I23">
            <v>116.11156241538045</v>
          </cell>
          <cell r="J23">
            <v>103.32711442786069</v>
          </cell>
          <cell r="K23">
            <v>93.932440565753836</v>
          </cell>
          <cell r="L23">
            <v>93.400860398061752</v>
          </cell>
          <cell r="M23">
            <v>94.927229285533883</v>
          </cell>
          <cell r="N23">
            <v>101.70485870511436</v>
          </cell>
          <cell r="O23">
            <v>102.47057247252469</v>
          </cell>
          <cell r="P23">
            <v>102.61647298254127</v>
          </cell>
          <cell r="Q23">
            <v>102.936384</v>
          </cell>
          <cell r="R23">
            <v>102.53567999999997</v>
          </cell>
          <cell r="S23">
            <v>102.00163999999998</v>
          </cell>
          <cell r="T23">
            <v>102.00163999999998</v>
          </cell>
          <cell r="U23">
            <v>102.00164000000001</v>
          </cell>
          <cell r="V23">
            <v>102.00163999999998</v>
          </cell>
          <cell r="W23">
            <v>102.00164000000001</v>
          </cell>
          <cell r="X23">
            <v>102.00164000000001</v>
          </cell>
        </row>
        <row r="24">
          <cell r="F24" t="str">
            <v>nom. GDP growth</v>
          </cell>
          <cell r="H24">
            <v>116.76530267162664</v>
          </cell>
          <cell r="I24">
            <v>113.84403736152342</v>
          </cell>
          <cell r="J24">
            <v>106.13750556509571</v>
          </cell>
          <cell r="K24">
            <v>107.76006711409396</v>
          </cell>
          <cell r="L24">
            <v>102.11310682311073</v>
          </cell>
          <cell r="M24">
            <v>104.48072182416119</v>
          </cell>
          <cell r="N24">
            <v>105.94256115116079</v>
          </cell>
          <cell r="O24">
            <v>106.7401796588799</v>
          </cell>
          <cell r="P24">
            <v>106.89215935681382</v>
          </cell>
          <cell r="Q24">
            <v>107.22540000000001</v>
          </cell>
          <cell r="R24">
            <v>106.80799999999999</v>
          </cell>
          <cell r="S24">
            <v>106.80799999999999</v>
          </cell>
          <cell r="T24">
            <v>106.80799999999999</v>
          </cell>
          <cell r="U24">
            <v>106.80799999999999</v>
          </cell>
          <cell r="V24">
            <v>106.80799999999999</v>
          </cell>
          <cell r="W24">
            <v>106.80799999999999</v>
          </cell>
          <cell r="X24">
            <v>106.80799999999999</v>
          </cell>
        </row>
        <row r="25">
          <cell r="F25" t="str">
            <v>Scale</v>
          </cell>
          <cell r="H25">
            <v>0.83670757034018217</v>
          </cell>
          <cell r="I25">
            <v>1.0199178200844745</v>
          </cell>
          <cell r="J25">
            <v>0.97352122492165261</v>
          </cell>
          <cell r="K25">
            <v>0.87168134802941666</v>
          </cell>
          <cell r="L25">
            <v>0.91468042941694949</v>
          </cell>
          <cell r="M25">
            <v>0.90856215030074516</v>
          </cell>
          <cell r="N25">
            <v>0.96</v>
          </cell>
          <cell r="O25">
            <v>0.96</v>
          </cell>
          <cell r="P25">
            <v>0.96</v>
          </cell>
          <cell r="Q25">
            <v>0.96</v>
          </cell>
          <cell r="R25">
            <v>0.96</v>
          </cell>
          <cell r="S25">
            <v>0.95499999999999996</v>
          </cell>
          <cell r="T25">
            <v>0.95499999999999996</v>
          </cell>
          <cell r="U25">
            <v>0.95499999999999996</v>
          </cell>
          <cell r="V25">
            <v>0.95499999999999996</v>
          </cell>
          <cell r="W25">
            <v>0.95499999999999996</v>
          </cell>
          <cell r="X25">
            <v>0.95499999999999996</v>
          </cell>
          <cell r="Z25" t="str">
            <v>pomalejší přírůstek daně než HDP</v>
          </cell>
        </row>
        <row r="26">
          <cell r="F26" t="str">
            <v>% of GDP</v>
          </cell>
          <cell r="G26">
            <v>1.9174839364220493</v>
          </cell>
          <cell r="H26">
            <v>1.6043733256100212</v>
          </cell>
          <cell r="I26">
            <v>1.6363289448578517</v>
          </cell>
          <cell r="J26">
            <v>1.5930009587727709</v>
          </cell>
          <cell r="K26">
            <v>1.3885892231552022</v>
          </cell>
          <cell r="L26">
            <v>1.2701153869193487</v>
          </cell>
          <cell r="M26">
            <v>1.1539787670695063</v>
          </cell>
          <cell r="N26">
            <v>1.107819616386726</v>
          </cell>
          <cell r="O26">
            <v>1.063506831731257</v>
          </cell>
          <cell r="P26">
            <v>1.0209665584620065</v>
          </cell>
          <cell r="Q26">
            <v>0.98012789612352635</v>
          </cell>
          <cell r="R26">
            <v>0.94092278027858511</v>
          </cell>
          <cell r="S26">
            <v>0.89858125516604859</v>
          </cell>
          <cell r="T26">
            <v>0.85814509868357647</v>
          </cell>
          <cell r="U26">
            <v>0.81952856924281547</v>
          </cell>
          <cell r="V26">
            <v>0.78264978362688875</v>
          </cell>
          <cell r="W26">
            <v>0.74743054336367876</v>
          </cell>
          <cell r="X26">
            <v>0.71379616891231312</v>
          </cell>
        </row>
        <row r="27">
          <cell r="D27" t="str">
            <v>Direct taxes</v>
          </cell>
          <cell r="G27">
            <v>118.27200000000001</v>
          </cell>
          <cell r="H27">
            <v>135.06900000000002</v>
          </cell>
          <cell r="I27">
            <v>142.35300000000001</v>
          </cell>
          <cell r="J27">
            <v>143.44400000000002</v>
          </cell>
          <cell r="K27">
            <v>162.476</v>
          </cell>
          <cell r="L27">
            <v>165.41858062</v>
          </cell>
          <cell r="M27">
            <v>170.3</v>
          </cell>
          <cell r="N27">
            <v>178.63068459015767</v>
          </cell>
          <cell r="O27">
            <v>189.04860705759239</v>
          </cell>
          <cell r="P27">
            <v>201.30800367731263</v>
          </cell>
          <cell r="Q27">
            <v>214.80943093489367</v>
          </cell>
          <cell r="R27">
            <v>229.11911659314683</v>
          </cell>
          <cell r="S27">
            <v>250.08829471501429</v>
          </cell>
          <cell r="T27">
            <v>273.51049284984299</v>
          </cell>
          <cell r="U27">
            <v>299.69141840738007</v>
          </cell>
          <cell r="V27">
            <v>328.97539259461468</v>
          </cell>
          <cell r="W27">
            <v>360.31275058254522</v>
          </cell>
          <cell r="X27">
            <v>394.07795706605651</v>
          </cell>
        </row>
        <row r="28">
          <cell r="F28" t="str">
            <v>% of GDP</v>
          </cell>
          <cell r="G28">
            <v>9.9993236388231317</v>
          </cell>
          <cell r="H28">
            <v>9.7798131923828855</v>
          </cell>
          <cell r="I28">
            <v>9.053806525472238</v>
          </cell>
          <cell r="J28">
            <v>8.5956375838926178</v>
          </cell>
          <cell r="K28">
            <v>9.0349774787299122</v>
          </cell>
          <cell r="L28">
            <v>9.0082546762511573</v>
          </cell>
          <cell r="M28">
            <v>8.8763588090305756</v>
          </cell>
          <cell r="N28">
            <v>8.7883186698318028</v>
          </cell>
          <cell r="O28">
            <v>8.71355317783628</v>
          </cell>
          <cell r="P28">
            <v>8.6803451861149732</v>
          </cell>
          <cell r="Q28">
            <v>8.6383664487667122</v>
          </cell>
          <cell r="R28">
            <v>8.6265237432457482</v>
          </cell>
          <cell r="S28">
            <v>8.8158476867816944</v>
          </cell>
          <cell r="T28">
            <v>9.0269476144522542</v>
          </cell>
          <cell r="U28">
            <v>9.2605643595330864</v>
          </cell>
          <cell r="V28">
            <v>9.5174976475934283</v>
          </cell>
          <cell r="W28">
            <v>9.7596717775245931</v>
          </cell>
          <cell r="X28">
            <v>9.9938756540625082</v>
          </cell>
        </row>
        <row r="29">
          <cell r="E29" t="str">
            <v>Personal Income Tax</v>
          </cell>
          <cell r="G29">
            <v>54.52</v>
          </cell>
          <cell r="H29">
            <v>68.587000000000003</v>
          </cell>
          <cell r="I29">
            <v>80.543999999999997</v>
          </cell>
          <cell r="J29">
            <v>87.881</v>
          </cell>
          <cell r="K29">
            <v>94.92</v>
          </cell>
          <cell r="L29">
            <v>95.301741359999994</v>
          </cell>
          <cell r="M29">
            <v>99.7</v>
          </cell>
          <cell r="N29">
            <v>106.7787</v>
          </cell>
          <cell r="O29">
            <v>115.44913044</v>
          </cell>
          <cell r="P29">
            <v>125.76566473611842</v>
          </cell>
          <cell r="Q29">
            <v>137.26064649299965</v>
          </cell>
          <cell r="R29">
            <v>149.52625786361412</v>
          </cell>
          <cell r="S29">
            <v>168.47721578524857</v>
          </cell>
          <cell r="T29">
            <v>189.83001811387098</v>
          </cell>
          <cell r="U29">
            <v>213.88907460962298</v>
          </cell>
          <cell r="V29">
            <v>240.99737592564662</v>
          </cell>
          <cell r="W29">
            <v>271.54138335046309</v>
          </cell>
          <cell r="X29">
            <v>305.95653827630082</v>
          </cell>
        </row>
        <row r="30">
          <cell r="F30" t="str">
            <v>tax growth</v>
          </cell>
          <cell r="H30">
            <v>125.8015407190022</v>
          </cell>
          <cell r="I30">
            <v>117.43333284733257</v>
          </cell>
          <cell r="J30">
            <v>109.10930671434247</v>
          </cell>
          <cell r="K30">
            <v>108.00969492836904</v>
          </cell>
          <cell r="L30">
            <v>100.40217168141592</v>
          </cell>
          <cell r="M30">
            <v>104.61508738165202</v>
          </cell>
          <cell r="N30">
            <v>107.1</v>
          </cell>
          <cell r="O30">
            <v>108.11999999999999</v>
          </cell>
          <cell r="P30">
            <v>108.93600000000001</v>
          </cell>
          <cell r="Q30">
            <v>109.14000000000001</v>
          </cell>
          <cell r="R30">
            <v>108.93600000000001</v>
          </cell>
          <cell r="S30">
            <v>112.67400000000001</v>
          </cell>
          <cell r="T30">
            <v>112.67400000000001</v>
          </cell>
          <cell r="U30">
            <v>112.67400000000001</v>
          </cell>
          <cell r="V30">
            <v>112.67400000000001</v>
          </cell>
          <cell r="W30">
            <v>112.67400000000001</v>
          </cell>
          <cell r="X30">
            <v>112.67400000000001</v>
          </cell>
        </row>
        <row r="31">
          <cell r="F31" t="str">
            <v>wage growth</v>
          </cell>
          <cell r="I31">
            <v>117.90543495729051</v>
          </cell>
          <cell r="J31">
            <v>107.5968433184494</v>
          </cell>
          <cell r="K31">
            <v>106.54237228343221</v>
          </cell>
          <cell r="L31">
            <v>103.13840120886117</v>
          </cell>
          <cell r="M31">
            <v>104.5</v>
          </cell>
          <cell r="N31">
            <v>105</v>
          </cell>
          <cell r="O31">
            <v>106</v>
          </cell>
          <cell r="P31">
            <v>106.80000000000001</v>
          </cell>
          <cell r="Q31">
            <v>107</v>
          </cell>
          <cell r="R31">
            <v>106.80000000000001</v>
          </cell>
          <cell r="S31">
            <v>106.80000000000001</v>
          </cell>
          <cell r="T31">
            <v>106.80000000000001</v>
          </cell>
          <cell r="U31">
            <v>106.80000000000001</v>
          </cell>
          <cell r="V31">
            <v>106.80000000000001</v>
          </cell>
          <cell r="W31">
            <v>106.80000000000001</v>
          </cell>
          <cell r="X31">
            <v>106.80000000000001</v>
          </cell>
        </row>
        <row r="32">
          <cell r="F32" t="str">
            <v>scale factor</v>
          </cell>
          <cell r="I32">
            <v>0.99599592580164809</v>
          </cell>
          <cell r="J32">
            <v>1.0140567636488804</v>
          </cell>
          <cell r="K32">
            <v>1.0137721979855427</v>
          </cell>
          <cell r="L32">
            <v>0.97347031275088103</v>
          </cell>
          <cell r="M32">
            <v>1.0011013146569572</v>
          </cell>
          <cell r="N32">
            <v>1.02</v>
          </cell>
          <cell r="O32">
            <v>1.02</v>
          </cell>
          <cell r="P32">
            <v>1.02</v>
          </cell>
          <cell r="Q32">
            <v>1.02</v>
          </cell>
          <cell r="R32">
            <v>1.02</v>
          </cell>
          <cell r="S32">
            <v>1.0549999999999999</v>
          </cell>
          <cell r="T32">
            <v>1.0549999999999999</v>
          </cell>
          <cell r="U32">
            <v>1.0549999999999999</v>
          </cell>
          <cell r="V32">
            <v>1.0549999999999999</v>
          </cell>
          <cell r="W32">
            <v>1.0549999999999999</v>
          </cell>
          <cell r="X32">
            <v>1.0549999999999999</v>
          </cell>
          <cell r="Z32" t="str">
            <v>rychejší přírůstek daně než objemu mezd</v>
          </cell>
        </row>
        <row r="33">
          <cell r="F33" t="str">
            <v>% of GDP</v>
          </cell>
          <cell r="G33">
            <v>4.6094014203584717</v>
          </cell>
          <cell r="H33">
            <v>4.9661139671276526</v>
          </cell>
          <cell r="I33">
            <v>5.1226865102079762</v>
          </cell>
          <cell r="J33">
            <v>5.2661193672099715</v>
          </cell>
          <cell r="K33">
            <v>5.2783184118333981</v>
          </cell>
          <cell r="L33">
            <v>5.1898786342100962</v>
          </cell>
          <cell r="M33">
            <v>5.1965529844999896</v>
          </cell>
          <cell r="N33">
            <v>5.2533261287298121</v>
          </cell>
          <cell r="O33">
            <v>5.3212353853389383</v>
          </cell>
          <cell r="P33">
            <v>5.4229805200425245</v>
          </cell>
          <cell r="Q33">
            <v>5.5198124134527937</v>
          </cell>
          <cell r="R33">
            <v>5.6297869548338477</v>
          </cell>
          <cell r="S33">
            <v>5.9389803699062718</v>
          </cell>
          <cell r="T33">
            <v>6.2651549902518466</v>
          </cell>
          <cell r="U33">
            <v>6.6092434403006957</v>
          </cell>
          <cell r="V33">
            <v>6.9722295651303332</v>
          </cell>
          <cell r="W33">
            <v>7.3551512435538102</v>
          </cell>
          <cell r="X33">
            <v>7.7591033557053972</v>
          </cell>
        </row>
        <row r="34">
          <cell r="E34" t="str">
            <v>Enterprise tax</v>
          </cell>
          <cell r="G34">
            <v>63.752000000000002</v>
          </cell>
          <cell r="H34">
            <v>66.481999999999999</v>
          </cell>
          <cell r="I34">
            <v>61.808999999999997</v>
          </cell>
          <cell r="J34">
            <v>55.563000000000002</v>
          </cell>
          <cell r="K34">
            <v>67.555999999999997</v>
          </cell>
          <cell r="L34">
            <v>70.116839260000006</v>
          </cell>
          <cell r="M34">
            <v>70.599999999999994</v>
          </cell>
          <cell r="N34">
            <v>71.851984590157684</v>
          </cell>
          <cell r="O34">
            <v>73.599476617592401</v>
          </cell>
          <cell r="P34">
            <v>75.542338941194203</v>
          </cell>
          <cell r="Q34">
            <v>77.548784441894</v>
          </cell>
          <cell r="R34">
            <v>79.592858729532722</v>
          </cell>
          <cell r="S34">
            <v>81.611078929765725</v>
          </cell>
          <cell r="T34">
            <v>83.680474735971998</v>
          </cell>
          <cell r="U34">
            <v>85.802343797757075</v>
          </cell>
          <cell r="V34">
            <v>87.978016668968039</v>
          </cell>
          <cell r="W34">
            <v>88.771367232082113</v>
          </cell>
          <cell r="X34">
            <v>88.121418789755708</v>
          </cell>
        </row>
        <row r="35">
          <cell r="F35" t="str">
            <v>tax growth</v>
          </cell>
          <cell r="H35">
            <v>104.28221859706362</v>
          </cell>
          <cell r="I35">
            <v>92.971029752414182</v>
          </cell>
          <cell r="J35">
            <v>89.894675532689419</v>
          </cell>
          <cell r="K35">
            <v>121.58450767597142</v>
          </cell>
          <cell r="L35">
            <v>103.79069107111138</v>
          </cell>
          <cell r="M35">
            <v>100.68907946379097</v>
          </cell>
          <cell r="N35">
            <v>101.77334927784376</v>
          </cell>
          <cell r="O35">
            <v>102.43207204004507</v>
          </cell>
          <cell r="P35">
            <v>102.63977736376648</v>
          </cell>
          <cell r="Q35">
            <v>102.6560542456353</v>
          </cell>
          <cell r="R35">
            <v>102.63585599999998</v>
          </cell>
          <cell r="S35">
            <v>102.53567999999997</v>
          </cell>
          <cell r="T35">
            <v>102.53568</v>
          </cell>
          <cell r="U35">
            <v>102.53567999999997</v>
          </cell>
          <cell r="V35">
            <v>102.53568</v>
          </cell>
          <cell r="W35">
            <v>100.90176</v>
          </cell>
          <cell r="X35">
            <v>99.267840000000007</v>
          </cell>
        </row>
        <row r="36">
          <cell r="F36" t="str">
            <v>4-lagged GDP growth</v>
          </cell>
          <cell r="J36">
            <v>1.1316171139956144</v>
          </cell>
          <cell r="K36">
            <v>1.1112672817808493</v>
          </cell>
          <cell r="L36">
            <v>1.0746367921595597</v>
          </cell>
          <cell r="M36">
            <v>1.0512285033161539</v>
          </cell>
          <cell r="N36">
            <v>1.0601390549775391</v>
          </cell>
          <cell r="O36">
            <v>1.0670007504171362</v>
          </cell>
          <cell r="P36">
            <v>1.0691643475392343</v>
          </cell>
          <cell r="Q36">
            <v>1.0693338983920344</v>
          </cell>
          <cell r="R36">
            <v>1.0691234999999999</v>
          </cell>
          <cell r="S36">
            <v>1.0680799999999999</v>
          </cell>
          <cell r="T36">
            <v>1.0680799999999999</v>
          </cell>
          <cell r="U36">
            <v>1.0680799999999999</v>
          </cell>
          <cell r="V36">
            <v>1.0680799999999999</v>
          </cell>
          <cell r="W36">
            <v>1.0510599999999999</v>
          </cell>
          <cell r="X36">
            <v>1.0340400000000001</v>
          </cell>
        </row>
        <row r="37">
          <cell r="F37" t="str">
            <v>Scale factor</v>
          </cell>
          <cell r="J37">
            <v>0.7943912691040993</v>
          </cell>
          <cell r="K37">
            <v>1.0941067884328195</v>
          </cell>
          <cell r="L37">
            <v>0.96582112047863677</v>
          </cell>
          <cell r="M37">
            <v>0.95782295805490558</v>
          </cell>
          <cell r="N37">
            <v>0.96</v>
          </cell>
          <cell r="O37">
            <v>0.96</v>
          </cell>
          <cell r="P37">
            <v>0.96</v>
          </cell>
          <cell r="Q37">
            <v>0.96</v>
          </cell>
          <cell r="R37">
            <v>0.96</v>
          </cell>
          <cell r="S37">
            <v>0.96</v>
          </cell>
          <cell r="T37">
            <v>0.96</v>
          </cell>
          <cell r="U37">
            <v>0.96</v>
          </cell>
          <cell r="V37">
            <v>0.96</v>
          </cell>
          <cell r="W37">
            <v>0.96</v>
          </cell>
          <cell r="X37">
            <v>0.96</v>
          </cell>
          <cell r="Y37">
            <v>0.96</v>
          </cell>
          <cell r="Z37" t="str">
            <v>stagnace poměru přírůstku HDP a výběru daně</v>
          </cell>
        </row>
        <row r="38">
          <cell r="F38" t="str">
            <v>% of GDP</v>
          </cell>
          <cell r="G38">
            <v>5.3899222184646609</v>
          </cell>
          <cell r="H38">
            <v>4.813699225255232</v>
          </cell>
          <cell r="I38">
            <v>3.9311200152642627</v>
          </cell>
          <cell r="J38">
            <v>3.3295182166826462</v>
          </cell>
          <cell r="K38">
            <v>3.7566590668965132</v>
          </cell>
          <cell r="L38">
            <v>3.8183760420410615</v>
          </cell>
          <cell r="M38">
            <v>3.6798058245305838</v>
          </cell>
          <cell r="N38">
            <v>3.5349925411019911</v>
          </cell>
          <cell r="O38">
            <v>3.3923177924973422</v>
          </cell>
          <cell r="P38">
            <v>3.2573646660724496</v>
          </cell>
          <cell r="Q38">
            <v>3.1185540353139189</v>
          </cell>
          <cell r="R38">
            <v>2.9967367884119005</v>
          </cell>
          <cell r="S38">
            <v>2.876867316875424</v>
          </cell>
          <cell r="T38">
            <v>2.7617926242004076</v>
          </cell>
          <cell r="U38">
            <v>2.6513209192323908</v>
          </cell>
          <cell r="V38">
            <v>2.5452680824630951</v>
          </cell>
          <cell r="W38">
            <v>2.4045205339707829</v>
          </cell>
          <cell r="X38">
            <v>2.234772298357111</v>
          </cell>
        </row>
        <row r="39">
          <cell r="D39" t="str">
            <v>Social security contributions</v>
          </cell>
          <cell r="G39">
            <v>162.30199999999999</v>
          </cell>
          <cell r="H39">
            <v>192.45500000000001</v>
          </cell>
          <cell r="I39">
            <v>222.20400000000001</v>
          </cell>
          <cell r="J39">
            <v>246.755</v>
          </cell>
          <cell r="K39">
            <v>262.887</v>
          </cell>
          <cell r="L39">
            <v>270.61264469000002</v>
          </cell>
          <cell r="M39">
            <v>284.06799999999998</v>
          </cell>
          <cell r="N39">
            <v>298.27139999999997</v>
          </cell>
          <cell r="O39">
            <v>316.16768399999995</v>
          </cell>
          <cell r="P39">
            <v>337.66708651199997</v>
          </cell>
          <cell r="Q39">
            <v>361.30378256783996</v>
          </cell>
          <cell r="R39">
            <v>385.87243978245317</v>
          </cell>
          <cell r="S39">
            <v>412.11176568766001</v>
          </cell>
          <cell r="T39">
            <v>440.13536575442095</v>
          </cell>
          <cell r="U39">
            <v>470.06457062572161</v>
          </cell>
          <cell r="V39">
            <v>502.02896142827069</v>
          </cell>
          <cell r="W39">
            <v>536.16693080539312</v>
          </cell>
          <cell r="X39">
            <v>572.62628210015998</v>
          </cell>
        </row>
        <row r="40">
          <cell r="F40" t="str">
            <v>tax growth</v>
          </cell>
          <cell r="H40">
            <v>118.57832928737785</v>
          </cell>
          <cell r="I40">
            <v>115.45763944818268</v>
          </cell>
          <cell r="J40">
            <v>111.04885600619249</v>
          </cell>
          <cell r="K40">
            <v>106.5376588113716</v>
          </cell>
          <cell r="L40">
            <v>102.93877015219468</v>
          </cell>
          <cell r="M40">
            <v>104.97218277638642</v>
          </cell>
          <cell r="N40">
            <v>105</v>
          </cell>
          <cell r="O40">
            <v>105.99999999999999</v>
          </cell>
          <cell r="P40">
            <v>106.80000000000001</v>
          </cell>
          <cell r="Q40">
            <v>107</v>
          </cell>
          <cell r="R40">
            <v>106.80000000000003</v>
          </cell>
          <cell r="S40">
            <v>106.80000000000001</v>
          </cell>
          <cell r="T40">
            <v>106.80000000000001</v>
          </cell>
          <cell r="U40">
            <v>106.80000000000001</v>
          </cell>
          <cell r="V40">
            <v>106.80000000000001</v>
          </cell>
          <cell r="W40">
            <v>106.80000000000001</v>
          </cell>
          <cell r="X40">
            <v>106.80000000000003</v>
          </cell>
        </row>
        <row r="41">
          <cell r="F41" t="str">
            <v>wage growth</v>
          </cell>
          <cell r="I41">
            <v>117.90543495729051</v>
          </cell>
          <cell r="J41">
            <v>107.5968433184494</v>
          </cell>
          <cell r="K41">
            <v>106.54237228343221</v>
          </cell>
          <cell r="L41">
            <v>103.13840120886117</v>
          </cell>
          <cell r="M41">
            <v>104.5</v>
          </cell>
          <cell r="N41">
            <v>105</v>
          </cell>
          <cell r="O41">
            <v>106</v>
          </cell>
          <cell r="P41">
            <v>106.80000000000001</v>
          </cell>
          <cell r="Q41">
            <v>107</v>
          </cell>
          <cell r="R41">
            <v>106.80000000000001</v>
          </cell>
          <cell r="S41">
            <v>106.80000000000001</v>
          </cell>
          <cell r="T41">
            <v>106.80000000000001</v>
          </cell>
          <cell r="U41">
            <v>106.80000000000001</v>
          </cell>
          <cell r="V41">
            <v>106.80000000000001</v>
          </cell>
          <cell r="W41">
            <v>106.80000000000001</v>
          </cell>
          <cell r="X41">
            <v>106.80000000000001</v>
          </cell>
        </row>
        <row r="42">
          <cell r="F42" t="str">
            <v>Scale factor</v>
          </cell>
          <cell r="I42">
            <v>0.97923933269068963</v>
          </cell>
          <cell r="J42">
            <v>1.0320828435228935</v>
          </cell>
          <cell r="K42">
            <v>0.99995575964792605</v>
          </cell>
          <cell r="L42">
            <v>0.99806443522173449</v>
          </cell>
          <cell r="M42">
            <v>1.0045184954678126</v>
          </cell>
          <cell r="N42">
            <v>1</v>
          </cell>
          <cell r="O42">
            <v>1</v>
          </cell>
          <cell r="P42">
            <v>1</v>
          </cell>
          <cell r="Q42">
            <v>1</v>
          </cell>
          <cell r="R42">
            <v>1</v>
          </cell>
          <cell r="S42">
            <v>1</v>
          </cell>
          <cell r="T42">
            <v>1</v>
          </cell>
          <cell r="U42">
            <v>1</v>
          </cell>
          <cell r="V42">
            <v>1</v>
          </cell>
          <cell r="W42">
            <v>1</v>
          </cell>
          <cell r="X42">
            <v>1</v>
          </cell>
          <cell r="Z42" t="str">
            <v>stagnace poměru přírůstku mezd a výběru daně</v>
          </cell>
        </row>
        <row r="43">
          <cell r="F43" t="str">
            <v>% of GDP</v>
          </cell>
          <cell r="G43">
            <v>13.721846466012853</v>
          </cell>
          <cell r="H43">
            <v>13.93490695822171</v>
          </cell>
          <cell r="I43">
            <v>14.132417477580617</v>
          </cell>
          <cell r="J43">
            <v>14.786373441994247</v>
          </cell>
          <cell r="K43">
            <v>14.618639826502807</v>
          </cell>
          <cell r="L43">
            <v>14.736842819256116</v>
          </cell>
          <cell r="M43">
            <v>14.806162619869037</v>
          </cell>
          <cell r="N43">
            <v>14.674433562806263</v>
          </cell>
          <cell r="O43">
            <v>14.572675094125721</v>
          </cell>
          <cell r="P43">
            <v>14.560110951238043</v>
          </cell>
          <cell r="Q43">
            <v>14.529503940134244</v>
          </cell>
          <cell r="R43">
            <v>14.528415669297596</v>
          </cell>
          <cell r="S43">
            <v>14.527327479973257</v>
          </cell>
          <cell r="T43">
            <v>14.52623937215512</v>
          </cell>
          <cell r="U43">
            <v>14.525151345837084</v>
          </cell>
          <cell r="V43">
            <v>14.524063401013038</v>
          </cell>
          <cell r="W43">
            <v>14.522975537676885</v>
          </cell>
          <cell r="X43">
            <v>14.521887755822521</v>
          </cell>
        </row>
        <row r="44">
          <cell r="D44" t="str">
            <v>Other taxes</v>
          </cell>
          <cell r="G44">
            <v>10.628</v>
          </cell>
          <cell r="H44">
            <v>10.07</v>
          </cell>
          <cell r="I44">
            <v>8.1120000000000001</v>
          </cell>
          <cell r="J44">
            <v>9.1209999999999987</v>
          </cell>
          <cell r="K44">
            <v>10.494999999999999</v>
          </cell>
          <cell r="L44">
            <v>11.226674719999998</v>
          </cell>
          <cell r="M44">
            <v>11.3</v>
          </cell>
          <cell r="N44">
            <v>11.552506580728327</v>
          </cell>
          <cell r="O44">
            <v>11.899575459595273</v>
          </cell>
          <cell r="P44">
            <v>12.274523202347968</v>
          </cell>
          <cell r="Q44">
            <v>12.700757370747054</v>
          </cell>
          <cell r="R44">
            <v>13.090635059908347</v>
          </cell>
          <cell r="S44">
            <v>13.422571674995432</v>
          </cell>
          <cell r="T44">
            <v>13.762925140443956</v>
          </cell>
          <cell r="U44">
            <v>14.111908880645164</v>
          </cell>
          <cell r="V44">
            <v>14.469741731749906</v>
          </cell>
          <cell r="W44">
            <v>14.836648078893541</v>
          </cell>
          <cell r="X44">
            <v>15.212857996900427</v>
          </cell>
        </row>
        <row r="45">
          <cell r="F45" t="str">
            <v>tax growth</v>
          </cell>
          <cell r="H45">
            <v>94.749717726759513</v>
          </cell>
          <cell r="I45">
            <v>80.55610724925522</v>
          </cell>
          <cell r="J45">
            <v>112.43836291913215</v>
          </cell>
          <cell r="K45">
            <v>115.0641377041991</v>
          </cell>
          <cell r="L45">
            <v>106.9716505002382</v>
          </cell>
          <cell r="M45">
            <v>100.65313444834538</v>
          </cell>
          <cell r="N45">
            <v>102.23457151087014</v>
          </cell>
          <cell r="O45">
            <v>103.00427337081911</v>
          </cell>
          <cell r="P45">
            <v>103.15093377932534</v>
          </cell>
          <cell r="Q45">
            <v>103.47251100000001</v>
          </cell>
          <cell r="R45">
            <v>103.06971999999999</v>
          </cell>
          <cell r="S45">
            <v>102.53568</v>
          </cell>
          <cell r="T45">
            <v>102.53568</v>
          </cell>
          <cell r="U45">
            <v>102.53568</v>
          </cell>
          <cell r="V45">
            <v>102.53568</v>
          </cell>
          <cell r="W45">
            <v>102.53568</v>
          </cell>
          <cell r="X45">
            <v>102.53568</v>
          </cell>
        </row>
        <row r="46">
          <cell r="F46" t="str">
            <v>GDP growth</v>
          </cell>
          <cell r="H46">
            <v>116.76530267162664</v>
          </cell>
          <cell r="I46">
            <v>113.84403736152342</v>
          </cell>
          <cell r="J46">
            <v>106.13750556509571</v>
          </cell>
          <cell r="K46">
            <v>107.76006711409396</v>
          </cell>
          <cell r="L46">
            <v>102.11310682311073</v>
          </cell>
          <cell r="M46">
            <v>104.48072182416119</v>
          </cell>
          <cell r="N46">
            <v>105.94256115116079</v>
          </cell>
          <cell r="O46">
            <v>106.7401796588799</v>
          </cell>
          <cell r="P46">
            <v>106.89215935681382</v>
          </cell>
          <cell r="Q46">
            <v>107.22540000000001</v>
          </cell>
          <cell r="R46">
            <v>106.80799999999999</v>
          </cell>
          <cell r="S46">
            <v>106.80799999999999</v>
          </cell>
          <cell r="T46">
            <v>106.80799999999999</v>
          </cell>
          <cell r="U46">
            <v>106.80799999999999</v>
          </cell>
          <cell r="V46">
            <v>106.80799999999999</v>
          </cell>
          <cell r="W46">
            <v>106.80799999999999</v>
          </cell>
          <cell r="X46">
            <v>106.80799999999999</v>
          </cell>
        </row>
        <row r="47">
          <cell r="F47" t="str">
            <v>Scale factor</v>
          </cell>
          <cell r="H47">
            <v>0.81145439234820915</v>
          </cell>
          <cell r="I47">
            <v>0.7076005833616128</v>
          </cell>
          <cell r="J47">
            <v>1.0593650408542155</v>
          </cell>
          <cell r="K47">
            <v>1.0677808652659038</v>
          </cell>
          <cell r="L47">
            <v>1.0475800201196881</v>
          </cell>
          <cell r="M47">
            <v>0.96336561129183662</v>
          </cell>
          <cell r="N47">
            <v>0.96499999999999997</v>
          </cell>
          <cell r="O47">
            <v>0.96499999999999997</v>
          </cell>
          <cell r="P47">
            <v>0.96499999999999997</v>
          </cell>
          <cell r="Q47">
            <v>0.96499999999999997</v>
          </cell>
          <cell r="R47">
            <v>0.96499999999999997</v>
          </cell>
          <cell r="S47">
            <v>0.96</v>
          </cell>
          <cell r="T47">
            <v>0.96</v>
          </cell>
          <cell r="U47">
            <v>0.96</v>
          </cell>
          <cell r="V47">
            <v>0.96</v>
          </cell>
          <cell r="W47">
            <v>0.96</v>
          </cell>
          <cell r="X47">
            <v>0.96</v>
          </cell>
          <cell r="Z47" t="str">
            <v>pomalejší přírůstek daně než HDP</v>
          </cell>
        </row>
        <row r="48">
          <cell r="F48" t="str">
            <v>% of GDP</v>
          </cell>
          <cell r="G48">
            <v>0.89854582346973288</v>
          </cell>
          <cell r="H48">
            <v>0.72912895518065313</v>
          </cell>
          <cell r="I48">
            <v>0.51593207403167329</v>
          </cell>
          <cell r="J48">
            <v>0.54656040268456363</v>
          </cell>
          <cell r="K48">
            <v>0.58360673969860422</v>
          </cell>
          <cell r="L48">
            <v>0.61137476011544944</v>
          </cell>
          <cell r="M48">
            <v>0.58897741950701987</v>
          </cell>
          <cell r="N48">
            <v>0.56836320982427413</v>
          </cell>
          <cell r="O48">
            <v>0.54847049748042453</v>
          </cell>
          <cell r="P48">
            <v>0.52927403006860962</v>
          </cell>
          <cell r="Q48">
            <v>0.51074943901620828</v>
          </cell>
          <cell r="R48">
            <v>0.49287320865064094</v>
          </cell>
          <cell r="S48">
            <v>0.47315828030461526</v>
          </cell>
          <cell r="T48">
            <v>0.45423194909243075</v>
          </cell>
          <cell r="U48">
            <v>0.43606267112873359</v>
          </cell>
          <cell r="V48">
            <v>0.41862016428358417</v>
          </cell>
          <cell r="W48">
            <v>0.40187535771224081</v>
          </cell>
          <cell r="X48">
            <v>0.38580034340375119</v>
          </cell>
        </row>
        <row r="49">
          <cell r="C49" t="str">
            <v>Non-tax revenue - current</v>
          </cell>
          <cell r="G49">
            <v>51.892000000000053</v>
          </cell>
          <cell r="H49">
            <v>61.70999999999998</v>
          </cell>
          <cell r="I49">
            <v>57.302999999999997</v>
          </cell>
          <cell r="J49">
            <v>45.25</v>
          </cell>
          <cell r="K49">
            <v>48.557000000000016</v>
          </cell>
          <cell r="L49">
            <v>47.509026329999948</v>
          </cell>
          <cell r="M49">
            <v>47.296999999999997</v>
          </cell>
          <cell r="N49">
            <v>48.103347021757934</v>
          </cell>
          <cell r="O49">
            <v>49.291775071640515</v>
          </cell>
          <cell r="P49">
            <v>50.581481049004999</v>
          </cell>
          <cell r="Q49">
            <v>52.066747565491013</v>
          </cell>
          <cell r="R49">
            <v>53.386993670159654</v>
          </cell>
          <cell r="S49">
            <v>54.740716991255148</v>
          </cell>
          <cell r="T49">
            <v>56.128766403858997</v>
          </cell>
          <cell r="U49">
            <v>57.552012307808361</v>
          </cell>
          <cell r="V49">
            <v>59.011347173494997</v>
          </cell>
          <cell r="W49">
            <v>60.507686101503872</v>
          </cell>
          <cell r="X49">
            <v>62.041967396442473</v>
          </cell>
        </row>
        <row r="50">
          <cell r="F50" t="str">
            <v>growth rate</v>
          </cell>
          <cell r="H50">
            <v>118.92006474986493</v>
          </cell>
          <cell r="I50">
            <v>92.858531842489086</v>
          </cell>
          <cell r="J50">
            <v>78.966197232256604</v>
          </cell>
          <cell r="K50">
            <v>107.30828729281771</v>
          </cell>
          <cell r="L50">
            <v>97.841766027555096</v>
          </cell>
          <cell r="M50">
            <v>99.553713585862184</v>
          </cell>
          <cell r="N50">
            <v>101.70485870511436</v>
          </cell>
          <cell r="O50">
            <v>102.47057247252469</v>
          </cell>
          <cell r="P50">
            <v>102.61647298254127</v>
          </cell>
          <cell r="Q50">
            <v>102.936384</v>
          </cell>
          <cell r="R50">
            <v>102.53568</v>
          </cell>
          <cell r="S50">
            <v>102.53567999999997</v>
          </cell>
          <cell r="T50">
            <v>102.53567999999997</v>
          </cell>
          <cell r="U50">
            <v>102.53568</v>
          </cell>
          <cell r="V50">
            <v>102.53568</v>
          </cell>
          <cell r="W50">
            <v>102.53568</v>
          </cell>
          <cell r="X50">
            <v>102.53567999999997</v>
          </cell>
        </row>
        <row r="51">
          <cell r="F51" t="str">
            <v>GDP growth</v>
          </cell>
          <cell r="H51">
            <v>116.76530267162664</v>
          </cell>
          <cell r="I51">
            <v>113.84403736152342</v>
          </cell>
          <cell r="J51">
            <v>106.13750556509571</v>
          </cell>
          <cell r="K51">
            <v>107.76006711409396</v>
          </cell>
          <cell r="L51">
            <v>102.11310682311073</v>
          </cell>
          <cell r="M51">
            <v>104.48072182416119</v>
          </cell>
          <cell r="N51">
            <v>105.94256115116079</v>
          </cell>
          <cell r="O51">
            <v>106.7401796588799</v>
          </cell>
          <cell r="P51">
            <v>106.89215935681382</v>
          </cell>
          <cell r="Q51">
            <v>107.22540000000001</v>
          </cell>
          <cell r="R51">
            <v>106.80799999999999</v>
          </cell>
          <cell r="S51">
            <v>106.80799999999999</v>
          </cell>
          <cell r="T51">
            <v>106.80799999999999</v>
          </cell>
          <cell r="U51">
            <v>106.80799999999999</v>
          </cell>
          <cell r="V51">
            <v>106.80799999999999</v>
          </cell>
          <cell r="W51">
            <v>106.80799999999999</v>
          </cell>
          <cell r="X51">
            <v>106.80799999999999</v>
          </cell>
        </row>
        <row r="52">
          <cell r="F52" t="str">
            <v>Scale factor</v>
          </cell>
          <cell r="H52">
            <v>1.018453787460287</v>
          </cell>
          <cell r="I52">
            <v>0.81566442999212418</v>
          </cell>
          <cell r="J52">
            <v>0.74399899273895653</v>
          </cell>
          <cell r="K52">
            <v>0.99580753953319356</v>
          </cell>
          <cell r="L52">
            <v>0.95817049418587541</v>
          </cell>
          <cell r="M52">
            <v>0.95284289625610497</v>
          </cell>
          <cell r="N52">
            <v>0.96</v>
          </cell>
          <cell r="O52">
            <v>0.96</v>
          </cell>
          <cell r="P52">
            <v>0.96</v>
          </cell>
          <cell r="Q52">
            <v>0.96</v>
          </cell>
          <cell r="R52">
            <v>0.96</v>
          </cell>
          <cell r="S52">
            <v>0.96</v>
          </cell>
          <cell r="T52">
            <v>0.96</v>
          </cell>
          <cell r="U52">
            <v>0.96</v>
          </cell>
          <cell r="V52">
            <v>0.96</v>
          </cell>
          <cell r="W52">
            <v>0.96</v>
          </cell>
          <cell r="X52">
            <v>0.96</v>
          </cell>
          <cell r="Z52" t="str">
            <v>pomalejší přírůstek příjmu než HDP</v>
          </cell>
        </row>
        <row r="53">
          <cell r="F53" t="str">
            <v>% of GDP</v>
          </cell>
          <cell r="G53">
            <v>4.3872167737571912</v>
          </cell>
          <cell r="H53">
            <v>4.4681775396423129</v>
          </cell>
          <cell r="I53">
            <v>3.6445334859759586</v>
          </cell>
          <cell r="J53">
            <v>2.7115292425695112</v>
          </cell>
          <cell r="K53">
            <v>2.700161263415449</v>
          </cell>
          <cell r="L53">
            <v>2.5872148521483389</v>
          </cell>
          <cell r="M53">
            <v>2.4652092929578333</v>
          </cell>
          <cell r="N53">
            <v>2.3666009212395203</v>
          </cell>
          <cell r="O53">
            <v>2.2719368843899392</v>
          </cell>
          <cell r="P53">
            <v>2.1810594090143414</v>
          </cell>
          <cell r="Q53">
            <v>2.0938170326537677</v>
          </cell>
          <cell r="R53">
            <v>2.0100643513476171</v>
          </cell>
          <cell r="S53">
            <v>1.9296617772937119</v>
          </cell>
          <cell r="T53">
            <v>1.8524753062019634</v>
          </cell>
          <cell r="U53">
            <v>1.7783762939538847</v>
          </cell>
          <cell r="V53">
            <v>1.7072412421957295</v>
          </cell>
          <cell r="W53">
            <v>1.6389515925079003</v>
          </cell>
          <cell r="X53">
            <v>1.5733935288075842</v>
          </cell>
        </row>
        <row r="54">
          <cell r="B54" t="str">
            <v>Capital revenue</v>
          </cell>
          <cell r="G54">
            <v>6.3000000000000114</v>
          </cell>
          <cell r="H54">
            <v>5.4750000000000227</v>
          </cell>
          <cell r="I54">
            <v>8.2599999999999909</v>
          </cell>
          <cell r="J54">
            <v>9.1480000000000246</v>
          </cell>
          <cell r="K54">
            <v>9.7830000000000155</v>
          </cell>
          <cell r="L54">
            <v>31.162539469999999</v>
          </cell>
          <cell r="M54">
            <v>13.632999999999999</v>
          </cell>
          <cell r="N54">
            <v>13.865423387268239</v>
          </cell>
          <cell r="O54">
            <v>14.20797872067309</v>
          </cell>
          <cell r="P54">
            <v>14.124110187600191</v>
          </cell>
          <cell r="Q54">
            <v>13.630170280585551</v>
          </cell>
          <cell r="R54">
            <v>12.374395432294641</v>
          </cell>
          <cell r="S54">
            <v>12.688170502392248</v>
          </cell>
          <cell r="T54">
            <v>13.009901904187306</v>
          </cell>
          <cell r="U54">
            <v>13.3397913847914</v>
          </cell>
          <cell r="V54">
            <v>13.678045806977277</v>
          </cell>
          <cell r="W54">
            <v>14.024877278895639</v>
          </cell>
          <cell r="X54">
            <v>14.380503287081138</v>
          </cell>
        </row>
        <row r="55">
          <cell r="F55" t="str">
            <v>growth rate</v>
          </cell>
          <cell r="H55">
            <v>86.904761904762111</v>
          </cell>
          <cell r="I55">
            <v>150.867579908675</v>
          </cell>
          <cell r="J55">
            <v>110.75060532687692</v>
          </cell>
          <cell r="K55">
            <v>106.94140795802349</v>
          </cell>
          <cell r="L55">
            <v>318.53766196463204</v>
          </cell>
          <cell r="M55">
            <v>43.748039254388786</v>
          </cell>
          <cell r="N55">
            <v>101.70485870511435</v>
          </cell>
          <cell r="O55">
            <v>102.47057247252471</v>
          </cell>
          <cell r="P55">
            <v>99.40970820183685</v>
          </cell>
          <cell r="Q55">
            <v>96.502859999999998</v>
          </cell>
          <cell r="R55">
            <v>90.786799999999985</v>
          </cell>
          <cell r="S55">
            <v>102.53568</v>
          </cell>
          <cell r="T55">
            <v>102.53567999999997</v>
          </cell>
          <cell r="U55">
            <v>102.53568</v>
          </cell>
          <cell r="V55">
            <v>102.53568</v>
          </cell>
          <cell r="W55">
            <v>102.53568</v>
          </cell>
          <cell r="X55">
            <v>102.53568</v>
          </cell>
        </row>
        <row r="56">
          <cell r="F56" t="str">
            <v>GDP growth</v>
          </cell>
          <cell r="H56">
            <v>116.76530267162664</v>
          </cell>
          <cell r="I56">
            <v>113.84403736152342</v>
          </cell>
          <cell r="J56">
            <v>106.13750556509571</v>
          </cell>
          <cell r="K56">
            <v>107.76006711409396</v>
          </cell>
          <cell r="L56">
            <v>102.11310682311073</v>
          </cell>
          <cell r="M56">
            <v>104.48072182416119</v>
          </cell>
          <cell r="N56">
            <v>105.94256115116079</v>
          </cell>
          <cell r="O56">
            <v>106.7401796588799</v>
          </cell>
          <cell r="P56">
            <v>106.89215935681382</v>
          </cell>
          <cell r="Q56">
            <v>107.22540000000001</v>
          </cell>
          <cell r="R56">
            <v>106.80799999999999</v>
          </cell>
          <cell r="S56">
            <v>106.80799999999999</v>
          </cell>
          <cell r="T56">
            <v>106.80799999999999</v>
          </cell>
          <cell r="U56">
            <v>106.80799999999999</v>
          </cell>
          <cell r="V56">
            <v>106.80799999999999</v>
          </cell>
          <cell r="W56">
            <v>106.80799999999999</v>
          </cell>
          <cell r="X56">
            <v>106.80799999999999</v>
          </cell>
        </row>
        <row r="57">
          <cell r="F57" t="str">
            <v>Scale factor</v>
          </cell>
          <cell r="H57">
            <v>0.74426871610276324</v>
          </cell>
          <cell r="I57">
            <v>1.3252128385923236</v>
          </cell>
          <cell r="J57">
            <v>1.0434634273456891</v>
          </cell>
          <cell r="K57">
            <v>0.99240294500555859</v>
          </cell>
          <cell r="L57">
            <v>3.1194591162173815</v>
          </cell>
          <cell r="M57">
            <v>0.41871876926746154</v>
          </cell>
          <cell r="N57">
            <v>0.96</v>
          </cell>
          <cell r="O57">
            <v>0.96</v>
          </cell>
          <cell r="P57">
            <v>0.93</v>
          </cell>
          <cell r="Q57">
            <v>0.9</v>
          </cell>
          <cell r="R57">
            <v>0.85</v>
          </cell>
          <cell r="S57">
            <v>0.96</v>
          </cell>
          <cell r="T57">
            <v>0.96</v>
          </cell>
          <cell r="U57">
            <v>0.96</v>
          </cell>
          <cell r="V57">
            <v>0.96</v>
          </cell>
          <cell r="W57">
            <v>0.96</v>
          </cell>
          <cell r="X57">
            <v>0.96</v>
          </cell>
          <cell r="Z57" t="str">
            <v>pomalejší přírůstek příjmu než HDP-doprodej majetku</v>
          </cell>
        </row>
        <row r="58">
          <cell r="F58" t="str">
            <v>% of GDP</v>
          </cell>
          <cell r="G58">
            <v>0.5326344267839036</v>
          </cell>
          <cell r="H58">
            <v>0.39642314097458714</v>
          </cell>
          <cell r="I58">
            <v>0.52534503593461745</v>
          </cell>
          <cell r="J58">
            <v>0.54817833173538022</v>
          </cell>
          <cell r="K58">
            <v>0.5440137908024254</v>
          </cell>
          <cell r="L58">
            <v>1.6970287790666012</v>
          </cell>
          <cell r="M58">
            <v>0.71057780178223029</v>
          </cell>
          <cell r="N58">
            <v>0.68215468971094095</v>
          </cell>
          <cell r="O58">
            <v>0.65486850212250336</v>
          </cell>
          <cell r="P58">
            <v>0.60902770697392805</v>
          </cell>
          <cell r="Q58">
            <v>0.54812493627653525</v>
          </cell>
          <cell r="R58">
            <v>0.46590619583505488</v>
          </cell>
          <cell r="S58">
            <v>0.44726994800165276</v>
          </cell>
          <cell r="T58">
            <v>0.42937915008158661</v>
          </cell>
          <cell r="U58">
            <v>0.41220398407832315</v>
          </cell>
          <cell r="V58">
            <v>0.39571582471519012</v>
          </cell>
          <cell r="W58">
            <v>0.37988719172658258</v>
          </cell>
          <cell r="X58">
            <v>0.36469170405751927</v>
          </cell>
        </row>
      </sheetData>
      <sheetData sheetId="4" refreshError="1">
        <row r="1">
          <cell r="J1" t="str">
            <v>Medium Term Forecast - Expenditures-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cell r="Z2">
            <v>1999</v>
          </cell>
          <cell r="AA2">
            <v>2000</v>
          </cell>
          <cell r="AB2">
            <v>2001</v>
          </cell>
          <cell r="AC2">
            <v>2002</v>
          </cell>
        </row>
        <row r="3">
          <cell r="A3" t="str">
            <v>Expenditure incl. L-R</v>
          </cell>
          <cell r="G3">
            <v>495.048</v>
          </cell>
          <cell r="H3">
            <v>573.553</v>
          </cell>
          <cell r="I3">
            <v>638.721</v>
          </cell>
          <cell r="J3">
            <v>681.95</v>
          </cell>
          <cell r="K3">
            <v>734.42600200000004</v>
          </cell>
          <cell r="L3">
            <v>771.35451482999997</v>
          </cell>
          <cell r="M3">
            <v>847.29700000000014</v>
          </cell>
          <cell r="N3">
            <v>910.14066393549399</v>
          </cell>
          <cell r="O3">
            <v>932.84238169951766</v>
          </cell>
          <cell r="P3">
            <v>995.26608185174564</v>
          </cell>
          <cell r="Q3">
            <v>1057.0321555436153</v>
          </cell>
          <cell r="R3">
            <v>1108.0312137720866</v>
          </cell>
          <cell r="S3">
            <v>565.51857650676016</v>
          </cell>
          <cell r="T3" t="e">
            <v>#REF!</v>
          </cell>
          <cell r="U3" t="e">
            <v>#REF!</v>
          </cell>
          <cell r="V3" t="e">
            <v>#REF!</v>
          </cell>
          <cell r="W3" t="e">
            <v>#REF!</v>
          </cell>
          <cell r="X3" t="e">
            <v>#REF!</v>
          </cell>
        </row>
        <row r="4">
          <cell r="F4" t="str">
            <v>% of GDP</v>
          </cell>
          <cell r="G4">
            <v>41.853905985796416</v>
          </cell>
          <cell r="H4">
            <v>41.528709000072411</v>
          </cell>
          <cell r="I4">
            <v>40.623354321694336</v>
          </cell>
          <cell r="J4">
            <v>40.864693192713332</v>
          </cell>
          <cell r="K4">
            <v>40.840015681476956</v>
          </cell>
          <cell r="L4">
            <v>42.005909428198009</v>
          </cell>
          <cell r="M4">
            <v>44.162725718233588</v>
          </cell>
          <cell r="N4">
            <v>44.77733602930013</v>
          </cell>
          <cell r="O4">
            <v>42.996199897955037</v>
          </cell>
          <cell r="P4">
            <v>42.915596919602031</v>
          </cell>
          <cell r="Q4">
            <v>42.50758948513316</v>
          </cell>
          <cell r="R4">
            <v>41.718289228722576</v>
          </cell>
          <cell r="S4">
            <v>19.935061895681308</v>
          </cell>
          <cell r="T4" t="e">
            <v>#REF!</v>
          </cell>
          <cell r="U4" t="e">
            <v>#REF!</v>
          </cell>
          <cell r="V4" t="e">
            <v>#REF!</v>
          </cell>
          <cell r="W4" t="e">
            <v>#REF!</v>
          </cell>
          <cell r="X4" t="e">
            <v>#REF!</v>
          </cell>
        </row>
        <row r="5">
          <cell r="A5" t="str">
            <v>Expenditure excl. L_R</v>
          </cell>
          <cell r="G5">
            <v>518.69100000000003</v>
          </cell>
          <cell r="H5">
            <v>593.90300000000002</v>
          </cell>
          <cell r="I5">
            <v>660.49099999999999</v>
          </cell>
          <cell r="J5">
            <v>697.55100000000004</v>
          </cell>
          <cell r="K5">
            <v>749.61500000000001</v>
          </cell>
          <cell r="L5">
            <v>790.67240228999992</v>
          </cell>
          <cell r="M5">
            <v>899.23100000000011</v>
          </cell>
          <cell r="N5">
            <v>990.76966393549401</v>
          </cell>
          <cell r="O5">
            <v>963.55938169951764</v>
          </cell>
          <cell r="P5">
            <v>1021.5740818517456</v>
          </cell>
          <cell r="Q5">
            <v>1061.3401555436153</v>
          </cell>
          <cell r="R5">
            <v>1098.3392137720866</v>
          </cell>
          <cell r="S5">
            <v>565.51857650676016</v>
          </cell>
          <cell r="T5" t="e">
            <v>#REF!</v>
          </cell>
          <cell r="U5" t="e">
            <v>#REF!</v>
          </cell>
          <cell r="V5" t="e">
            <v>#REF!</v>
          </cell>
          <cell r="W5" t="e">
            <v>#REF!</v>
          </cell>
          <cell r="X5" t="e">
            <v>#REF!</v>
          </cell>
        </row>
        <row r="6">
          <cell r="F6" t="str">
            <v>% of GDP</v>
          </cell>
          <cell r="G6">
            <v>43.852806898884005</v>
          </cell>
          <cell r="H6">
            <v>43.002172181594382</v>
          </cell>
          <cell r="I6">
            <v>42.007950136742352</v>
          </cell>
          <cell r="J6">
            <v>41.799556567593484</v>
          </cell>
          <cell r="K6">
            <v>41.684646610687878</v>
          </cell>
          <cell r="L6">
            <v>43.057910052279034</v>
          </cell>
          <cell r="M6">
            <v>46.869624240771422</v>
          </cell>
          <cell r="N6">
            <v>48.744142446997252</v>
          </cell>
          <cell r="O6">
            <v>44.411995640274668</v>
          </cell>
          <cell r="P6">
            <v>44.049990570052053</v>
          </cell>
          <cell r="Q6">
            <v>42.680831798095511</v>
          </cell>
          <cell r="R6">
            <v>41.353377433658338</v>
          </cell>
          <cell r="S6">
            <v>19.935061895681308</v>
          </cell>
          <cell r="T6" t="e">
            <v>#REF!</v>
          </cell>
          <cell r="U6" t="e">
            <v>#REF!</v>
          </cell>
          <cell r="V6" t="e">
            <v>#REF!</v>
          </cell>
          <cell r="W6" t="e">
            <v>#REF!</v>
          </cell>
          <cell r="X6" t="e">
            <v>#REF!</v>
          </cell>
        </row>
        <row r="7">
          <cell r="B7" t="str">
            <v>Current exp.</v>
          </cell>
          <cell r="G7">
            <v>435.322</v>
          </cell>
          <cell r="H7">
            <v>495.86500000000001</v>
          </cell>
          <cell r="I7">
            <v>559.89499999999998</v>
          </cell>
          <cell r="J7">
            <v>605.02700000000004</v>
          </cell>
          <cell r="K7">
            <v>655.53899999999999</v>
          </cell>
          <cell r="L7">
            <v>687.97449754999991</v>
          </cell>
          <cell r="M7">
            <v>782.30900000000008</v>
          </cell>
          <cell r="N7">
            <v>861.48314190598387</v>
          </cell>
          <cell r="O7">
            <v>824.73671066334509</v>
          </cell>
          <cell r="P7">
            <v>875.56963484056939</v>
          </cell>
          <cell r="Q7">
            <v>909.77641724808313</v>
          </cell>
          <cell r="R7">
            <v>945.61004450427163</v>
          </cell>
          <cell r="S7">
            <v>412.14620156470994</v>
          </cell>
          <cell r="T7" t="e">
            <v>#REF!</v>
          </cell>
          <cell r="U7" t="e">
            <v>#REF!</v>
          </cell>
          <cell r="V7" t="e">
            <v>#REF!</v>
          </cell>
          <cell r="W7" t="e">
            <v>#REF!</v>
          </cell>
          <cell r="X7" t="e">
            <v>#REF!</v>
          </cell>
        </row>
        <row r="8">
          <cell r="F8" t="str">
            <v>% of GDP</v>
          </cell>
          <cell r="G8">
            <v>36.804362529590797</v>
          </cell>
          <cell r="H8">
            <v>35.903627543262616</v>
          </cell>
          <cell r="I8">
            <v>35.609934490873243</v>
          </cell>
          <cell r="J8">
            <v>36.255213326941522</v>
          </cell>
          <cell r="K8">
            <v>36.45326141355725</v>
          </cell>
          <cell r="L8">
            <v>37.465256088329788</v>
          </cell>
          <cell r="M8">
            <v>40.775427971426311</v>
          </cell>
          <cell r="N8">
            <v>42.383470662547467</v>
          </cell>
          <cell r="O8">
            <v>38.013436321641592</v>
          </cell>
          <cell r="P8">
            <v>37.754319381556357</v>
          </cell>
          <cell r="Q8">
            <v>36.585833519651182</v>
          </cell>
          <cell r="R8">
            <v>35.602998222330619</v>
          </cell>
          <cell r="S8">
            <v>14.528541377038607</v>
          </cell>
          <cell r="T8" t="e">
            <v>#REF!</v>
          </cell>
          <cell r="U8" t="e">
            <v>#REF!</v>
          </cell>
          <cell r="V8" t="e">
            <v>#REF!</v>
          </cell>
          <cell r="W8" t="e">
            <v>#REF!</v>
          </cell>
          <cell r="X8" t="e">
            <v>#REF!</v>
          </cell>
        </row>
        <row r="9">
          <cell r="C9" t="str">
            <v>Goods and services</v>
          </cell>
          <cell r="G9">
            <v>130.37299999999999</v>
          </cell>
          <cell r="H9">
            <v>123.381</v>
          </cell>
          <cell r="I9">
            <v>139.30600000000001</v>
          </cell>
          <cell r="J9">
            <v>136.447</v>
          </cell>
          <cell r="K9">
            <v>148.57499999999999</v>
          </cell>
          <cell r="L9">
            <v>156.36975188</v>
          </cell>
          <cell r="M9">
            <v>168.05700000000002</v>
          </cell>
          <cell r="N9">
            <v>173.15461478247542</v>
          </cell>
          <cell r="O9">
            <v>182.21784409861476</v>
          </cell>
          <cell r="P9">
            <v>191.75545941792308</v>
          </cell>
          <cell r="Q9">
            <v>201.07235842857779</v>
          </cell>
          <cell r="R9">
            <v>208.83453185545017</v>
          </cell>
          <cell r="S9">
            <v>216.00833821577376</v>
          </cell>
          <cell r="T9">
            <v>223.43398221421489</v>
          </cell>
          <cell r="U9">
            <v>231.12049490484355</v>
          </cell>
          <cell r="V9">
            <v>239.07723775312638</v>
          </cell>
          <cell r="W9">
            <v>247.31391494530357</v>
          </cell>
          <cell r="X9">
            <v>255.84058616364729</v>
          </cell>
        </row>
        <row r="10">
          <cell r="F10" t="str">
            <v>% of GDP</v>
          </cell>
          <cell r="G10">
            <v>11.022404463983767</v>
          </cell>
          <cell r="H10">
            <v>8.9335312432119327</v>
          </cell>
          <cell r="I10">
            <v>8.8600139922406669</v>
          </cell>
          <cell r="J10">
            <v>8.17635426653883</v>
          </cell>
          <cell r="K10">
            <v>8.2619696379914362</v>
          </cell>
          <cell r="L10">
            <v>8.5154795991940304</v>
          </cell>
          <cell r="M10">
            <v>8.7594493973532082</v>
          </cell>
          <cell r="N10">
            <v>8.5189055696213138</v>
          </cell>
          <cell r="O10">
            <v>8.39871236935514</v>
          </cell>
          <cell r="P10">
            <v>8.2684421317781069</v>
          </cell>
          <cell r="Q10">
            <v>8.0859425364348514</v>
          </cell>
          <cell r="R10">
            <v>7.8627923948382419</v>
          </cell>
          <cell r="S10">
            <v>7.614497155714985</v>
          </cell>
          <cell r="T10">
            <v>7.3742211193464735</v>
          </cell>
          <cell r="U10">
            <v>7.1417000501631192</v>
          </cell>
          <cell r="V10">
            <v>6.9166785696717303</v>
          </cell>
          <cell r="W10">
            <v>6.6989098553364519</v>
          </cell>
          <cell r="X10">
            <v>6.488155349814126</v>
          </cell>
        </row>
        <row r="11">
          <cell r="D11" t="str">
            <v>Wages and salaries</v>
          </cell>
          <cell r="G11">
            <v>48.563000000000002</v>
          </cell>
          <cell r="H11">
            <v>50.244999999999997</v>
          </cell>
          <cell r="I11">
            <v>57.372999999999998</v>
          </cell>
          <cell r="J11">
            <v>62.265000000000001</v>
          </cell>
          <cell r="K11">
            <v>62.657999999999994</v>
          </cell>
          <cell r="L11">
            <v>69.523429589999978</v>
          </cell>
          <cell r="M11">
            <v>71.459000000000003</v>
          </cell>
          <cell r="N11">
            <v>71.487873074417877</v>
          </cell>
          <cell r="O11">
            <v>75.229679134917305</v>
          </cell>
          <cell r="P11">
            <v>79.167338170085813</v>
          </cell>
          <cell r="Q11">
            <v>83.980712330827046</v>
          </cell>
          <cell r="R11">
            <v>88.2301363747669</v>
          </cell>
          <cell r="S11">
            <v>91.785810870670005</v>
          </cell>
          <cell r="T11">
            <v>95.484779048758014</v>
          </cell>
          <cell r="U11">
            <v>99.332815644422951</v>
          </cell>
          <cell r="V11">
            <v>103.33592811489318</v>
          </cell>
          <cell r="W11">
            <v>107.50036601792337</v>
          </cell>
          <cell r="X11">
            <v>111.83263076844568</v>
          </cell>
        </row>
        <row r="12">
          <cell r="F12" t="str">
            <v>real wage bill index</v>
          </cell>
          <cell r="H12">
            <v>94.791104089741253</v>
          </cell>
          <cell r="I12">
            <v>104.94602732345375</v>
          </cell>
          <cell r="J12">
            <v>100.06205656966345</v>
          </cell>
          <cell r="K12">
            <v>90.927784274131454</v>
          </cell>
          <cell r="L12">
            <v>108.65474128712947</v>
          </cell>
          <cell r="M12">
            <v>98.594669860845016</v>
          </cell>
          <cell r="N12">
            <v>95.052746735897685</v>
          </cell>
          <cell r="O12">
            <v>100</v>
          </cell>
          <cell r="P12">
            <v>100</v>
          </cell>
          <cell r="Q12">
            <v>102</v>
          </cell>
          <cell r="R12">
            <v>102</v>
          </cell>
          <cell r="S12">
            <v>101</v>
          </cell>
          <cell r="T12">
            <v>101</v>
          </cell>
          <cell r="U12">
            <v>101</v>
          </cell>
          <cell r="V12">
            <v>101</v>
          </cell>
          <cell r="W12">
            <v>101</v>
          </cell>
          <cell r="X12">
            <v>101</v>
          </cell>
          <cell r="Y12" t="str">
            <v>why decline- reduced labor force?</v>
          </cell>
        </row>
        <row r="13">
          <cell r="F13" t="str">
            <v>% of GDP</v>
          </cell>
          <cell r="G13">
            <v>4.1057659790328032</v>
          </cell>
          <cell r="H13">
            <v>3.6380421403229306</v>
          </cell>
          <cell r="I13">
            <v>3.6489855625516756</v>
          </cell>
          <cell r="J13">
            <v>3.7311241610738253</v>
          </cell>
          <cell r="K13">
            <v>3.4842907190124004</v>
          </cell>
          <cell r="L13">
            <v>3.7860605342264328</v>
          </cell>
          <cell r="M13">
            <v>3.7245785327922247</v>
          </cell>
          <cell r="N13">
            <v>3.5170788884783186</v>
          </cell>
          <cell r="O13">
            <v>3.4674564383008826</v>
          </cell>
          <cell r="P13">
            <v>3.413673625633832</v>
          </cell>
          <cell r="Q13">
            <v>3.3772081820840674</v>
          </cell>
          <cell r="R13">
            <v>3.3219374167642139</v>
          </cell>
          <cell r="S13">
            <v>3.2355361907907763</v>
          </cell>
          <cell r="T13">
            <v>3.1513821991607793</v>
          </cell>
          <cell r="U13">
            <v>3.0694169929096686</v>
          </cell>
          <cell r="V13">
            <v>2.9895836432888245</v>
          </cell>
          <cell r="W13">
            <v>2.91182670222583</v>
          </cell>
          <cell r="X13">
            <v>2.8360921638131331</v>
          </cell>
        </row>
        <row r="14">
          <cell r="D14" t="str">
            <v>Other goods and services</v>
          </cell>
          <cell r="G14">
            <v>81.81</v>
          </cell>
          <cell r="H14">
            <v>73.135999999999996</v>
          </cell>
          <cell r="I14">
            <v>81.933000000000007</v>
          </cell>
          <cell r="J14">
            <v>74.182000000000002</v>
          </cell>
          <cell r="K14">
            <v>85.917000000000002</v>
          </cell>
          <cell r="L14">
            <v>86.846322290000018</v>
          </cell>
          <cell r="M14">
            <v>96.597999999999999</v>
          </cell>
          <cell r="N14">
            <v>101.66674170805754</v>
          </cell>
          <cell r="O14">
            <v>106.98816496369744</v>
          </cell>
          <cell r="P14">
            <v>112.58812124783725</v>
          </cell>
          <cell r="Q14">
            <v>117.09164609775074</v>
          </cell>
          <cell r="R14">
            <v>120.60439548068327</v>
          </cell>
          <cell r="S14">
            <v>124.22252734510376</v>
          </cell>
          <cell r="T14">
            <v>127.94920316545688</v>
          </cell>
          <cell r="U14">
            <v>131.78767926042059</v>
          </cell>
          <cell r="V14">
            <v>135.74130963823319</v>
          </cell>
          <cell r="W14">
            <v>139.8135489273802</v>
          </cell>
          <cell r="X14">
            <v>144.00795539520161</v>
          </cell>
        </row>
        <row r="15">
          <cell r="F15" t="str">
            <v>Real spending index</v>
          </cell>
          <cell r="H15">
            <v>81.903988293857694</v>
          </cell>
          <cell r="I15">
            <v>102.9624687896346</v>
          </cell>
          <cell r="J15">
            <v>83.478122493513197</v>
          </cell>
          <cell r="K15">
            <v>104.65130263094922</v>
          </cell>
          <cell r="L15">
            <v>98.984307828193053</v>
          </cell>
          <cell r="M15">
            <v>106.69507995870808</v>
          </cell>
          <cell r="N15">
            <v>100</v>
          </cell>
          <cell r="O15">
            <v>100</v>
          </cell>
          <cell r="P15">
            <v>100</v>
          </cell>
          <cell r="Q15">
            <v>100</v>
          </cell>
          <cell r="R15">
            <v>100</v>
          </cell>
          <cell r="S15">
            <v>100</v>
          </cell>
          <cell r="T15">
            <v>100</v>
          </cell>
          <cell r="U15">
            <v>100</v>
          </cell>
          <cell r="V15">
            <v>100</v>
          </cell>
          <cell r="W15">
            <v>100</v>
          </cell>
          <cell r="X15">
            <v>100</v>
          </cell>
          <cell r="Y15" t="str">
            <v>why flat in real terms</v>
          </cell>
        </row>
        <row r="16">
          <cell r="F16" t="str">
            <v>% of GDP</v>
          </cell>
          <cell r="G16">
            <v>6.9166384849509637</v>
          </cell>
          <cell r="H16">
            <v>5.2954891028890012</v>
          </cell>
          <cell r="I16">
            <v>5.2110284296889917</v>
          </cell>
          <cell r="J16">
            <v>4.4452301054650052</v>
          </cell>
          <cell r="K16">
            <v>4.7776789189790358</v>
          </cell>
          <cell r="L16">
            <v>4.7294190649675985</v>
          </cell>
          <cell r="M16">
            <v>5.0348708645609825</v>
          </cell>
          <cell r="N16">
            <v>5.0018266811429966</v>
          </cell>
          <cell r="O16">
            <v>4.9312559310542561</v>
          </cell>
          <cell r="P16">
            <v>4.8547685061442749</v>
          </cell>
          <cell r="Q16">
            <v>4.708734354350784</v>
          </cell>
          <cell r="R16">
            <v>4.5408549780740275</v>
          </cell>
          <cell r="S16">
            <v>4.3789609649242083</v>
          </cell>
          <cell r="T16">
            <v>4.2228389201856942</v>
          </cell>
          <cell r="U16">
            <v>4.0722830572534496</v>
          </cell>
          <cell r="V16">
            <v>3.9270949263829049</v>
          </cell>
          <cell r="W16">
            <v>3.7870831531106215</v>
          </cell>
          <cell r="X16">
            <v>3.6520631860009929</v>
          </cell>
        </row>
        <row r="17">
          <cell r="C17" t="str">
            <v>Transfers</v>
          </cell>
          <cell r="G17">
            <v>206.40500000000003</v>
          </cell>
          <cell r="H17">
            <v>241.85800000000003</v>
          </cell>
          <cell r="I17">
            <v>278.84100000000001</v>
          </cell>
          <cell r="J17">
            <v>318.41499999999996</v>
          </cell>
          <cell r="K17">
            <v>346.678</v>
          </cell>
          <cell r="L17">
            <v>372.86318196000002</v>
          </cell>
          <cell r="M17">
            <v>403.149</v>
          </cell>
          <cell r="N17">
            <v>428.92200372174028</v>
          </cell>
          <cell r="O17">
            <v>460.4000174114592</v>
          </cell>
          <cell r="P17">
            <v>494.18816053555645</v>
          </cell>
          <cell r="Q17">
            <v>523.23455878209938</v>
          </cell>
          <cell r="R17">
            <v>547.62912413016556</v>
          </cell>
          <cell r="S17">
            <v>0</v>
          </cell>
          <cell r="T17">
            <v>0</v>
          </cell>
          <cell r="U17">
            <v>0</v>
          </cell>
          <cell r="V17">
            <v>0</v>
          </cell>
          <cell r="W17">
            <v>0</v>
          </cell>
          <cell r="X17">
            <v>0</v>
          </cell>
        </row>
        <row r="18">
          <cell r="F18" t="str">
            <v>% of GDP</v>
          </cell>
          <cell r="G18">
            <v>17.450541088941499</v>
          </cell>
          <cell r="H18">
            <v>17.511983201795672</v>
          </cell>
          <cell r="I18">
            <v>17.734592634993323</v>
          </cell>
          <cell r="J18">
            <v>19.080476989453498</v>
          </cell>
          <cell r="K18">
            <v>19.278095979536229</v>
          </cell>
          <cell r="L18">
            <v>20.305134344061429</v>
          </cell>
          <cell r="M18">
            <v>21.012890061666862</v>
          </cell>
          <cell r="N18">
            <v>21.102215791525499</v>
          </cell>
          <cell r="O18">
            <v>21.220574418563981</v>
          </cell>
          <cell r="P18">
            <v>21.309256174513852</v>
          </cell>
          <cell r="Q18">
            <v>21.041403246342895</v>
          </cell>
          <cell r="R18">
            <v>20.61868827030494</v>
          </cell>
          <cell r="S18">
            <v>0</v>
          </cell>
          <cell r="T18">
            <v>0</v>
          </cell>
          <cell r="U18">
            <v>0</v>
          </cell>
          <cell r="V18">
            <v>0</v>
          </cell>
          <cell r="W18">
            <v>0</v>
          </cell>
          <cell r="X18">
            <v>0</v>
          </cell>
        </row>
        <row r="19">
          <cell r="D19" t="str">
            <v>Health Insurance</v>
          </cell>
          <cell r="G19">
            <v>63.2</v>
          </cell>
          <cell r="H19">
            <v>74.114999999999995</v>
          </cell>
          <cell r="I19">
            <v>86.283000000000001</v>
          </cell>
          <cell r="J19">
            <v>92.977999999999994</v>
          </cell>
          <cell r="K19">
            <v>101.45</v>
          </cell>
          <cell r="L19">
            <v>106.361</v>
          </cell>
          <cell r="M19">
            <v>114.14700000000001</v>
          </cell>
          <cell r="N19">
            <v>122.53931382704236</v>
          </cell>
          <cell r="O19">
            <v>131.53231060665917</v>
          </cell>
          <cell r="P19">
            <v>141.18529142366293</v>
          </cell>
          <cell r="Q19">
            <v>149.76935714222165</v>
          </cell>
          <cell r="R19">
            <v>157.34768661361807</v>
          </cell>
          <cell r="S19">
            <v>164.82799563522946</v>
          </cell>
          <cell r="T19">
            <v>172.66391854772829</v>
          </cell>
          <cell r="U19">
            <v>180.87236123548726</v>
          </cell>
          <cell r="V19">
            <v>189.47103328862232</v>
          </cell>
          <cell r="W19">
            <v>198.47848621116344</v>
          </cell>
          <cell r="X19">
            <v>207.91415344564211</v>
          </cell>
        </row>
        <row r="20">
          <cell r="F20" t="str">
            <v>Real spending index</v>
          </cell>
          <cell r="H20">
            <v>106.40352082451321</v>
          </cell>
          <cell r="I20">
            <v>107.19197772023175</v>
          </cell>
          <cell r="J20">
            <v>100.48311389152596</v>
          </cell>
          <cell r="K20">
            <v>99.028350986251482</v>
          </cell>
          <cell r="L20">
            <v>102.42214182843634</v>
          </cell>
          <cell r="M20">
            <v>104.24809559079746</v>
          </cell>
          <cell r="N20">
            <v>102</v>
          </cell>
          <cell r="O20">
            <v>102</v>
          </cell>
          <cell r="P20">
            <v>102</v>
          </cell>
          <cell r="Q20">
            <v>102</v>
          </cell>
          <cell r="R20">
            <v>102</v>
          </cell>
          <cell r="S20">
            <v>102</v>
          </cell>
          <cell r="T20">
            <v>102</v>
          </cell>
          <cell r="U20">
            <v>102</v>
          </cell>
          <cell r="V20">
            <v>102</v>
          </cell>
          <cell r="W20">
            <v>102</v>
          </cell>
          <cell r="X20">
            <v>102</v>
          </cell>
          <cell r="Y20" t="str">
            <v>health care costs increase more than CPI</v>
          </cell>
        </row>
        <row r="21">
          <cell r="F21" t="str">
            <v>% of GDP</v>
          </cell>
          <cell r="G21">
            <v>5.3432532972607376</v>
          </cell>
          <cell r="H21">
            <v>5.3663746289189778</v>
          </cell>
          <cell r="I21">
            <v>5.4876931883228401</v>
          </cell>
          <cell r="J21">
            <v>5.5715484180249275</v>
          </cell>
          <cell r="K21">
            <v>5.6414391369626875</v>
          </cell>
          <cell r="L21">
            <v>5.792136361161031</v>
          </cell>
          <cell r="M21">
            <v>5.9495580092449378</v>
          </cell>
          <cell r="N21">
            <v>6.028720888381522</v>
          </cell>
          <cell r="O21">
            <v>6.0625349264046555</v>
          </cell>
          <cell r="P21">
            <v>6.087870538541087</v>
          </cell>
          <cell r="Q21">
            <v>6.0228388677350564</v>
          </cell>
          <cell r="R21">
            <v>5.9242701992757576</v>
          </cell>
          <cell r="S21">
            <v>5.8103419262127618</v>
          </cell>
          <cell r="T21">
            <v>5.6986045814779018</v>
          </cell>
          <cell r="U21">
            <v>5.5890160318340962</v>
          </cell>
          <cell r="V21">
            <v>5.4815349542988248</v>
          </cell>
          <cell r="W21">
            <v>5.3761208205623099</v>
          </cell>
          <cell r="X21">
            <v>5.2727338817053422</v>
          </cell>
          <cell r="Y21" t="str">
            <v>and demographics?</v>
          </cell>
        </row>
        <row r="22">
          <cell r="D22" t="str">
            <v>Transfers to households</v>
          </cell>
          <cell r="G22">
            <v>137.99600000000001</v>
          </cell>
          <cell r="H22">
            <v>158.46100000000001</v>
          </cell>
          <cell r="I22">
            <v>182.167</v>
          </cell>
          <cell r="J22">
            <v>210.02599999999998</v>
          </cell>
          <cell r="K22">
            <v>227.732</v>
          </cell>
          <cell r="L22">
            <v>246.37780027000002</v>
          </cell>
          <cell r="M22">
            <v>260.85829999999999</v>
          </cell>
          <cell r="N22">
            <v>281.00065817829329</v>
          </cell>
          <cell r="O22">
            <v>301.62292163926202</v>
          </cell>
          <cell r="P22">
            <v>323.75862550642285</v>
          </cell>
          <cell r="Q22">
            <v>342.44290802319438</v>
          </cell>
          <cell r="R22">
            <v>357.68941584286006</v>
          </cell>
          <cell r="S22">
            <v>274.30544086394895</v>
          </cell>
          <cell r="T22">
            <v>296.66133429436081</v>
          </cell>
          <cell r="U22">
            <v>320.8392330393512</v>
          </cell>
          <cell r="V22">
            <v>346.9876305320584</v>
          </cell>
          <cell r="W22">
            <v>375.26712242042123</v>
          </cell>
          <cell r="X22">
            <v>405.85139289768557</v>
          </cell>
        </row>
        <row r="23">
          <cell r="F23" t="str">
            <v>% of GDP</v>
          </cell>
          <cell r="G23">
            <v>11.666892120392291</v>
          </cell>
          <cell r="H23">
            <v>11.473535587575123</v>
          </cell>
          <cell r="I23">
            <v>11.586020479552248</v>
          </cell>
          <cell r="J23">
            <v>12.585450623202302</v>
          </cell>
          <cell r="K23">
            <v>12.663737974753936</v>
          </cell>
          <cell r="L23">
            <v>13.417077834231881</v>
          </cell>
          <cell r="M23">
            <v>13.596429061149385</v>
          </cell>
          <cell r="N23">
            <v>13.824743135085019</v>
          </cell>
          <cell r="O23">
            <v>13.902283694464826</v>
          </cell>
          <cell r="P23">
            <v>13.960381977075869</v>
          </cell>
          <cell r="Q23">
            <v>13.771030975740766</v>
          </cell>
          <cell r="R23">
            <v>13.467301569407446</v>
          </cell>
          <cell r="S23">
            <v>9.6695248734762007</v>
          </cell>
          <cell r="T23">
            <v>9.7910186040975518</v>
          </cell>
          <cell r="U23">
            <v>9.9140388550778056</v>
          </cell>
          <cell r="V23">
            <v>10.038604806537572</v>
          </cell>
          <cell r="W23">
            <v>10.164735879588035</v>
          </cell>
          <cell r="X23">
            <v>10.292451739358906</v>
          </cell>
        </row>
        <row r="24">
          <cell r="E24" t="str">
            <v>Pensions</v>
          </cell>
          <cell r="G24">
            <v>88.2</v>
          </cell>
          <cell r="H24">
            <v>109.8</v>
          </cell>
          <cell r="I24">
            <v>127.58</v>
          </cell>
          <cell r="J24">
            <v>151.11500000000001</v>
          </cell>
          <cell r="K24">
            <v>166.12100000000001</v>
          </cell>
          <cell r="L24">
            <v>177.85400000000001</v>
          </cell>
          <cell r="M24">
            <v>183.1</v>
          </cell>
          <cell r="N24">
            <v>197.5254137447356</v>
          </cell>
          <cell r="O24">
            <v>212.02154036909468</v>
          </cell>
          <cell r="P24">
            <v>227.58151838920895</v>
          </cell>
          <cell r="Q24">
            <v>241.41847470727288</v>
          </cell>
          <cell r="R24">
            <v>253.6342495274609</v>
          </cell>
          <cell r="S24">
            <v>274.30544086394895</v>
          </cell>
          <cell r="T24">
            <v>296.66133429436081</v>
          </cell>
          <cell r="U24">
            <v>320.8392330393512</v>
          </cell>
          <cell r="V24">
            <v>346.9876305320584</v>
          </cell>
          <cell r="W24">
            <v>375.26712242042123</v>
          </cell>
          <cell r="X24">
            <v>405.85139289768557</v>
          </cell>
        </row>
        <row r="25">
          <cell r="F25" t="str">
            <v>Real spending index</v>
          </cell>
          <cell r="H25">
            <v>114.05491201785389</v>
          </cell>
          <cell r="I25">
            <v>106.79023741373292</v>
          </cell>
          <cell r="J25">
            <v>109.20888407161165</v>
          </cell>
          <cell r="K25">
            <v>99.330136818587548</v>
          </cell>
          <cell r="L25">
            <v>104.84147516610484</v>
          </cell>
          <cell r="M25">
            <v>98.75347747765548</v>
          </cell>
          <cell r="N25">
            <v>102.5</v>
          </cell>
          <cell r="O25">
            <v>102</v>
          </cell>
          <cell r="P25">
            <v>102</v>
          </cell>
          <cell r="Q25">
            <v>102</v>
          </cell>
          <cell r="R25">
            <v>102</v>
          </cell>
          <cell r="S25">
            <v>105</v>
          </cell>
          <cell r="T25">
            <v>105</v>
          </cell>
          <cell r="U25">
            <v>105</v>
          </cell>
          <cell r="V25">
            <v>105</v>
          </cell>
          <cell r="W25">
            <v>105</v>
          </cell>
          <cell r="X25">
            <v>105</v>
          </cell>
          <cell r="Y25" t="str">
            <v>demographics?</v>
          </cell>
        </row>
        <row r="26">
          <cell r="F26" t="str">
            <v>% of GDP</v>
          </cell>
          <cell r="G26">
            <v>7.4568819749746371</v>
          </cell>
          <cell r="H26">
            <v>7.950184635435523</v>
          </cell>
          <cell r="I26">
            <v>8.1142275647141133</v>
          </cell>
          <cell r="J26">
            <v>9.0553092042186005</v>
          </cell>
          <cell r="K26">
            <v>9.237668909525663</v>
          </cell>
          <cell r="L26">
            <v>9.6854544464412147</v>
          </cell>
          <cell r="M26">
            <v>9.5435190718349858</v>
          </cell>
          <cell r="N26">
            <v>9.7179064468230667</v>
          </cell>
          <cell r="O26">
            <v>9.7724124795590335</v>
          </cell>
          <cell r="P26">
            <v>9.8132518405235327</v>
          </cell>
          <cell r="Q26">
            <v>9.7084250116365762</v>
          </cell>
          <cell r="R26">
            <v>9.5495387210933522</v>
          </cell>
          <cell r="S26">
            <v>9.6695248734762007</v>
          </cell>
          <cell r="T26">
            <v>9.7910186040975518</v>
          </cell>
          <cell r="U26">
            <v>9.9140388550778056</v>
          </cell>
          <cell r="V26">
            <v>10.038604806537572</v>
          </cell>
          <cell r="W26">
            <v>10.164735879588035</v>
          </cell>
          <cell r="X26">
            <v>10.292451739358906</v>
          </cell>
        </row>
        <row r="27">
          <cell r="E27" t="str">
            <v>Other social transfers</v>
          </cell>
          <cell r="G27">
            <v>49.796000000000006</v>
          </cell>
          <cell r="H27">
            <v>48.661000000000016</v>
          </cell>
          <cell r="I27">
            <v>54.587000000000003</v>
          </cell>
          <cell r="J27">
            <v>58.910999999999973</v>
          </cell>
          <cell r="K27">
            <v>61.61099999999999</v>
          </cell>
          <cell r="L27">
            <v>68.52380027000001</v>
          </cell>
          <cell r="M27">
            <v>77.758299999999991</v>
          </cell>
          <cell r="N27">
            <v>83.475244433557677</v>
          </cell>
          <cell r="O27">
            <v>89.601381270167309</v>
          </cell>
          <cell r="P27">
            <v>96.177107117213879</v>
          </cell>
          <cell r="Q27">
            <v>101.02443331592147</v>
          </cell>
          <cell r="R27">
            <v>104.05516631539913</v>
          </cell>
          <cell r="S27">
            <v>0</v>
          </cell>
          <cell r="T27">
            <v>0</v>
          </cell>
          <cell r="U27">
            <v>0</v>
          </cell>
          <cell r="V27">
            <v>0</v>
          </cell>
          <cell r="W27">
            <v>0</v>
          </cell>
          <cell r="X27">
            <v>0</v>
          </cell>
          <cell r="Y27" t="str">
            <v>zrychlení nezaměstnanosti.+změna legislativy:nemoceské</v>
          </cell>
        </row>
        <row r="28">
          <cell r="F28" t="str">
            <v>Real spending index</v>
          </cell>
          <cell r="H28">
            <v>89.529634222822125</v>
          </cell>
          <cell r="I28">
            <v>103.10019618524669</v>
          </cell>
          <cell r="J28">
            <v>99.503912967547365</v>
          </cell>
          <cell r="K28">
            <v>94.498722047217072</v>
          </cell>
          <cell r="L28">
            <v>108.9123691981317</v>
          </cell>
          <cell r="M28">
            <v>108.85114635142261</v>
          </cell>
          <cell r="N28">
            <v>102</v>
          </cell>
          <cell r="O28">
            <v>102</v>
          </cell>
          <cell r="P28">
            <v>102</v>
          </cell>
          <cell r="Q28">
            <v>101</v>
          </cell>
          <cell r="R28">
            <v>100</v>
          </cell>
        </row>
        <row r="29">
          <cell r="F29" t="str">
            <v>% of GDP</v>
          </cell>
          <cell r="G29">
            <v>4.2100101454176535</v>
          </cell>
          <cell r="H29">
            <v>3.5233509521395998</v>
          </cell>
          <cell r="I29">
            <v>3.4717929148381357</v>
          </cell>
          <cell r="J29">
            <v>3.5301414189836997</v>
          </cell>
          <cell r="K29">
            <v>3.4260690652282704</v>
          </cell>
          <cell r="L29">
            <v>3.731623387790667</v>
          </cell>
          <cell r="M29">
            <v>4.0529099893143981</v>
          </cell>
          <cell r="N29">
            <v>4.1068366882619509</v>
          </cell>
          <cell r="O29">
            <v>4.1298712149057906</v>
          </cell>
          <cell r="P29">
            <v>4.1471301365523363</v>
          </cell>
          <cell r="Q29">
            <v>4.0626059641041907</v>
          </cell>
          <cell r="R29">
            <v>3.9177628483140934</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cell r="X30" t="e">
            <v>#REF!</v>
          </cell>
          <cell r="Z30">
            <v>-50.475618309999987</v>
          </cell>
          <cell r="AA30">
            <v>-54.256300000000003</v>
          </cell>
          <cell r="AB30">
            <v>-61.21796828359534</v>
          </cell>
          <cell r="AC30">
            <v>-63.055214834461978</v>
          </cell>
        </row>
        <row r="31">
          <cell r="F31" t="str">
            <v>Real spending index</v>
          </cell>
          <cell r="H31">
            <v>163.25535870808807</v>
          </cell>
          <cell r="I31">
            <v>102.88855669900016</v>
          </cell>
          <cell r="J31">
            <v>136.74342937592451</v>
          </cell>
          <cell r="K31">
            <v>102.58220311058332</v>
          </cell>
          <cell r="L31">
            <v>112.63615026183211</v>
          </cell>
          <cell r="M31">
            <v>134.14865953907932</v>
          </cell>
          <cell r="N31">
            <v>102</v>
          </cell>
          <cell r="O31">
            <v>102</v>
          </cell>
          <cell r="P31">
            <v>102</v>
          </cell>
          <cell r="Q31">
            <v>102</v>
          </cell>
          <cell r="R31">
            <v>102</v>
          </cell>
        </row>
        <row r="32">
          <cell r="F32" t="str">
            <v>% of GDP</v>
          </cell>
          <cell r="G32">
            <v>0.44039567128846807</v>
          </cell>
          <cell r="H32">
            <v>0.67207298530157122</v>
          </cell>
          <cell r="I32">
            <v>0.66087896711823446</v>
          </cell>
          <cell r="J32">
            <v>0.92347794822627038</v>
          </cell>
          <cell r="K32">
            <v>0.9729188678196079</v>
          </cell>
          <cell r="L32">
            <v>1.0959201486685186</v>
          </cell>
          <cell r="M32">
            <v>1.4669029912725415</v>
          </cell>
          <cell r="N32">
            <v>1.2487517680589608</v>
          </cell>
          <cell r="O32">
            <v>1.2557557976944975</v>
          </cell>
          <cell r="P32">
            <v>1.2610036588968956</v>
          </cell>
          <cell r="Q32">
            <v>1.2475334028670693</v>
          </cell>
          <cell r="R32">
            <v>1.2271165016217354</v>
          </cell>
          <cell r="S32" t="e">
            <v>#REF!</v>
          </cell>
          <cell r="T32" t="e">
            <v>#REF!</v>
          </cell>
          <cell r="U32" t="e">
            <v>#REF!</v>
          </cell>
          <cell r="V32" t="e">
            <v>#REF!</v>
          </cell>
          <cell r="W32" t="e">
            <v>#REF!</v>
          </cell>
          <cell r="X32" t="e">
            <v>#REF!</v>
          </cell>
        </row>
        <row r="33">
          <cell r="C33" t="str">
            <v>Subsidies to Enterprises</v>
          </cell>
          <cell r="G33">
            <v>83.12</v>
          </cell>
          <cell r="H33">
            <v>114.06399999999999</v>
          </cell>
          <cell r="I33">
            <v>125.47799999999999</v>
          </cell>
          <cell r="J33">
            <v>129.42599999999999</v>
          </cell>
          <cell r="K33">
            <v>139.08000000000001</v>
          </cell>
          <cell r="L33">
            <v>139.14103383999998</v>
          </cell>
          <cell r="M33">
            <v>190.65799999999999</v>
          </cell>
          <cell r="N33">
            <v>234.25844890176808</v>
          </cell>
          <cell r="O33">
            <v>148.05088643592248</v>
          </cell>
          <cell r="P33">
            <v>149.37093643234294</v>
          </cell>
          <cell r="Q33">
            <v>144.67054521992188</v>
          </cell>
          <cell r="R33">
            <v>145.60511694204254</v>
          </cell>
          <cell r="S33">
            <v>148.04109054848288</v>
          </cell>
          <cell r="T33">
            <v>150.51781799335902</v>
          </cell>
          <cell r="U33">
            <v>153.0359810883879</v>
          </cell>
          <cell r="V33">
            <v>155.59627305199663</v>
          </cell>
          <cell r="W33">
            <v>158.19939870015651</v>
          </cell>
          <cell r="X33">
            <v>160.84607464041011</v>
          </cell>
        </row>
        <row r="34">
          <cell r="F34" t="str">
            <v>Real spending index</v>
          </cell>
          <cell r="H34">
            <v>124.51166105204774</v>
          </cell>
          <cell r="I34">
            <v>101.28896897416595</v>
          </cell>
          <cell r="J34">
            <v>96.181614567495686</v>
          </cell>
          <cell r="K34">
            <v>97.528343701887906</v>
          </cell>
          <cell r="L34">
            <v>97.73588206943505</v>
          </cell>
          <cell r="M34">
            <v>133.10238794028254</v>
          </cell>
          <cell r="N34">
            <v>118.52780050500111</v>
          </cell>
          <cell r="O34">
            <v>61.001830181106179</v>
          </cell>
          <cell r="P34">
            <v>97.759932329027606</v>
          </cell>
          <cell r="Q34">
            <v>93.759156806537007</v>
          </cell>
          <cell r="R34">
            <v>97.999999999999972</v>
          </cell>
          <cell r="S34">
            <v>99</v>
          </cell>
          <cell r="T34">
            <v>99</v>
          </cell>
          <cell r="U34">
            <v>99</v>
          </cell>
          <cell r="V34">
            <v>99</v>
          </cell>
          <cell r="W34">
            <v>99</v>
          </cell>
          <cell r="X34">
            <v>99</v>
          </cell>
          <cell r="Y34" t="str">
            <v>is slower growth in this reasonable</v>
          </cell>
        </row>
        <row r="35">
          <cell r="F35" t="str">
            <v>% of GDP</v>
          </cell>
          <cell r="G35">
            <v>7.0273926276631729</v>
          </cell>
          <cell r="H35">
            <v>8.2589240460502484</v>
          </cell>
          <cell r="I35">
            <v>7.9805380652547218</v>
          </cell>
          <cell r="J35">
            <v>7.7556327900287627</v>
          </cell>
          <cell r="K35">
            <v>7.7339709725852206</v>
          </cell>
          <cell r="L35">
            <v>7.5772495692424977</v>
          </cell>
          <cell r="M35">
            <v>9.9374563582627786</v>
          </cell>
          <cell r="N35">
            <v>11.525107821048353</v>
          </cell>
          <cell r="O35">
            <v>6.8239025511158919</v>
          </cell>
          <cell r="P35">
            <v>6.4408332769736747</v>
          </cell>
          <cell r="Q35">
            <v>5.8177947705253965</v>
          </cell>
          <cell r="R35">
            <v>5.4821527645335459</v>
          </cell>
          <cell r="S35">
            <v>5.2185877277771251</v>
          </cell>
          <cell r="T35">
            <v>4.9676940870186099</v>
          </cell>
          <cell r="U35">
            <v>4.7288626405273311</v>
          </cell>
          <cell r="V35">
            <v>4.5015134751173633</v>
          </cell>
          <cell r="W35">
            <v>4.2850945580444124</v>
          </cell>
          <cell r="X35">
            <v>4.07908039659997</v>
          </cell>
        </row>
        <row r="36">
          <cell r="D36" t="str">
            <v>Subsidies (ex. TI)</v>
          </cell>
          <cell r="G36">
            <v>83.12</v>
          </cell>
          <cell r="H36">
            <v>110.66399999999999</v>
          </cell>
          <cell r="I36">
            <v>110.07799999999999</v>
          </cell>
          <cell r="J36">
            <v>123.32599999999999</v>
          </cell>
          <cell r="K36">
            <v>121.18</v>
          </cell>
          <cell r="L36">
            <v>131.84103383999997</v>
          </cell>
          <cell r="M36">
            <v>133.95799999999997</v>
          </cell>
          <cell r="N36">
            <v>137.05844890176809</v>
          </cell>
          <cell r="O36">
            <v>140.15088643592247</v>
          </cell>
          <cell r="P36">
            <v>142.47093643234294</v>
          </cell>
          <cell r="Q36">
            <v>144.67054521992188</v>
          </cell>
          <cell r="R36">
            <v>145.60511694204254</v>
          </cell>
        </row>
        <row r="37">
          <cell r="F37" t="str">
            <v>Real spending index</v>
          </cell>
          <cell r="H37">
            <v>120.80023897692358</v>
          </cell>
          <cell r="I37">
            <v>91.587736573436899</v>
          </cell>
          <cell r="J37">
            <v>104.47015454075574</v>
          </cell>
          <cell r="K37">
            <v>89.179287549864526</v>
          </cell>
          <cell r="L37">
            <v>106.28773313794315</v>
          </cell>
          <cell r="M37">
            <v>98.697032483678655</v>
          </cell>
          <cell r="N37">
            <v>98.7</v>
          </cell>
          <cell r="O37">
            <v>98.7</v>
          </cell>
          <cell r="P37">
            <v>98.5</v>
          </cell>
          <cell r="Q37">
            <v>98.3</v>
          </cell>
          <cell r="R37">
            <v>98</v>
          </cell>
        </row>
        <row r="38">
          <cell r="F38" t="str">
            <v>% of GDP</v>
          </cell>
          <cell r="G38">
            <v>7.0273926276631729</v>
          </cell>
          <cell r="H38">
            <v>8.0127434653537026</v>
          </cell>
          <cell r="I38">
            <v>7.0010812185969593</v>
          </cell>
          <cell r="J38">
            <v>7.3901006711409396</v>
          </cell>
          <cell r="K38">
            <v>6.7385864427514877</v>
          </cell>
          <cell r="L38">
            <v>7.1797110406796261</v>
          </cell>
          <cell r="M38">
            <v>6.9821448816213589</v>
          </cell>
          <cell r="N38">
            <v>6.7430370549448355</v>
          </cell>
          <cell r="O38">
            <v>6.4597788943679957</v>
          </cell>
          <cell r="P38">
            <v>6.1433071941051489</v>
          </cell>
          <cell r="Q38">
            <v>5.8177947705253965</v>
          </cell>
          <cell r="R38">
            <v>5.4821527645335459</v>
          </cell>
        </row>
        <row r="39">
          <cell r="D39" t="str">
            <v>expenditures of transformation institutions</v>
          </cell>
          <cell r="G39">
            <v>0</v>
          </cell>
          <cell r="H39">
            <v>3.4</v>
          </cell>
          <cell r="I39">
            <v>15.4</v>
          </cell>
          <cell r="J39">
            <v>6.1</v>
          </cell>
          <cell r="K39">
            <v>17.899999999999999</v>
          </cell>
          <cell r="L39">
            <v>7.3</v>
          </cell>
          <cell r="M39">
            <v>56.7</v>
          </cell>
          <cell r="N39">
            <v>97.199999999999989</v>
          </cell>
          <cell r="O39">
            <v>7.9</v>
          </cell>
          <cell r="P39">
            <v>6.9</v>
          </cell>
          <cell r="Q39">
            <v>0</v>
          </cell>
          <cell r="R39">
            <v>0</v>
          </cell>
        </row>
        <row r="40">
          <cell r="F40" t="str">
            <v>Real spending index</v>
          </cell>
          <cell r="I40">
            <v>417.04696379601262</v>
          </cell>
          <cell r="J40">
            <v>36.935776698890542</v>
          </cell>
          <cell r="K40">
            <v>266.32435993212266</v>
          </cell>
          <cell r="L40">
            <v>39.84128360676398</v>
          </cell>
          <cell r="M40">
            <v>754.47740616375393</v>
          </cell>
          <cell r="N40">
            <v>165.3724654088625</v>
          </cell>
          <cell r="O40">
            <v>7.8449095863218385</v>
          </cell>
          <cell r="P40">
            <v>84.630674087337411</v>
          </cell>
          <cell r="Q40">
            <v>0</v>
          </cell>
        </row>
        <row r="41">
          <cell r="F41" t="str">
            <v>% of GDP</v>
          </cell>
          <cell r="G41">
            <v>0</v>
          </cell>
          <cell r="H41">
            <v>0.24618058069654625</v>
          </cell>
          <cell r="I41">
            <v>0.97945684665776256</v>
          </cell>
          <cell r="J41">
            <v>0.36553211888782355</v>
          </cell>
          <cell r="K41">
            <v>0.99538452983373182</v>
          </cell>
          <cell r="L41">
            <v>0.39753852856287097</v>
          </cell>
          <cell r="M41">
            <v>2.9553114766414188</v>
          </cell>
          <cell r="N41">
            <v>4.7820707661035176</v>
          </cell>
          <cell r="O41">
            <v>0.36412365674789587</v>
          </cell>
          <cell r="P41">
            <v>0.29752608286852439</v>
          </cell>
          <cell r="Q41">
            <v>0</v>
          </cell>
          <cell r="R41">
            <v>0</v>
          </cell>
        </row>
        <row r="42">
          <cell r="D42" t="str">
            <v>other subsidies not included</v>
          </cell>
        </row>
        <row r="43">
          <cell r="C43" t="str">
            <v>Interest payments</v>
          </cell>
          <cell r="G43">
            <v>15.423999999999999</v>
          </cell>
          <cell r="H43">
            <v>16.562000000000001</v>
          </cell>
          <cell r="I43">
            <v>16.27</v>
          </cell>
          <cell r="J43">
            <v>20.739000000000001</v>
          </cell>
          <cell r="K43">
            <v>21.206</v>
          </cell>
          <cell r="L43">
            <v>19.600529869999999</v>
          </cell>
          <cell r="M43">
            <v>20.445</v>
          </cell>
          <cell r="N43">
            <v>25.148074500000011</v>
          </cell>
          <cell r="O43">
            <v>34.067962717348671</v>
          </cell>
          <cell r="P43">
            <v>40.255078454746943</v>
          </cell>
          <cell r="Q43">
            <v>40.79895481748401</v>
          </cell>
          <cell r="R43">
            <v>43.541271576613347</v>
          </cell>
          <cell r="S43">
            <v>48.096772800453351</v>
          </cell>
          <cell r="T43" t="e">
            <v>#REF!</v>
          </cell>
          <cell r="U43" t="e">
            <v>#REF!</v>
          </cell>
          <cell r="V43" t="e">
            <v>#REF!</v>
          </cell>
          <cell r="W43" t="e">
            <v>#REF!</v>
          </cell>
          <cell r="X43" t="e">
            <v>#REF!</v>
          </cell>
        </row>
        <row r="44">
          <cell r="F44" t="str">
            <v>adj interest rate</v>
          </cell>
          <cell r="H44">
            <v>7.9538196295389181</v>
          </cell>
          <cell r="I44">
            <v>7.7136057195414516</v>
          </cell>
          <cell r="J44">
            <v>10.031511451164148</v>
          </cell>
          <cell r="K44">
            <v>9.7497965696623972</v>
          </cell>
          <cell r="L44">
            <v>8.1541805145315216</v>
          </cell>
          <cell r="M44">
            <v>7.4448599696306514</v>
          </cell>
          <cell r="N44">
            <v>7.2750000000000004</v>
          </cell>
          <cell r="O44">
            <v>7.75</v>
          </cell>
          <cell r="P44">
            <v>7.9249999999999998</v>
          </cell>
          <cell r="Q44">
            <v>7</v>
          </cell>
          <cell r="R44">
            <v>6.6</v>
          </cell>
          <cell r="S44">
            <v>6.6</v>
          </cell>
          <cell r="T44">
            <v>6.6</v>
          </cell>
          <cell r="U44">
            <v>6.6</v>
          </cell>
          <cell r="V44">
            <v>6.6</v>
          </cell>
          <cell r="W44">
            <v>6.6</v>
          </cell>
          <cell r="X44">
            <v>6.6</v>
          </cell>
        </row>
        <row r="45">
          <cell r="F45" t="str">
            <v>interest rate</v>
          </cell>
          <cell r="G45">
            <v>9</v>
          </cell>
          <cell r="H45">
            <v>9</v>
          </cell>
          <cell r="I45">
            <v>9.3000000000000007</v>
          </cell>
          <cell r="J45">
            <v>10.0275</v>
          </cell>
          <cell r="K45">
            <v>10.53</v>
          </cell>
          <cell r="L45">
            <v>12.074166666666667</v>
          </cell>
          <cell r="M45">
            <v>7.58</v>
          </cell>
          <cell r="N45">
            <v>7.2750000000000004</v>
          </cell>
          <cell r="O45">
            <v>7.75</v>
          </cell>
          <cell r="P45">
            <v>7.9249999999999998</v>
          </cell>
          <cell r="Q45">
            <v>7</v>
          </cell>
          <cell r="R45">
            <v>6.6</v>
          </cell>
          <cell r="S45">
            <v>6.6</v>
          </cell>
          <cell r="T45">
            <v>6.6</v>
          </cell>
          <cell r="U45">
            <v>6.6</v>
          </cell>
          <cell r="V45">
            <v>6.6</v>
          </cell>
          <cell r="W45">
            <v>6.6</v>
          </cell>
          <cell r="X45">
            <v>6.6</v>
          </cell>
        </row>
        <row r="46">
          <cell r="F46" t="str">
            <v>adj factor</v>
          </cell>
          <cell r="M46">
            <v>1</v>
          </cell>
          <cell r="N46">
            <v>0</v>
          </cell>
          <cell r="O46">
            <v>0</v>
          </cell>
          <cell r="P46">
            <v>0</v>
          </cell>
          <cell r="Q46">
            <v>0</v>
          </cell>
          <cell r="R46">
            <v>0</v>
          </cell>
          <cell r="S46">
            <v>0</v>
          </cell>
          <cell r="T46">
            <v>0</v>
          </cell>
          <cell r="U46">
            <v>0</v>
          </cell>
          <cell r="V46">
            <v>0</v>
          </cell>
          <cell r="W46">
            <v>0</v>
          </cell>
          <cell r="X46">
            <v>0</v>
          </cell>
        </row>
        <row r="47">
          <cell r="F47" t="str">
            <v>% of GDP</v>
          </cell>
          <cell r="G47">
            <v>1.3040243490023673</v>
          </cell>
          <cell r="H47">
            <v>1.1991890522047643</v>
          </cell>
          <cell r="I47">
            <v>1.0347897983845322</v>
          </cell>
          <cell r="J47">
            <v>1.2427492809204219</v>
          </cell>
          <cell r="K47">
            <v>1.1792248234443641</v>
          </cell>
          <cell r="L47">
            <v>1.0673925758318357</v>
          </cell>
          <cell r="M47">
            <v>1.0656321541434532</v>
          </cell>
          <cell r="N47">
            <v>1.2372414803522984</v>
          </cell>
          <cell r="O47">
            <v>1.5702469826065799</v>
          </cell>
          <cell r="P47">
            <v>1.7357877982907228</v>
          </cell>
          <cell r="Q47">
            <v>1.6406929663480299</v>
          </cell>
          <cell r="R47">
            <v>1.6393647926538883</v>
          </cell>
          <cell r="S47">
            <v>1.6954564935464984</v>
          </cell>
          <cell r="T47" t="e">
            <v>#REF!</v>
          </cell>
          <cell r="U47" t="e">
            <v>#REF!</v>
          </cell>
          <cell r="V47" t="e">
            <v>#REF!</v>
          </cell>
          <cell r="W47" t="e">
            <v>#REF!</v>
          </cell>
          <cell r="X47" t="e">
            <v>#REF!</v>
          </cell>
        </row>
        <row r="48">
          <cell r="B48" t="str">
            <v>Capital Expenditures</v>
          </cell>
          <cell r="G48">
            <v>83.369</v>
          </cell>
          <cell r="H48">
            <v>98.037999999999997</v>
          </cell>
          <cell r="I48">
            <v>100.596</v>
          </cell>
          <cell r="J48">
            <v>92.524000000000001</v>
          </cell>
          <cell r="K48">
            <v>94.075999999999993</v>
          </cell>
          <cell r="L48">
            <v>102.69790474000004</v>
          </cell>
          <cell r="M48">
            <v>116.922</v>
          </cell>
          <cell r="N48">
            <v>129.28652202951008</v>
          </cell>
          <cell r="O48">
            <v>138.82267103617249</v>
          </cell>
          <cell r="P48">
            <v>146.00444701117627</v>
          </cell>
          <cell r="Q48">
            <v>151.56373829553226</v>
          </cell>
          <cell r="R48">
            <v>152.72916926781488</v>
          </cell>
          <cell r="S48">
            <v>153.37237494205027</v>
          </cell>
          <cell r="T48">
            <v>154.01973572494123</v>
          </cell>
          <cell r="U48">
            <v>154.67127845848961</v>
          </cell>
          <cell r="V48">
            <v>155.32703015809676</v>
          </cell>
          <cell r="W48">
            <v>155.98701801368335</v>
          </cell>
          <cell r="X48">
            <v>156.65126939081702</v>
          </cell>
        </row>
        <row r="49">
          <cell r="F49" t="str">
            <v>% of GDP</v>
          </cell>
          <cell r="G49">
            <v>7.0484443692932022</v>
          </cell>
          <cell r="H49">
            <v>7.0985446383317647</v>
          </cell>
          <cell r="I49">
            <v>6.3980156458691093</v>
          </cell>
          <cell r="J49">
            <v>5.5443432406519655</v>
          </cell>
          <cell r="K49">
            <v>5.2313851971306233</v>
          </cell>
          <cell r="L49">
            <v>5.5926539639492487</v>
          </cell>
          <cell r="M49">
            <v>6.0941962693451135</v>
          </cell>
          <cell r="N49">
            <v>6.3606717844497798</v>
          </cell>
          <cell r="O49">
            <v>6.3985593186330805</v>
          </cell>
          <cell r="P49">
            <v>6.2956711884956968</v>
          </cell>
          <cell r="Q49">
            <v>6.0949982784443364</v>
          </cell>
          <cell r="R49">
            <v>5.7503792113277212</v>
          </cell>
          <cell r="S49">
            <v>5.4065205186427052</v>
          </cell>
          <cell r="T49">
            <v>5.0832714734060085</v>
          </cell>
          <cell r="U49">
            <v>4.779393872363328</v>
          </cell>
          <cell r="V49">
            <v>4.4937240821505746</v>
          </cell>
          <cell r="W49">
            <v>4.2251685373526584</v>
          </cell>
          <cell r="X49">
            <v>3.9726995110270806</v>
          </cell>
        </row>
        <row r="50">
          <cell r="C50" t="str">
            <v>Fixed investment</v>
          </cell>
          <cell r="G50">
            <v>54.261000000000003</v>
          </cell>
          <cell r="H50">
            <v>63.530999999999999</v>
          </cell>
          <cell r="I50">
            <v>69.197000000000003</v>
          </cell>
          <cell r="J50">
            <v>60.773000000000003</v>
          </cell>
          <cell r="K50">
            <v>60.103999999999999</v>
          </cell>
          <cell r="L50">
            <v>65.972998410000031</v>
          </cell>
          <cell r="M50">
            <v>73.201999999999998</v>
          </cell>
          <cell r="N50">
            <v>81.194522029510097</v>
          </cell>
          <cell r="O50">
            <v>88.326071036172493</v>
          </cell>
          <cell r="P50">
            <v>93.89021562629982</v>
          </cell>
          <cell r="Q50">
            <v>98.928364596807043</v>
          </cell>
          <cell r="R50">
            <v>99.567441832102418</v>
          </cell>
          <cell r="S50">
            <v>100.21064750633779</v>
          </cell>
          <cell r="T50">
            <v>100.85800828922875</v>
          </cell>
          <cell r="U50">
            <v>101.50955102277715</v>
          </cell>
          <cell r="V50">
            <v>102.16530272238428</v>
          </cell>
          <cell r="W50">
            <v>102.82529057797088</v>
          </cell>
          <cell r="X50">
            <v>103.48954195510454</v>
          </cell>
        </row>
        <row r="51">
          <cell r="F51" t="str">
            <v>Real spending index</v>
          </cell>
          <cell r="H51">
            <v>106.23432483000875</v>
          </cell>
          <cell r="I51">
            <v>100.2870219231302</v>
          </cell>
          <cell r="J51">
            <v>81.895781378643591</v>
          </cell>
          <cell r="K51">
            <v>89.759494149349649</v>
          </cell>
          <cell r="L51">
            <v>107.23247746540943</v>
          </cell>
          <cell r="M51">
            <v>107.78113783028449</v>
          </cell>
          <cell r="N51">
            <v>107</v>
          </cell>
          <cell r="O51">
            <v>105</v>
          </cell>
          <cell r="P51">
            <v>103</v>
          </cell>
          <cell r="Q51">
            <v>102</v>
          </cell>
          <cell r="R51">
            <v>98</v>
          </cell>
          <cell r="S51">
            <v>98</v>
          </cell>
          <cell r="T51">
            <v>98</v>
          </cell>
          <cell r="U51">
            <v>98</v>
          </cell>
          <cell r="V51">
            <v>98</v>
          </cell>
          <cell r="W51">
            <v>98</v>
          </cell>
          <cell r="X51">
            <v>98</v>
          </cell>
          <cell r="Y51" t="str">
            <v>is slower growth in this reasonable</v>
          </cell>
        </row>
        <row r="52">
          <cell r="F52" t="str">
            <v>% of GDP</v>
          </cell>
          <cell r="G52">
            <v>4.5875042272573561</v>
          </cell>
          <cell r="H52">
            <v>4.6000289624212582</v>
          </cell>
          <cell r="I52">
            <v>4.4010048972842339</v>
          </cell>
          <cell r="J52">
            <v>3.6417186001917545</v>
          </cell>
          <cell r="K52">
            <v>3.3422676972696435</v>
          </cell>
          <cell r="L52">
            <v>3.5927135223002797</v>
          </cell>
          <cell r="M52">
            <v>3.8154269967037941</v>
          </cell>
          <cell r="N52">
            <v>3.9946291169245711</v>
          </cell>
          <cell r="O52">
            <v>4.0710901230209542</v>
          </cell>
          <cell r="P52">
            <v>4.0485200108658113</v>
          </cell>
          <cell r="Q52">
            <v>3.9783144615444384</v>
          </cell>
          <cell r="R52">
            <v>3.7487963195322589</v>
          </cell>
          <cell r="S52">
            <v>3.5325196087900137</v>
          </cell>
          <cell r="T52">
            <v>3.328720400590591</v>
          </cell>
          <cell r="U52">
            <v>3.1366788390180562</v>
          </cell>
          <cell r="V52">
            <v>2.9557165983054761</v>
          </cell>
          <cell r="W52">
            <v>2.7851944868647753</v>
          </cell>
          <cell r="X52">
            <v>2.6245101895456533</v>
          </cell>
          <cell r="Y52" t="str">
            <v>should not be declining</v>
          </cell>
        </row>
        <row r="53">
          <cell r="C53" t="str">
            <v>Other investment</v>
          </cell>
          <cell r="G53">
            <v>29.107999999999997</v>
          </cell>
          <cell r="H53">
            <v>34.506999999999998</v>
          </cell>
          <cell r="I53">
            <v>31.399000000000001</v>
          </cell>
          <cell r="J53">
            <v>31.750999999999998</v>
          </cell>
          <cell r="K53">
            <v>33.971999999999994</v>
          </cell>
          <cell r="L53">
            <v>36.72490633000001</v>
          </cell>
          <cell r="M53">
            <v>43.72</v>
          </cell>
          <cell r="N53">
            <v>48.091999999999999</v>
          </cell>
          <cell r="O53">
            <v>50.496600000000001</v>
          </cell>
          <cell r="P53">
            <v>52.114231384876447</v>
          </cell>
          <cell r="Q53">
            <v>52.635373698725218</v>
          </cell>
          <cell r="R53">
            <v>53.161727435712471</v>
          </cell>
          <cell r="S53">
            <v>53.161727435712471</v>
          </cell>
          <cell r="T53">
            <v>53.161727435712471</v>
          </cell>
          <cell r="U53">
            <v>53.161727435712471</v>
          </cell>
          <cell r="V53">
            <v>53.161727435712471</v>
          </cell>
          <cell r="W53">
            <v>53.161727435712471</v>
          </cell>
          <cell r="X53">
            <v>53.161727435712471</v>
          </cell>
        </row>
        <row r="54">
          <cell r="F54" t="str">
            <v>Nominal index</v>
          </cell>
          <cell r="H54">
            <v>118.5481654527965</v>
          </cell>
          <cell r="I54">
            <v>90.993131828324692</v>
          </cell>
          <cell r="J54">
            <v>101.12105481066276</v>
          </cell>
          <cell r="K54">
            <v>106.99505527384963</v>
          </cell>
          <cell r="L54">
            <v>108.10345675850705</v>
          </cell>
          <cell r="M54">
            <v>119.04727436781999</v>
          </cell>
          <cell r="N54">
            <v>110</v>
          </cell>
          <cell r="O54">
            <v>105</v>
          </cell>
          <cell r="P54">
            <v>103.20344614266396</v>
          </cell>
          <cell r="Q54">
            <v>101</v>
          </cell>
          <cell r="R54">
            <v>101</v>
          </cell>
          <cell r="S54">
            <v>100</v>
          </cell>
          <cell r="T54">
            <v>100</v>
          </cell>
          <cell r="U54">
            <v>100</v>
          </cell>
          <cell r="V54">
            <v>100</v>
          </cell>
          <cell r="W54">
            <v>100</v>
          </cell>
          <cell r="X54">
            <v>100</v>
          </cell>
          <cell r="Y54" t="str">
            <v>why flat in nominal terms?</v>
          </cell>
        </row>
        <row r="55">
          <cell r="F55" t="str">
            <v>% of GDP</v>
          </cell>
          <cell r="G55">
            <v>2.460940142035847</v>
          </cell>
          <cell r="H55">
            <v>2.4985156759105061</v>
          </cell>
          <cell r="I55">
            <v>1.9970107485848758</v>
          </cell>
          <cell r="J55">
            <v>1.902624640460211</v>
          </cell>
          <cell r="K55">
            <v>1.8891174998609797</v>
          </cell>
          <cell r="L55">
            <v>1.9999404416489686</v>
          </cell>
          <cell r="M55">
            <v>2.2787692726413193</v>
          </cell>
          <cell r="N55">
            <v>2.36604266752521</v>
          </cell>
          <cell r="O55">
            <v>2.3274691956121263</v>
          </cell>
          <cell r="P55">
            <v>2.2471511776298843</v>
          </cell>
          <cell r="Q55">
            <v>2.116683816899898</v>
          </cell>
          <cell r="R55">
            <v>2.0015828917954623</v>
          </cell>
          <cell r="S55">
            <v>1.8740009098526911</v>
          </cell>
          <cell r="T55">
            <v>1.7545510728154179</v>
          </cell>
          <cell r="U55">
            <v>1.6427150333452718</v>
          </cell>
          <cell r="V55">
            <v>1.5380074838450977</v>
          </cell>
          <cell r="W55">
            <v>1.4399740504878826</v>
          </cell>
          <cell r="X55">
            <v>1.3481893214814273</v>
          </cell>
        </row>
        <row r="56">
          <cell r="B56" t="str">
            <v>Lending minus repayments</v>
          </cell>
          <cell r="G56">
            <v>-23.643000000000001</v>
          </cell>
          <cell r="H56">
            <v>-20.350000000000001</v>
          </cell>
          <cell r="I56">
            <v>-21.77</v>
          </cell>
          <cell r="J56">
            <v>-15.601000000000001</v>
          </cell>
          <cell r="K56">
            <v>-15.188997999999998</v>
          </cell>
          <cell r="L56">
            <v>-19.317887459999994</v>
          </cell>
          <cell r="M56">
            <v>-51.933999999999997</v>
          </cell>
          <cell r="N56">
            <v>-80.629000000000005</v>
          </cell>
          <cell r="O56">
            <v>-30.716999999999999</v>
          </cell>
          <cell r="P56">
            <v>-26.308</v>
          </cell>
          <cell r="Q56">
            <v>-4.3079999999999998</v>
          </cell>
          <cell r="R56">
            <v>9.6920000000000002</v>
          </cell>
          <cell r="S56">
            <v>0</v>
          </cell>
          <cell r="T56">
            <v>0</v>
          </cell>
          <cell r="U56">
            <v>0</v>
          </cell>
          <cell r="V56">
            <v>0</v>
          </cell>
          <cell r="W56">
            <v>0</v>
          </cell>
          <cell r="X56">
            <v>0</v>
          </cell>
        </row>
        <row r="57">
          <cell r="F57" t="str">
            <v>Nominal index</v>
          </cell>
          <cell r="H57">
            <v>86.071987480438182</v>
          </cell>
          <cell r="I57">
            <v>106.97788697788697</v>
          </cell>
          <cell r="J57">
            <v>71.662838768948106</v>
          </cell>
          <cell r="K57">
            <v>97.359130824947101</v>
          </cell>
          <cell r="L57">
            <v>127.18342223759591</v>
          </cell>
          <cell r="M57">
            <v>268.83891992608187</v>
          </cell>
          <cell r="N57">
            <v>155.25282088805022</v>
          </cell>
          <cell r="O57">
            <v>38.09671458160215</v>
          </cell>
          <cell r="P57">
            <v>85.64638473809292</v>
          </cell>
          <cell r="Q57">
            <v>16.375247073133647</v>
          </cell>
          <cell r="R57">
            <v>-224.97678737233056</v>
          </cell>
          <cell r="S57">
            <v>-224.97678737233056</v>
          </cell>
          <cell r="T57">
            <v>-224.97678737233056</v>
          </cell>
          <cell r="U57">
            <v>-224.97678737233056</v>
          </cell>
          <cell r="V57">
            <v>-224.97678737233056</v>
          </cell>
          <cell r="W57">
            <v>-224.97678737233056</v>
          </cell>
          <cell r="X57">
            <v>-224.97678737233056</v>
          </cell>
          <cell r="Y57" t="str">
            <v>why flat in nominal terms?</v>
          </cell>
        </row>
        <row r="58">
          <cell r="F58" t="str">
            <v>% of GDP</v>
          </cell>
          <cell r="G58">
            <v>-1.9989009130875888</v>
          </cell>
          <cell r="H58">
            <v>-1.4734631815219754</v>
          </cell>
          <cell r="I58">
            <v>-1.3845958150480187</v>
          </cell>
          <cell r="J58">
            <v>-0.93486337488015347</v>
          </cell>
          <cell r="K58">
            <v>-0.84463092921092131</v>
          </cell>
          <cell r="L58">
            <v>-1.0520006240810322</v>
          </cell>
          <cell r="M58">
            <v>-2.7068985225378381</v>
          </cell>
          <cell r="N58">
            <v>-3.9668064176971254</v>
          </cell>
          <cell r="O58">
            <v>-1.415795742319635</v>
          </cell>
          <cell r="P58">
            <v>-1.1343936504500201</v>
          </cell>
          <cell r="Q58">
            <v>-0.17324231296234927</v>
          </cell>
          <cell r="R58">
            <v>0.36491179506423865</v>
          </cell>
          <cell r="S58">
            <v>0</v>
          </cell>
          <cell r="T58">
            <v>0</v>
          </cell>
          <cell r="U58">
            <v>0</v>
          </cell>
          <cell r="V58">
            <v>0</v>
          </cell>
          <cell r="W58">
            <v>0</v>
          </cell>
          <cell r="X58">
            <v>0</v>
          </cell>
        </row>
        <row r="59">
          <cell r="C59" t="str">
            <v>of which: privatization receipts</v>
          </cell>
          <cell r="G59">
            <v>-31.686</v>
          </cell>
          <cell r="H59">
            <v>-27.138000000000002</v>
          </cell>
          <cell r="I59">
            <v>-25.677</v>
          </cell>
          <cell r="J59">
            <v>-13.849</v>
          </cell>
          <cell r="K59">
            <v>-15.519</v>
          </cell>
          <cell r="L59">
            <v>-26.058</v>
          </cell>
          <cell r="M59">
            <v>-53.353000000000002</v>
          </cell>
          <cell r="N59">
            <v>-86</v>
          </cell>
          <cell r="O59">
            <v>-64</v>
          </cell>
          <cell r="P59">
            <v>-30</v>
          </cell>
          <cell r="Q59">
            <v>-10</v>
          </cell>
          <cell r="R59">
            <v>0</v>
          </cell>
        </row>
        <row r="60">
          <cell r="C60" t="str">
            <v>of which: guarantee calls</v>
          </cell>
          <cell r="G60">
            <v>0.41899999999999998</v>
          </cell>
          <cell r="H60">
            <v>0.78900000000000003</v>
          </cell>
          <cell r="I60">
            <v>9.0999999999999998E-2</v>
          </cell>
          <cell r="J60">
            <v>1.988</v>
          </cell>
          <cell r="K60">
            <v>6.6829999999999998</v>
          </cell>
          <cell r="L60">
            <v>0.97899999999999998</v>
          </cell>
          <cell r="M60">
            <v>3</v>
          </cell>
          <cell r="N60">
            <v>5.3710000000000004</v>
          </cell>
          <cell r="O60">
            <v>33.283000000000001</v>
          </cell>
          <cell r="P60">
            <v>3.6920000000000002</v>
          </cell>
          <cell r="Q60">
            <v>5.6920000000000002</v>
          </cell>
          <cell r="R60">
            <v>9.6920000000000002</v>
          </cell>
        </row>
        <row r="61">
          <cell r="B61" t="str">
            <v>Lending minus repayments (exc. pvt)</v>
          </cell>
          <cell r="G61">
            <v>8.0429999999999993</v>
          </cell>
          <cell r="H61">
            <v>6.7880000000000003</v>
          </cell>
          <cell r="I61">
            <v>3.907</v>
          </cell>
          <cell r="J61">
            <v>-1.7520000000000007</v>
          </cell>
          <cell r="K61">
            <v>0.33000200000000213</v>
          </cell>
          <cell r="L61">
            <v>6.7401125400000055</v>
          </cell>
          <cell r="M61">
            <v>1.419000000000004</v>
          </cell>
          <cell r="N61">
            <v>5.3710000000000004</v>
          </cell>
          <cell r="O61">
            <v>33.283000000000001</v>
          </cell>
          <cell r="P61">
            <v>3.6920000000000002</v>
          </cell>
          <cell r="Q61">
            <v>5.6920000000000002</v>
          </cell>
          <cell r="R61">
            <v>9.6920000000000002</v>
          </cell>
        </row>
      </sheetData>
      <sheetData sheetId="5" refreshError="1">
        <row r="1">
          <cell r="I1" t="str">
            <v>Medium Term Forecast -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row>
        <row r="3">
          <cell r="A3" t="str">
            <v>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row>
        <row r="4">
          <cell r="B4" t="str">
            <v>Total Current Revenue</v>
          </cell>
          <cell r="G4">
            <v>497.983</v>
          </cell>
          <cell r="H4">
            <v>572.91300000000001</v>
          </cell>
          <cell r="I4">
            <v>626.18299999999999</v>
          </cell>
          <cell r="J4">
            <v>652.98199999999997</v>
          </cell>
          <cell r="K4">
            <v>696.58299999999997</v>
          </cell>
          <cell r="L4">
            <v>729.56404208000004</v>
          </cell>
          <cell r="M4">
            <v>762.60500000000002</v>
          </cell>
          <cell r="N4">
            <v>802.366624840501</v>
          </cell>
          <cell r="O4">
            <v>850.27050190742818</v>
          </cell>
          <cell r="P4">
            <v>906.25027676494369</v>
          </cell>
          <cell r="Q4">
            <v>966.52796093207962</v>
          </cell>
          <cell r="R4">
            <v>1026.6340725240343</v>
          </cell>
          <cell r="S4">
            <v>1093.7949781189118</v>
          </cell>
          <cell r="T4">
            <v>1166.3751010798617</v>
          </cell>
          <cell r="U4">
            <v>1244.8780347131476</v>
          </cell>
          <cell r="V4">
            <v>1329.8593605922474</v>
          </cell>
          <cell r="W4">
            <v>1420.494956594305</v>
          </cell>
        </row>
        <row r="5">
          <cell r="C5" t="str">
            <v>Tax Revenue</v>
          </cell>
          <cell r="G5">
            <v>446.09099999999995</v>
          </cell>
          <cell r="H5">
            <v>511.20300000000003</v>
          </cell>
          <cell r="I5">
            <v>568.88</v>
          </cell>
          <cell r="J5">
            <v>607.73199999999997</v>
          </cell>
          <cell r="K5">
            <v>648.02599999999995</v>
          </cell>
          <cell r="L5">
            <v>682.05501575000005</v>
          </cell>
          <cell r="M5">
            <v>715.30799999999999</v>
          </cell>
          <cell r="N5">
            <v>754.26327781874306</v>
          </cell>
          <cell r="O5">
            <v>800.97872683578771</v>
          </cell>
          <cell r="P5">
            <v>855.6687957159387</v>
          </cell>
          <cell r="Q5">
            <v>914.46121336658859</v>
          </cell>
          <cell r="R5">
            <v>973.24707885387454</v>
          </cell>
          <cell r="S5">
            <v>1039.0542611276567</v>
          </cell>
          <cell r="T5">
            <v>1110.2463346760028</v>
          </cell>
          <cell r="U5">
            <v>1187.3260224053392</v>
          </cell>
          <cell r="V5">
            <v>1270.8480134187523</v>
          </cell>
          <cell r="W5">
            <v>1359.9872704928011</v>
          </cell>
        </row>
        <row r="6">
          <cell r="D6" t="str">
            <v>Indirect Taxes</v>
          </cell>
          <cell r="G6">
            <v>154.88900000000001</v>
          </cell>
          <cell r="H6">
            <v>173.60899999999998</v>
          </cell>
          <cell r="I6">
            <v>196.21100000000001</v>
          </cell>
          <cell r="J6">
            <v>208.41200000000001</v>
          </cell>
          <cell r="K6">
            <v>212.16800000000001</v>
          </cell>
          <cell r="L6">
            <v>234.79711571999997</v>
          </cell>
          <cell r="M6">
            <v>249.64</v>
          </cell>
          <cell r="N6">
            <v>265.80868664785709</v>
          </cell>
          <cell r="O6">
            <v>283.86286031860004</v>
          </cell>
          <cell r="P6">
            <v>304.4191823242781</v>
          </cell>
          <cell r="Q6">
            <v>325.64724249310785</v>
          </cell>
          <cell r="R6">
            <v>345.16488741836622</v>
          </cell>
          <cell r="S6">
            <v>363.4316290499869</v>
          </cell>
          <cell r="T6">
            <v>382.83755093129491</v>
          </cell>
          <cell r="U6">
            <v>403.45812449159246</v>
          </cell>
          <cell r="V6">
            <v>425.37391766411685</v>
          </cell>
          <cell r="W6">
            <v>448.67094102596923</v>
          </cell>
        </row>
        <row r="7">
          <cell r="E7" t="str">
            <v>VAT</v>
          </cell>
          <cell r="G7">
            <v>85.849000000000004</v>
          </cell>
          <cell r="H7">
            <v>94.801000000000002</v>
          </cell>
          <cell r="I7">
            <v>109.313</v>
          </cell>
          <cell r="J7">
            <v>117.65600000000001</v>
          </cell>
          <cell r="K7">
            <v>119.395</v>
          </cell>
          <cell r="L7">
            <v>138.33062853999999</v>
          </cell>
          <cell r="M7">
            <v>149.9</v>
          </cell>
          <cell r="N7">
            <v>165.4778309305448</v>
          </cell>
          <cell r="O7">
            <v>182.01858971882291</v>
          </cell>
          <cell r="P7">
            <v>200.40050901070742</v>
          </cell>
          <cell r="Q7">
            <v>219.17785233654243</v>
          </cell>
          <cell r="R7">
            <v>236.44047532885037</v>
          </cell>
          <cell r="S7">
            <v>252.53734288923849</v>
          </cell>
          <cell r="T7">
            <v>269.73008519313782</v>
          </cell>
          <cell r="U7">
            <v>288.09330939308666</v>
          </cell>
          <cell r="V7">
            <v>307.70670189656795</v>
          </cell>
          <cell r="W7">
            <v>328.65537416168627</v>
          </cell>
        </row>
        <row r="8">
          <cell r="E8" t="str">
            <v>Excises</v>
          </cell>
          <cell r="G8">
            <v>46.36</v>
          </cell>
          <cell r="H8">
            <v>56.65</v>
          </cell>
          <cell r="I8">
            <v>61.17</v>
          </cell>
          <cell r="J8">
            <v>64.171999999999997</v>
          </cell>
          <cell r="K8">
            <v>67.802000000000007</v>
          </cell>
          <cell r="L8">
            <v>73.143358329999998</v>
          </cell>
          <cell r="M8">
            <v>77.599999999999994</v>
          </cell>
          <cell r="N8">
            <v>77.813399999999987</v>
          </cell>
          <cell r="O8">
            <v>78.770504819999985</v>
          </cell>
          <cell r="P8">
            <v>80.341188686110797</v>
          </cell>
          <cell r="Q8">
            <v>82.096643658902309</v>
          </cell>
          <cell r="R8">
            <v>83.73365073346082</v>
          </cell>
          <cell r="S8">
            <v>85.403299729086029</v>
          </cell>
          <cell r="T8">
            <v>87.106241525684013</v>
          </cell>
          <cell r="U8">
            <v>88.843139981706173</v>
          </cell>
          <cell r="V8">
            <v>90.614672192941399</v>
          </cell>
          <cell r="W8">
            <v>92.421528756468661</v>
          </cell>
        </row>
        <row r="9">
          <cell r="E9" t="str">
            <v>Other indirect taxes</v>
          </cell>
          <cell r="G9">
            <v>22.68</v>
          </cell>
          <cell r="H9">
            <v>22.158000000000001</v>
          </cell>
          <cell r="I9">
            <v>25.728000000000002</v>
          </cell>
          <cell r="J9">
            <v>26.584</v>
          </cell>
          <cell r="K9">
            <v>24.971</v>
          </cell>
          <cell r="L9">
            <v>23.32312885</v>
          </cell>
          <cell r="M9">
            <v>22.14</v>
          </cell>
          <cell r="N9">
            <v>22.51745571731232</v>
          </cell>
          <cell r="O9">
            <v>23.073765779777176</v>
          </cell>
          <cell r="P9">
            <v>23.677484627459897</v>
          </cell>
          <cell r="Q9">
            <v>24.372746497663091</v>
          </cell>
          <cell r="R9">
            <v>24.990761356055028</v>
          </cell>
          <cell r="S9">
            <v>25.490986431662364</v>
          </cell>
          <cell r="T9">
            <v>26.001224212473087</v>
          </cell>
          <cell r="U9">
            <v>26.521675116799631</v>
          </cell>
          <cell r="V9">
            <v>27.052543574607533</v>
          </cell>
          <cell r="W9">
            <v>27.594038107814306</v>
          </cell>
        </row>
        <row r="10">
          <cell r="D10" t="str">
            <v>Direct Taxes</v>
          </cell>
          <cell r="G10">
            <v>118.27200000000001</v>
          </cell>
          <cell r="H10">
            <v>135.06900000000002</v>
          </cell>
          <cell r="I10">
            <v>142.35300000000001</v>
          </cell>
          <cell r="J10">
            <v>143.44400000000002</v>
          </cell>
          <cell r="K10">
            <v>162.476</v>
          </cell>
          <cell r="L10">
            <v>165.41858062</v>
          </cell>
          <cell r="M10">
            <v>170.3</v>
          </cell>
          <cell r="N10">
            <v>178.63068459015767</v>
          </cell>
          <cell r="O10">
            <v>189.04860705759239</v>
          </cell>
          <cell r="P10">
            <v>201.30800367731263</v>
          </cell>
          <cell r="Q10">
            <v>214.80943093489367</v>
          </cell>
          <cell r="R10">
            <v>229.11911659314683</v>
          </cell>
          <cell r="S10">
            <v>250.08829471501429</v>
          </cell>
          <cell r="T10">
            <v>273.51049284984299</v>
          </cell>
          <cell r="U10">
            <v>299.69141840738007</v>
          </cell>
          <cell r="V10">
            <v>328.97539259461468</v>
          </cell>
          <cell r="W10">
            <v>360.31275058254522</v>
          </cell>
        </row>
        <row r="11">
          <cell r="E11" t="str">
            <v>Presonal Income Tax</v>
          </cell>
          <cell r="G11">
            <v>54.52</v>
          </cell>
          <cell r="H11">
            <v>68.587000000000003</v>
          </cell>
          <cell r="I11">
            <v>80.543999999999997</v>
          </cell>
          <cell r="J11">
            <v>87.881</v>
          </cell>
          <cell r="K11">
            <v>94.92</v>
          </cell>
          <cell r="L11">
            <v>95.301741359999994</v>
          </cell>
          <cell r="M11">
            <v>99.7</v>
          </cell>
          <cell r="N11">
            <v>106.7787</v>
          </cell>
          <cell r="O11">
            <v>115.44913044</v>
          </cell>
          <cell r="P11">
            <v>125.76566473611842</v>
          </cell>
          <cell r="Q11">
            <v>137.26064649299965</v>
          </cell>
          <cell r="R11">
            <v>149.52625786361412</v>
          </cell>
          <cell r="S11">
            <v>168.47721578524857</v>
          </cell>
          <cell r="T11">
            <v>189.83001811387098</v>
          </cell>
          <cell r="U11">
            <v>213.88907460962298</v>
          </cell>
          <cell r="V11">
            <v>240.99737592564662</v>
          </cell>
          <cell r="W11">
            <v>271.54138335046309</v>
          </cell>
        </row>
        <row r="12">
          <cell r="E12" t="str">
            <v>Enterprise Tax</v>
          </cell>
          <cell r="G12">
            <v>63.752000000000002</v>
          </cell>
          <cell r="H12">
            <v>66.481999999999999</v>
          </cell>
          <cell r="I12">
            <v>61.808999999999997</v>
          </cell>
          <cell r="J12">
            <v>55.563000000000002</v>
          </cell>
          <cell r="K12">
            <v>67.555999999999997</v>
          </cell>
          <cell r="L12">
            <v>70.116839260000006</v>
          </cell>
          <cell r="M12">
            <v>70.599999999999994</v>
          </cell>
          <cell r="N12">
            <v>71.851984590157684</v>
          </cell>
          <cell r="O12">
            <v>73.599476617592401</v>
          </cell>
          <cell r="P12">
            <v>75.542338941194203</v>
          </cell>
          <cell r="Q12">
            <v>77.548784441894</v>
          </cell>
          <cell r="R12">
            <v>79.592858729532722</v>
          </cell>
          <cell r="S12">
            <v>81.611078929765725</v>
          </cell>
          <cell r="T12">
            <v>83.680474735971998</v>
          </cell>
          <cell r="U12">
            <v>85.802343797757075</v>
          </cell>
          <cell r="V12">
            <v>87.978016668968039</v>
          </cell>
          <cell r="W12">
            <v>88.771367232082113</v>
          </cell>
        </row>
        <row r="13">
          <cell r="D13" t="str">
            <v>Social Security Contribution</v>
          </cell>
          <cell r="G13">
            <v>162.30199999999999</v>
          </cell>
          <cell r="H13">
            <v>192.45500000000001</v>
          </cell>
          <cell r="I13">
            <v>222.20400000000001</v>
          </cell>
          <cell r="J13">
            <v>246.755</v>
          </cell>
          <cell r="K13">
            <v>262.887</v>
          </cell>
          <cell r="L13">
            <v>270.61264469000002</v>
          </cell>
          <cell r="M13">
            <v>284.06799999999998</v>
          </cell>
          <cell r="N13">
            <v>298.27139999999997</v>
          </cell>
          <cell r="O13">
            <v>316.16768399999995</v>
          </cell>
          <cell r="P13">
            <v>337.66708651199997</v>
          </cell>
          <cell r="Q13">
            <v>361.30378256783996</v>
          </cell>
          <cell r="R13">
            <v>385.87243978245317</v>
          </cell>
          <cell r="S13">
            <v>412.11176568766001</v>
          </cell>
          <cell r="T13">
            <v>440.13536575442095</v>
          </cell>
          <cell r="U13">
            <v>470.06457062572161</v>
          </cell>
          <cell r="V13">
            <v>502.02896142827069</v>
          </cell>
          <cell r="W13">
            <v>536.16693080539312</v>
          </cell>
        </row>
        <row r="14">
          <cell r="D14" t="str">
            <v>Other Taxes</v>
          </cell>
          <cell r="G14">
            <v>10.628</v>
          </cell>
          <cell r="H14">
            <v>10.07</v>
          </cell>
          <cell r="I14">
            <v>8.1120000000000001</v>
          </cell>
          <cell r="J14">
            <v>9.1209999999999987</v>
          </cell>
          <cell r="K14">
            <v>10.494999999999999</v>
          </cell>
          <cell r="L14">
            <v>11.226674719999998</v>
          </cell>
          <cell r="M14">
            <v>11.3</v>
          </cell>
          <cell r="N14">
            <v>11.552506580728327</v>
          </cell>
          <cell r="O14">
            <v>11.899575459595273</v>
          </cell>
          <cell r="P14">
            <v>12.274523202347968</v>
          </cell>
          <cell r="Q14">
            <v>12.700757370747054</v>
          </cell>
          <cell r="R14">
            <v>13.090635059908347</v>
          </cell>
          <cell r="S14">
            <v>13.422571674995432</v>
          </cell>
          <cell r="T14">
            <v>13.762925140443956</v>
          </cell>
          <cell r="U14">
            <v>14.111908880645164</v>
          </cell>
          <cell r="V14">
            <v>14.469741731749906</v>
          </cell>
          <cell r="W14">
            <v>14.836648078893541</v>
          </cell>
        </row>
        <row r="15">
          <cell r="C15" t="str">
            <v>Non-Tax current Revenue</v>
          </cell>
          <cell r="G15">
            <v>51.892000000000053</v>
          </cell>
          <cell r="H15">
            <v>61.70999999999998</v>
          </cell>
          <cell r="I15">
            <v>57.302999999999997</v>
          </cell>
          <cell r="J15">
            <v>45.25</v>
          </cell>
          <cell r="K15">
            <v>48.557000000000016</v>
          </cell>
          <cell r="L15">
            <v>47.509026329999948</v>
          </cell>
          <cell r="M15">
            <v>47.296999999999997</v>
          </cell>
          <cell r="N15">
            <v>48.103347021757934</v>
          </cell>
          <cell r="O15">
            <v>49.291775071640515</v>
          </cell>
          <cell r="P15">
            <v>50.581481049004999</v>
          </cell>
          <cell r="Q15">
            <v>52.066747565491013</v>
          </cell>
          <cell r="R15">
            <v>53.386993670159654</v>
          </cell>
          <cell r="S15">
            <v>54.740716991255148</v>
          </cell>
          <cell r="T15">
            <v>56.128766403858997</v>
          </cell>
          <cell r="U15">
            <v>57.552012307808361</v>
          </cell>
          <cell r="V15">
            <v>59.011347173494997</v>
          </cell>
          <cell r="W15">
            <v>60.507686101503872</v>
          </cell>
        </row>
        <row r="16">
          <cell r="B16" t="str">
            <v>Non-tax capital revenue</v>
          </cell>
          <cell r="G16">
            <v>6.3000000000000114</v>
          </cell>
          <cell r="H16">
            <v>5.4750000000000227</v>
          </cell>
          <cell r="I16">
            <v>8.2599999999999909</v>
          </cell>
          <cell r="J16">
            <v>9.1480000000000246</v>
          </cell>
          <cell r="K16">
            <v>9.7830000000000155</v>
          </cell>
          <cell r="L16">
            <v>31.162539469999999</v>
          </cell>
          <cell r="M16">
            <v>13.632999999999999</v>
          </cell>
          <cell r="N16">
            <v>13.865423387268239</v>
          </cell>
          <cell r="O16">
            <v>14.20797872067309</v>
          </cell>
          <cell r="P16">
            <v>14.124110187600191</v>
          </cell>
          <cell r="Q16">
            <v>13.630170280585551</v>
          </cell>
          <cell r="R16">
            <v>12.374395432294641</v>
          </cell>
          <cell r="S16">
            <v>12.688170502392248</v>
          </cell>
          <cell r="T16">
            <v>13.009901904187306</v>
          </cell>
          <cell r="U16">
            <v>13.3397913847914</v>
          </cell>
          <cell r="V16">
            <v>13.678045806977277</v>
          </cell>
          <cell r="W16">
            <v>14.024877278895639</v>
          </cell>
        </row>
        <row r="18">
          <cell r="A18" t="str">
            <v>Expenditure incl. L-R</v>
          </cell>
          <cell r="G18">
            <v>495.048</v>
          </cell>
          <cell r="H18">
            <v>573.553</v>
          </cell>
          <cell r="I18">
            <v>638.721</v>
          </cell>
          <cell r="J18">
            <v>681.95</v>
          </cell>
          <cell r="K18">
            <v>734.42600200000004</v>
          </cell>
          <cell r="L18">
            <v>771.35451482999997</v>
          </cell>
          <cell r="M18">
            <v>847.29700000000014</v>
          </cell>
          <cell r="N18">
            <v>910.14066393549399</v>
          </cell>
          <cell r="O18">
            <v>932.84238169951766</v>
          </cell>
          <cell r="P18">
            <v>995.26608185174564</v>
          </cell>
          <cell r="Q18">
            <v>1057.0321555436153</v>
          </cell>
          <cell r="R18">
            <v>1108.0312137720866</v>
          </cell>
          <cell r="S18" t="e">
            <v>#REF!</v>
          </cell>
          <cell r="T18" t="e">
            <v>#REF!</v>
          </cell>
          <cell r="U18" t="e">
            <v>#REF!</v>
          </cell>
          <cell r="V18" t="e">
            <v>#REF!</v>
          </cell>
          <cell r="W18" t="e">
            <v>#REF!</v>
          </cell>
        </row>
        <row r="19">
          <cell r="A19" t="str">
            <v xml:space="preserve">Expenditure excl priv, trans to TI, guarantee calls </v>
          </cell>
          <cell r="G19">
            <v>526.31500000000005</v>
          </cell>
          <cell r="H19">
            <v>596.50200000000007</v>
          </cell>
          <cell r="I19">
            <v>648.90700000000004</v>
          </cell>
          <cell r="J19">
            <v>687.71100000000001</v>
          </cell>
          <cell r="K19">
            <v>725.36200200000007</v>
          </cell>
          <cell r="L19">
            <v>789.13351482999997</v>
          </cell>
          <cell r="M19">
            <v>840.95</v>
          </cell>
          <cell r="N19">
            <v>893.56966393549408</v>
          </cell>
          <cell r="O19">
            <v>955.65938169951767</v>
          </cell>
          <cell r="P19">
            <v>1014.6740818517457</v>
          </cell>
          <cell r="Q19">
            <v>1061.3401555436153</v>
          </cell>
          <cell r="R19">
            <v>1098.3392137720866</v>
          </cell>
          <cell r="S19" t="e">
            <v>#REF!</v>
          </cell>
          <cell r="T19" t="e">
            <v>#REF!</v>
          </cell>
          <cell r="U19" t="e">
            <v>#REF!</v>
          </cell>
          <cell r="V19" t="e">
            <v>#REF!</v>
          </cell>
          <cell r="W19" t="e">
            <v>#REF!</v>
          </cell>
        </row>
        <row r="20">
          <cell r="A20" t="str">
            <v>Expenditure excl. L_R</v>
          </cell>
          <cell r="G20">
            <v>518.69100000000003</v>
          </cell>
          <cell r="H20">
            <v>593.90300000000002</v>
          </cell>
          <cell r="I20">
            <v>660.49099999999999</v>
          </cell>
          <cell r="J20">
            <v>697.55100000000004</v>
          </cell>
          <cell r="K20">
            <v>749.61500000000001</v>
          </cell>
          <cell r="L20">
            <v>790.67240228999992</v>
          </cell>
          <cell r="M20">
            <v>899.23100000000011</v>
          </cell>
          <cell r="N20">
            <v>990.76966393549401</v>
          </cell>
          <cell r="O20">
            <v>963.55938169951764</v>
          </cell>
          <cell r="P20">
            <v>1021.5740818517456</v>
          </cell>
          <cell r="Q20">
            <v>1061.3401555436153</v>
          </cell>
          <cell r="R20">
            <v>1098.3392137720866</v>
          </cell>
          <cell r="S20" t="e">
            <v>#REF!</v>
          </cell>
          <cell r="T20" t="e">
            <v>#REF!</v>
          </cell>
          <cell r="U20" t="e">
            <v>#REF!</v>
          </cell>
          <cell r="V20" t="e">
            <v>#REF!</v>
          </cell>
          <cell r="W20" t="e">
            <v>#REF!</v>
          </cell>
        </row>
        <row r="21">
          <cell r="B21" t="str">
            <v>Current exp.</v>
          </cell>
          <cell r="G21">
            <v>435.322</v>
          </cell>
          <cell r="H21">
            <v>495.86500000000001</v>
          </cell>
          <cell r="I21">
            <v>559.89499999999998</v>
          </cell>
          <cell r="J21">
            <v>605.02700000000004</v>
          </cell>
          <cell r="K21">
            <v>655.53899999999999</v>
          </cell>
          <cell r="L21">
            <v>687.97449754999991</v>
          </cell>
          <cell r="M21">
            <v>782.30900000000008</v>
          </cell>
          <cell r="N21">
            <v>861.48314190598387</v>
          </cell>
          <cell r="O21">
            <v>824.73671066334509</v>
          </cell>
          <cell r="P21">
            <v>875.56963484056939</v>
          </cell>
          <cell r="Q21">
            <v>909.77641724808313</v>
          </cell>
          <cell r="R21">
            <v>945.61004450427163</v>
          </cell>
          <cell r="S21" t="e">
            <v>#REF!</v>
          </cell>
          <cell r="T21" t="e">
            <v>#REF!</v>
          </cell>
          <cell r="U21" t="e">
            <v>#REF!</v>
          </cell>
          <cell r="V21" t="e">
            <v>#REF!</v>
          </cell>
          <cell r="W21" t="e">
            <v>#REF!</v>
          </cell>
        </row>
        <row r="22">
          <cell r="C22" t="str">
            <v>Goods and services</v>
          </cell>
          <cell r="G22">
            <v>130.37299999999999</v>
          </cell>
          <cell r="H22">
            <v>123.381</v>
          </cell>
          <cell r="I22">
            <v>139.30600000000001</v>
          </cell>
          <cell r="J22">
            <v>136.447</v>
          </cell>
          <cell r="K22">
            <v>148.57499999999999</v>
          </cell>
          <cell r="L22">
            <v>156.36975188</v>
          </cell>
          <cell r="M22">
            <v>168.05700000000002</v>
          </cell>
          <cell r="N22">
            <v>173.15461478247542</v>
          </cell>
          <cell r="O22">
            <v>182.21784409861476</v>
          </cell>
          <cell r="P22">
            <v>191.75545941792308</v>
          </cell>
          <cell r="Q22">
            <v>201.07235842857779</v>
          </cell>
          <cell r="R22">
            <v>208.83453185545017</v>
          </cell>
          <cell r="S22">
            <v>216.00833821577376</v>
          </cell>
          <cell r="T22">
            <v>223.43398221421489</v>
          </cell>
          <cell r="U22">
            <v>231.12049490484355</v>
          </cell>
          <cell r="V22">
            <v>239.07723775312638</v>
          </cell>
          <cell r="W22">
            <v>247.31391494530357</v>
          </cell>
        </row>
        <row r="23">
          <cell r="D23" t="str">
            <v>Wages and salaries</v>
          </cell>
          <cell r="G23">
            <v>48.563000000000002</v>
          </cell>
          <cell r="H23">
            <v>50.244999999999997</v>
          </cell>
          <cell r="I23">
            <v>57.372999999999998</v>
          </cell>
          <cell r="J23">
            <v>62.265000000000001</v>
          </cell>
          <cell r="K23">
            <v>62.657999999999994</v>
          </cell>
          <cell r="L23">
            <v>69.523429589999978</v>
          </cell>
          <cell r="M23">
            <v>71.459000000000003</v>
          </cell>
          <cell r="N23">
            <v>71.487873074417877</v>
          </cell>
          <cell r="O23">
            <v>75.229679134917305</v>
          </cell>
          <cell r="P23">
            <v>79.167338170085813</v>
          </cell>
          <cell r="Q23">
            <v>83.980712330827046</v>
          </cell>
          <cell r="R23">
            <v>88.2301363747669</v>
          </cell>
          <cell r="S23">
            <v>91.785810870670005</v>
          </cell>
          <cell r="T23">
            <v>95.484779048758014</v>
          </cell>
          <cell r="U23">
            <v>99.332815644422951</v>
          </cell>
          <cell r="V23">
            <v>103.33592811489318</v>
          </cell>
          <cell r="W23">
            <v>107.50036601792337</v>
          </cell>
        </row>
        <row r="24">
          <cell r="D24" t="str">
            <v>Other goods and services</v>
          </cell>
          <cell r="G24">
            <v>81.81</v>
          </cell>
          <cell r="H24">
            <v>73.135999999999996</v>
          </cell>
          <cell r="I24">
            <v>81.933000000000007</v>
          </cell>
          <cell r="J24">
            <v>74.182000000000002</v>
          </cell>
          <cell r="K24">
            <v>85.917000000000002</v>
          </cell>
          <cell r="L24">
            <v>86.846322290000018</v>
          </cell>
          <cell r="M24">
            <v>96.597999999999999</v>
          </cell>
          <cell r="N24">
            <v>101.66674170805754</v>
          </cell>
          <cell r="O24">
            <v>106.98816496369744</v>
          </cell>
          <cell r="P24">
            <v>112.58812124783725</v>
          </cell>
          <cell r="Q24">
            <v>117.09164609775074</v>
          </cell>
          <cell r="R24">
            <v>120.60439548068327</v>
          </cell>
          <cell r="S24">
            <v>124.22252734510376</v>
          </cell>
          <cell r="T24">
            <v>127.94920316545688</v>
          </cell>
          <cell r="U24">
            <v>131.78767926042059</v>
          </cell>
          <cell r="V24">
            <v>135.74130963823319</v>
          </cell>
          <cell r="W24">
            <v>139.8135489273802</v>
          </cell>
        </row>
        <row r="25">
          <cell r="C25" t="str">
            <v>Transfers</v>
          </cell>
          <cell r="G25">
            <v>206.40500000000003</v>
          </cell>
          <cell r="H25">
            <v>241.85800000000003</v>
          </cell>
          <cell r="I25">
            <v>278.84100000000001</v>
          </cell>
          <cell r="J25">
            <v>318.41499999999996</v>
          </cell>
          <cell r="K25">
            <v>346.678</v>
          </cell>
          <cell r="L25">
            <v>372.86318196000002</v>
          </cell>
          <cell r="M25">
            <v>403.149</v>
          </cell>
          <cell r="N25">
            <v>428.92200372174028</v>
          </cell>
          <cell r="O25">
            <v>460.4000174114592</v>
          </cell>
          <cell r="P25">
            <v>494.18816053555645</v>
          </cell>
          <cell r="Q25">
            <v>523.23455878209938</v>
          </cell>
          <cell r="R25">
            <v>547.62912413016556</v>
          </cell>
          <cell r="S25" t="e">
            <v>#REF!</v>
          </cell>
          <cell r="T25" t="e">
            <v>#REF!</v>
          </cell>
          <cell r="U25" t="e">
            <v>#REF!</v>
          </cell>
          <cell r="V25" t="e">
            <v>#REF!</v>
          </cell>
          <cell r="W25" t="e">
            <v>#REF!</v>
          </cell>
        </row>
        <row r="26">
          <cell r="D26" t="str">
            <v>Health Insurance payments</v>
          </cell>
          <cell r="G26">
            <v>63.2</v>
          </cell>
          <cell r="H26">
            <v>74.114999999999995</v>
          </cell>
          <cell r="I26">
            <v>86.283000000000001</v>
          </cell>
          <cell r="J26">
            <v>92.977999999999994</v>
          </cell>
          <cell r="K26">
            <v>101.45</v>
          </cell>
          <cell r="L26">
            <v>106.361</v>
          </cell>
          <cell r="M26">
            <v>114.14700000000001</v>
          </cell>
          <cell r="N26">
            <v>122.53931382704236</v>
          </cell>
          <cell r="O26">
            <v>131.53231060665917</v>
          </cell>
          <cell r="P26">
            <v>141.18529142366293</v>
          </cell>
          <cell r="Q26">
            <v>149.76935714222165</v>
          </cell>
          <cell r="R26">
            <v>157.34768661361807</v>
          </cell>
          <cell r="S26">
            <v>164.82799563522946</v>
          </cell>
          <cell r="T26">
            <v>172.66391854772829</v>
          </cell>
          <cell r="U26">
            <v>180.87236123548726</v>
          </cell>
          <cell r="V26">
            <v>189.47103328862232</v>
          </cell>
          <cell r="W26">
            <v>198.47848621116344</v>
          </cell>
        </row>
        <row r="27">
          <cell r="D27" t="str">
            <v>Transfers to households</v>
          </cell>
          <cell r="G27">
            <v>137.99600000000001</v>
          </cell>
          <cell r="H27">
            <v>158.46100000000001</v>
          </cell>
          <cell r="I27">
            <v>182.167</v>
          </cell>
          <cell r="J27">
            <v>210.02599999999998</v>
          </cell>
          <cell r="K27">
            <v>227.732</v>
          </cell>
          <cell r="L27">
            <v>246.37780027000002</v>
          </cell>
          <cell r="M27">
            <v>260.85829999999999</v>
          </cell>
          <cell r="N27">
            <v>281.00065817829329</v>
          </cell>
          <cell r="O27">
            <v>301.62292163926202</v>
          </cell>
          <cell r="P27">
            <v>323.75862550642285</v>
          </cell>
          <cell r="Q27">
            <v>342.44290802319438</v>
          </cell>
          <cell r="R27">
            <v>357.68941584286006</v>
          </cell>
          <cell r="S27">
            <v>274.30544086394895</v>
          </cell>
          <cell r="T27">
            <v>296.66133429436081</v>
          </cell>
          <cell r="U27">
            <v>320.8392330393512</v>
          </cell>
          <cell r="V27">
            <v>346.9876305320584</v>
          </cell>
          <cell r="W27">
            <v>375.26712242042123</v>
          </cell>
        </row>
        <row r="28">
          <cell r="E28" t="str">
            <v>Pensions</v>
          </cell>
          <cell r="G28">
            <v>88.2</v>
          </cell>
          <cell r="H28">
            <v>109.8</v>
          </cell>
          <cell r="I28">
            <v>127.58</v>
          </cell>
          <cell r="J28">
            <v>151.11500000000001</v>
          </cell>
          <cell r="K28">
            <v>166.12100000000001</v>
          </cell>
          <cell r="L28">
            <v>177.85400000000001</v>
          </cell>
          <cell r="M28">
            <v>183.1</v>
          </cell>
          <cell r="N28">
            <v>197.5254137447356</v>
          </cell>
          <cell r="O28">
            <v>212.02154036909468</v>
          </cell>
          <cell r="P28">
            <v>227.58151838920895</v>
          </cell>
          <cell r="Q28">
            <v>241.41847470727288</v>
          </cell>
          <cell r="R28">
            <v>253.6342495274609</v>
          </cell>
          <cell r="S28">
            <v>274.30544086394895</v>
          </cell>
          <cell r="T28">
            <v>296.66133429436081</v>
          </cell>
          <cell r="U28">
            <v>320.8392330393512</v>
          </cell>
          <cell r="V28">
            <v>346.9876305320584</v>
          </cell>
          <cell r="W28">
            <v>375.26712242042123</v>
          </cell>
        </row>
        <row r="29">
          <cell r="E29" t="str">
            <v>Other social transfers</v>
          </cell>
          <cell r="G29">
            <v>49.796000000000006</v>
          </cell>
          <cell r="H29">
            <v>48.661000000000016</v>
          </cell>
          <cell r="I29">
            <v>54.587000000000003</v>
          </cell>
          <cell r="J29">
            <v>58.910999999999973</v>
          </cell>
          <cell r="K29">
            <v>61.61099999999999</v>
          </cell>
          <cell r="L29">
            <v>68.52380027000001</v>
          </cell>
          <cell r="M29">
            <v>77.758299999999991</v>
          </cell>
          <cell r="N29">
            <v>83.475244433557677</v>
          </cell>
          <cell r="O29">
            <v>89.601381270167309</v>
          </cell>
          <cell r="P29">
            <v>96.177107117213879</v>
          </cell>
          <cell r="Q29">
            <v>101.02443331592147</v>
          </cell>
          <cell r="R29">
            <v>104.05516631539913</v>
          </cell>
          <cell r="S29">
            <v>0</v>
          </cell>
          <cell r="T29">
            <v>0</v>
          </cell>
          <cell r="U29">
            <v>0</v>
          </cell>
          <cell r="V29">
            <v>0</v>
          </cell>
          <cell r="W29">
            <v>0</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row>
        <row r="31">
          <cell r="C31" t="str">
            <v>Subsidies to Enterprises</v>
          </cell>
          <cell r="G31">
            <v>83.12</v>
          </cell>
          <cell r="H31">
            <v>114.06399999999999</v>
          </cell>
          <cell r="I31">
            <v>125.47799999999999</v>
          </cell>
          <cell r="J31">
            <v>129.42599999999999</v>
          </cell>
          <cell r="K31">
            <v>139.08000000000001</v>
          </cell>
          <cell r="L31">
            <v>139.14103383999998</v>
          </cell>
          <cell r="M31">
            <v>190.65799999999999</v>
          </cell>
          <cell r="N31">
            <v>234.25844890176808</v>
          </cell>
          <cell r="O31">
            <v>148.05088643592248</v>
          </cell>
          <cell r="P31">
            <v>149.37093643234294</v>
          </cell>
          <cell r="Q31">
            <v>144.67054521992188</v>
          </cell>
          <cell r="R31">
            <v>145.60511694204254</v>
          </cell>
          <cell r="S31">
            <v>148.04109054848288</v>
          </cell>
          <cell r="T31">
            <v>150.51781799335902</v>
          </cell>
          <cell r="U31">
            <v>153.0359810883879</v>
          </cell>
          <cell r="V31">
            <v>155.59627305199663</v>
          </cell>
          <cell r="W31">
            <v>158.19939870015651</v>
          </cell>
        </row>
        <row r="32">
          <cell r="D32" t="str">
            <v>of which: expenditures of TI</v>
          </cell>
          <cell r="G32">
            <v>0</v>
          </cell>
          <cell r="H32">
            <v>3.4</v>
          </cell>
          <cell r="I32">
            <v>15.4</v>
          </cell>
          <cell r="J32">
            <v>6.1</v>
          </cell>
          <cell r="K32">
            <v>17.899999999999999</v>
          </cell>
          <cell r="L32">
            <v>7.3</v>
          </cell>
          <cell r="M32">
            <v>56.7</v>
          </cell>
          <cell r="N32">
            <v>97.199999999999989</v>
          </cell>
          <cell r="O32">
            <v>7.9</v>
          </cell>
          <cell r="P32">
            <v>6.9</v>
          </cell>
          <cell r="Q32">
            <v>0</v>
          </cell>
          <cell r="R32">
            <v>0</v>
          </cell>
          <cell r="W32">
            <v>0</v>
          </cell>
        </row>
        <row r="33">
          <cell r="C33" t="str">
            <v>Interest payments</v>
          </cell>
          <cell r="G33">
            <v>15.423999999999999</v>
          </cell>
          <cell r="H33">
            <v>16.562000000000001</v>
          </cell>
          <cell r="I33">
            <v>16.27</v>
          </cell>
          <cell r="J33">
            <v>20.739000000000001</v>
          </cell>
          <cell r="K33">
            <v>21.206</v>
          </cell>
          <cell r="L33">
            <v>19.600529869999999</v>
          </cell>
          <cell r="M33">
            <v>20.445</v>
          </cell>
          <cell r="N33">
            <v>25.148074500000011</v>
          </cell>
          <cell r="O33">
            <v>34.067962717348671</v>
          </cell>
          <cell r="P33">
            <v>40.255078454746943</v>
          </cell>
          <cell r="Q33">
            <v>40.79895481748401</v>
          </cell>
          <cell r="R33">
            <v>43.541271576613347</v>
          </cell>
          <cell r="S33">
            <v>48.096772800453351</v>
          </cell>
          <cell r="T33" t="e">
            <v>#REF!</v>
          </cell>
          <cell r="U33" t="e">
            <v>#REF!</v>
          </cell>
          <cell r="V33" t="e">
            <v>#REF!</v>
          </cell>
          <cell r="W33" t="e">
            <v>#REF!</v>
          </cell>
        </row>
        <row r="34">
          <cell r="B34" t="str">
            <v>Capital Expenditures</v>
          </cell>
          <cell r="G34">
            <v>83.369</v>
          </cell>
          <cell r="H34">
            <v>98.037999999999997</v>
          </cell>
          <cell r="I34">
            <v>100.596</v>
          </cell>
          <cell r="J34">
            <v>92.524000000000001</v>
          </cell>
          <cell r="K34">
            <v>94.075999999999993</v>
          </cell>
          <cell r="L34">
            <v>102.69790474000004</v>
          </cell>
          <cell r="M34">
            <v>116.922</v>
          </cell>
          <cell r="N34">
            <v>129.28652202951008</v>
          </cell>
          <cell r="O34">
            <v>138.82267103617249</v>
          </cell>
          <cell r="P34">
            <v>146.00444701117627</v>
          </cell>
          <cell r="Q34">
            <v>151.56373829553226</v>
          </cell>
          <cell r="R34">
            <v>152.72916926781488</v>
          </cell>
          <cell r="S34">
            <v>153.37237494205027</v>
          </cell>
          <cell r="T34">
            <v>154.01973572494123</v>
          </cell>
          <cell r="U34">
            <v>154.67127845848961</v>
          </cell>
          <cell r="V34">
            <v>155.32703015809676</v>
          </cell>
          <cell r="W34">
            <v>155.98701801368335</v>
          </cell>
        </row>
        <row r="35">
          <cell r="C35" t="str">
            <v>Fixed investment</v>
          </cell>
          <cell r="G35">
            <v>54.261000000000003</v>
          </cell>
          <cell r="H35">
            <v>63.530999999999999</v>
          </cell>
          <cell r="I35">
            <v>69.197000000000003</v>
          </cell>
          <cell r="J35">
            <v>60.773000000000003</v>
          </cell>
          <cell r="K35">
            <v>60.103999999999999</v>
          </cell>
          <cell r="L35">
            <v>65.972998410000031</v>
          </cell>
          <cell r="M35">
            <v>73.201999999999998</v>
          </cell>
          <cell r="N35">
            <v>81.194522029510097</v>
          </cell>
          <cell r="O35">
            <v>88.326071036172493</v>
          </cell>
          <cell r="P35">
            <v>93.89021562629982</v>
          </cell>
          <cell r="Q35">
            <v>98.928364596807043</v>
          </cell>
          <cell r="R35">
            <v>99.567441832102418</v>
          </cell>
          <cell r="S35">
            <v>100.21064750633779</v>
          </cell>
          <cell r="T35">
            <v>100.85800828922875</v>
          </cell>
          <cell r="U35">
            <v>101.50955102277715</v>
          </cell>
          <cell r="V35">
            <v>102.16530272238428</v>
          </cell>
          <cell r="W35">
            <v>102.82529057797088</v>
          </cell>
        </row>
        <row r="36">
          <cell r="C36" t="str">
            <v>Other investment</v>
          </cell>
          <cell r="G36">
            <v>29.107999999999997</v>
          </cell>
          <cell r="H36">
            <v>34.506999999999998</v>
          </cell>
          <cell r="I36">
            <v>31.399000000000001</v>
          </cell>
          <cell r="J36">
            <v>31.750999999999998</v>
          </cell>
          <cell r="K36">
            <v>33.971999999999994</v>
          </cell>
          <cell r="L36">
            <v>36.72490633000001</v>
          </cell>
          <cell r="M36">
            <v>43.72</v>
          </cell>
          <cell r="N36">
            <v>48.091999999999999</v>
          </cell>
          <cell r="O36">
            <v>50.496600000000001</v>
          </cell>
          <cell r="P36">
            <v>52.114231384876447</v>
          </cell>
          <cell r="Q36">
            <v>52.635373698725218</v>
          </cell>
          <cell r="R36">
            <v>53.161727435712471</v>
          </cell>
          <cell r="S36">
            <v>53.161727435712471</v>
          </cell>
          <cell r="T36">
            <v>53.161727435712471</v>
          </cell>
          <cell r="U36">
            <v>53.161727435712471</v>
          </cell>
          <cell r="V36">
            <v>53.161727435712471</v>
          </cell>
          <cell r="W36">
            <v>53.161727435712471</v>
          </cell>
        </row>
        <row r="37">
          <cell r="B37" t="str">
            <v>Lending minus repayments</v>
          </cell>
          <cell r="G37">
            <v>-23.643000000000001</v>
          </cell>
          <cell r="H37">
            <v>-20.350000000000001</v>
          </cell>
          <cell r="I37">
            <v>-21.77</v>
          </cell>
          <cell r="J37">
            <v>-15.601000000000001</v>
          </cell>
          <cell r="K37">
            <v>-15.188997999999998</v>
          </cell>
          <cell r="L37">
            <v>-19.317887459999994</v>
          </cell>
          <cell r="M37">
            <v>-51.933999999999997</v>
          </cell>
          <cell r="N37">
            <v>-80.629000000000005</v>
          </cell>
          <cell r="O37">
            <v>-30.716999999999999</v>
          </cell>
          <cell r="P37">
            <v>-26.308</v>
          </cell>
          <cell r="Q37">
            <v>-4.3079999999999998</v>
          </cell>
          <cell r="R37">
            <v>9.6920000000000002</v>
          </cell>
          <cell r="S37">
            <v>0</v>
          </cell>
          <cell r="T37">
            <v>0</v>
          </cell>
          <cell r="U37">
            <v>0</v>
          </cell>
          <cell r="V37">
            <v>0</v>
          </cell>
          <cell r="W37">
            <v>0</v>
          </cell>
        </row>
        <row r="38">
          <cell r="B38" t="str">
            <v>Lending minus repayments (exc. pvt)</v>
          </cell>
          <cell r="G38">
            <v>8.0429999999999993</v>
          </cell>
          <cell r="H38">
            <v>6.7880000000000003</v>
          </cell>
          <cell r="I38">
            <v>3.907</v>
          </cell>
          <cell r="J38">
            <v>-1.7520000000000007</v>
          </cell>
          <cell r="K38">
            <v>0.33000200000000213</v>
          </cell>
          <cell r="L38">
            <v>6.7401125400000055</v>
          </cell>
          <cell r="M38">
            <v>1.419000000000004</v>
          </cell>
          <cell r="N38">
            <v>5.3709999999999951</v>
          </cell>
          <cell r="O38">
            <v>33.283000000000001</v>
          </cell>
          <cell r="P38">
            <v>3.6920000000000002</v>
          </cell>
          <cell r="Q38">
            <v>5.6920000000000002</v>
          </cell>
          <cell r="R38">
            <v>9.6920000000000002</v>
          </cell>
          <cell r="S38">
            <v>0</v>
          </cell>
          <cell r="T38">
            <v>0</v>
          </cell>
          <cell r="U38">
            <v>0</v>
          </cell>
          <cell r="V38">
            <v>0</v>
          </cell>
          <cell r="W38">
            <v>0</v>
          </cell>
        </row>
        <row r="39">
          <cell r="C39" t="str">
            <v>Privatization revenues</v>
          </cell>
          <cell r="G39">
            <v>-31.686</v>
          </cell>
          <cell r="H39">
            <v>-27.138000000000002</v>
          </cell>
          <cell r="I39">
            <v>-25.677</v>
          </cell>
          <cell r="J39">
            <v>-13.849</v>
          </cell>
          <cell r="K39">
            <v>-15.519</v>
          </cell>
          <cell r="L39">
            <v>-26.058</v>
          </cell>
          <cell r="M39">
            <v>-53.353000000000002</v>
          </cell>
          <cell r="N39">
            <v>-86</v>
          </cell>
          <cell r="O39">
            <v>-64</v>
          </cell>
          <cell r="P39">
            <v>-30</v>
          </cell>
          <cell r="Q39">
            <v>-10</v>
          </cell>
          <cell r="R39">
            <v>0</v>
          </cell>
          <cell r="S39">
            <v>0</v>
          </cell>
          <cell r="T39">
            <v>0</v>
          </cell>
          <cell r="U39">
            <v>0</v>
          </cell>
          <cell r="V39">
            <v>0</v>
          </cell>
          <cell r="W39">
            <v>0</v>
          </cell>
        </row>
        <row r="40">
          <cell r="C40" t="str">
            <v>Guarantee calls</v>
          </cell>
          <cell r="G40">
            <v>0.41899999999999998</v>
          </cell>
          <cell r="H40">
            <v>0.78900000000000003</v>
          </cell>
          <cell r="I40">
            <v>9.0999999999999998E-2</v>
          </cell>
          <cell r="J40">
            <v>1.988</v>
          </cell>
          <cell r="K40">
            <v>6.6829999999999998</v>
          </cell>
          <cell r="L40">
            <v>0.97899999999999998</v>
          </cell>
          <cell r="M40">
            <v>3</v>
          </cell>
          <cell r="N40">
            <v>5.3710000000000004</v>
          </cell>
          <cell r="O40">
            <v>33.283000000000001</v>
          </cell>
          <cell r="P40">
            <v>3.6920000000000002</v>
          </cell>
          <cell r="Q40">
            <v>5.6920000000000002</v>
          </cell>
          <cell r="R40">
            <v>9.6920000000000002</v>
          </cell>
          <cell r="S40">
            <v>0</v>
          </cell>
          <cell r="T40">
            <v>0</v>
          </cell>
          <cell r="U40">
            <v>0</v>
          </cell>
          <cell r="V40">
            <v>0</v>
          </cell>
          <cell r="W40">
            <v>0</v>
          </cell>
        </row>
        <row r="42">
          <cell r="A42" t="str">
            <v>General Government Balance</v>
          </cell>
          <cell r="G42">
            <v>9.2350000000000136</v>
          </cell>
          <cell r="H42">
            <v>4.8350000000000364</v>
          </cell>
          <cell r="I42">
            <v>-4.27800000000002</v>
          </cell>
          <cell r="J42">
            <v>-19.82000000000005</v>
          </cell>
          <cell r="K42">
            <v>-28.060002000000054</v>
          </cell>
          <cell r="L42">
            <v>-10.627933279999979</v>
          </cell>
          <cell r="M42">
            <v>-71.059000000000083</v>
          </cell>
          <cell r="N42">
            <v>-93.908615707724721</v>
          </cell>
          <cell r="O42">
            <v>-68.363901071416421</v>
          </cell>
          <cell r="P42">
            <v>-74.891694899201752</v>
          </cell>
          <cell r="Q42">
            <v>-76.874024330950192</v>
          </cell>
          <cell r="R42">
            <v>-69.022745815757617</v>
          </cell>
          <cell r="S42" t="e">
            <v>#REF!</v>
          </cell>
          <cell r="T42" t="e">
            <v>#REF!</v>
          </cell>
          <cell r="U42" t="e">
            <v>#REF!</v>
          </cell>
          <cell r="V42" t="e">
            <v>#REF!</v>
          </cell>
          <cell r="W42" t="e">
            <v>#REF!</v>
          </cell>
        </row>
        <row r="43">
          <cell r="B43" t="str">
            <v>Primary Balance</v>
          </cell>
          <cell r="G43">
            <v>24.659000000000013</v>
          </cell>
          <cell r="H43">
            <v>21.397000000000038</v>
          </cell>
          <cell r="I43">
            <v>11.99199999999998</v>
          </cell>
          <cell r="J43">
            <v>0.91899999999995075</v>
          </cell>
          <cell r="K43">
            <v>-6.8540020000000546</v>
          </cell>
          <cell r="L43">
            <v>8.9725965900000197</v>
          </cell>
          <cell r="M43">
            <v>-50.614000000000082</v>
          </cell>
          <cell r="N43">
            <v>-68.760541207724714</v>
          </cell>
          <cell r="O43">
            <v>-34.295938354067751</v>
          </cell>
          <cell r="P43">
            <v>-34.636616444454809</v>
          </cell>
          <cell r="Q43">
            <v>-36.075069513466183</v>
          </cell>
          <cell r="R43">
            <v>-25.481474239144269</v>
          </cell>
        </row>
        <row r="44">
          <cell r="A44" t="str">
            <v>General Gvt Balance (exc. privatization)</v>
          </cell>
          <cell r="G44">
            <v>-22.450999999999986</v>
          </cell>
          <cell r="H44">
            <v>-22.302999999999965</v>
          </cell>
          <cell r="I44">
            <v>-29.95500000000002</v>
          </cell>
          <cell r="J44">
            <v>-33.669000000000054</v>
          </cell>
          <cell r="K44">
            <v>-53.054002000000054</v>
          </cell>
          <cell r="L44">
            <v>-67.288933279999981</v>
          </cell>
          <cell r="M44">
            <v>-137.51200000000009</v>
          </cell>
          <cell r="N44">
            <v>-179.90861570772472</v>
          </cell>
          <cell r="O44">
            <v>-132.36390107141642</v>
          </cell>
          <cell r="P44">
            <v>-104.89169489920175</v>
          </cell>
          <cell r="Q44">
            <v>-86.874024330950192</v>
          </cell>
          <cell r="R44">
            <v>-69.022745815757617</v>
          </cell>
          <cell r="S44" t="e">
            <v>#REF!</v>
          </cell>
          <cell r="T44" t="e">
            <v>#REF!</v>
          </cell>
          <cell r="U44" t="e">
            <v>#REF!</v>
          </cell>
          <cell r="V44" t="e">
            <v>#REF!</v>
          </cell>
          <cell r="W44" t="e">
            <v>#REF!</v>
          </cell>
        </row>
        <row r="45">
          <cell r="A45" t="str">
            <v>General Gvt Balance (exc. pvt and exp. of TI)</v>
          </cell>
          <cell r="G45">
            <v>-22.450999999999986</v>
          </cell>
          <cell r="H45">
            <v>-18.902999999999967</v>
          </cell>
          <cell r="I45">
            <v>-14.555000000000019</v>
          </cell>
          <cell r="J45">
            <v>-27.569000000000052</v>
          </cell>
          <cell r="K45">
            <v>-35.154002000000055</v>
          </cell>
          <cell r="L45">
            <v>-59.988933279999983</v>
          </cell>
          <cell r="M45">
            <v>-80.812000000000083</v>
          </cell>
          <cell r="N45">
            <v>-82.708615707724732</v>
          </cell>
          <cell r="O45">
            <v>-124.46390107141642</v>
          </cell>
          <cell r="P45">
            <v>-97.991694899201747</v>
          </cell>
          <cell r="Q45">
            <v>-86.874024330950192</v>
          </cell>
          <cell r="R45">
            <v>-69.022745815757617</v>
          </cell>
          <cell r="S45" t="e">
            <v>#REF!</v>
          </cell>
          <cell r="T45" t="e">
            <v>#REF!</v>
          </cell>
          <cell r="U45" t="e">
            <v>#REF!</v>
          </cell>
          <cell r="V45" t="e">
            <v>#REF!</v>
          </cell>
          <cell r="W45" t="e">
            <v>#REF!</v>
          </cell>
        </row>
        <row r="46">
          <cell r="A46" t="str">
            <v>General Gvt Balance (exc.pvt, exp of TI, calls on guarantees)</v>
          </cell>
          <cell r="G46">
            <v>-22.031999999999986</v>
          </cell>
          <cell r="H46">
            <v>-18.113999999999965</v>
          </cell>
          <cell r="I46">
            <v>-14.46400000000002</v>
          </cell>
          <cell r="J46">
            <v>-25.581000000000053</v>
          </cell>
          <cell r="K46">
            <v>-28.471002000000055</v>
          </cell>
          <cell r="L46">
            <v>-59.009933279999984</v>
          </cell>
          <cell r="M46">
            <v>-77.812000000000083</v>
          </cell>
          <cell r="N46">
            <v>-77.337615707724737</v>
          </cell>
          <cell r="O46">
            <v>-91.180901071416415</v>
          </cell>
          <cell r="P46">
            <v>-94.299694899201739</v>
          </cell>
          <cell r="Q46">
            <v>-81.182024330950185</v>
          </cell>
          <cell r="R46">
            <v>-59.330745815757616</v>
          </cell>
          <cell r="S46" t="e">
            <v>#REF!</v>
          </cell>
          <cell r="T46" t="e">
            <v>#REF!</v>
          </cell>
          <cell r="U46" t="e">
            <v>#REF!</v>
          </cell>
          <cell r="V46" t="e">
            <v>#REF!</v>
          </cell>
          <cell r="W46" t="e">
            <v>#REF!</v>
          </cell>
        </row>
        <row r="47">
          <cell r="G47">
            <v>-22.032000000000039</v>
          </cell>
          <cell r="H47">
            <v>-18.114000000000033</v>
          </cell>
          <cell r="I47">
            <v>-14.464000000000055</v>
          </cell>
          <cell r="J47">
            <v>-25.581000000000017</v>
          </cell>
          <cell r="K47">
            <v>-28.471002000000091</v>
          </cell>
          <cell r="L47">
            <v>-59.009933279999977</v>
          </cell>
          <cell r="M47">
            <v>-77.811999999999983</v>
          </cell>
          <cell r="N47">
            <v>-77.337615707724808</v>
          </cell>
          <cell r="O47">
            <v>-91.180901071416429</v>
          </cell>
          <cell r="P47">
            <v>-94.299694899201768</v>
          </cell>
          <cell r="Q47">
            <v>-81.182024330950185</v>
          </cell>
          <cell r="R47">
            <v>-59.330745815757609</v>
          </cell>
        </row>
        <row r="48">
          <cell r="A48" t="str">
            <v>Total general government privatization revenues</v>
          </cell>
          <cell r="G48">
            <v>31.686</v>
          </cell>
          <cell r="H48">
            <v>27.138000000000002</v>
          </cell>
          <cell r="I48">
            <v>25.677</v>
          </cell>
          <cell r="J48">
            <v>13.849</v>
          </cell>
          <cell r="K48">
            <v>24.994</v>
          </cell>
          <cell r="L48">
            <v>56.661000000000001</v>
          </cell>
          <cell r="M48">
            <v>66.453000000000003</v>
          </cell>
          <cell r="N48">
            <v>86</v>
          </cell>
          <cell r="O48">
            <v>64</v>
          </cell>
          <cell r="P48">
            <v>30</v>
          </cell>
          <cell r="Q48">
            <v>10</v>
          </cell>
          <cell r="R48">
            <v>0</v>
          </cell>
          <cell r="S48">
            <v>0</v>
          </cell>
          <cell r="T48">
            <v>0</v>
          </cell>
          <cell r="U48">
            <v>0</v>
          </cell>
          <cell r="V48">
            <v>0</v>
          </cell>
          <cell r="W48">
            <v>0</v>
          </cell>
        </row>
        <row r="49">
          <cell r="B49" t="str">
            <v>(inc local governments)</v>
          </cell>
        </row>
        <row r="51">
          <cell r="A51" t="str">
            <v>Debt</v>
          </cell>
          <cell r="G51">
            <v>208.227</v>
          </cell>
          <cell r="H51">
            <v>210.92599999999999</v>
          </cell>
          <cell r="I51">
            <v>206.73853686916999</v>
          </cell>
          <cell r="J51">
            <v>217.50197399999999</v>
          </cell>
          <cell r="K51">
            <v>240.374</v>
          </cell>
          <cell r="L51">
            <v>274.61900000000003</v>
          </cell>
          <cell r="M51">
            <v>345.67800000000011</v>
          </cell>
          <cell r="N51">
            <v>439.58661570772483</v>
          </cell>
          <cell r="O51">
            <v>507.95051677914125</v>
          </cell>
          <cell r="P51">
            <v>582.84221167834301</v>
          </cell>
          <cell r="Q51">
            <v>659.7162360092932</v>
          </cell>
          <cell r="R51">
            <v>728.73898182505081</v>
          </cell>
          <cell r="S51" t="e">
            <v>#REF!</v>
          </cell>
          <cell r="T51" t="e">
            <v>#REF!</v>
          </cell>
          <cell r="U51" t="e">
            <v>#REF!</v>
          </cell>
          <cell r="V51" t="e">
            <v>#REF!</v>
          </cell>
          <cell r="W51" t="e">
            <v>#REF!</v>
          </cell>
        </row>
        <row r="52">
          <cell r="B52" t="str">
            <v>Debt valuation</v>
          </cell>
          <cell r="H52">
            <v>-15.414999999999981</v>
          </cell>
          <cell r="I52">
            <v>-18.651463130830017</v>
          </cell>
          <cell r="J52">
            <v>-14.817562869170054</v>
          </cell>
          <cell r="K52">
            <v>-5.5989760000000501</v>
          </cell>
          <cell r="L52">
            <v>0</v>
          </cell>
          <cell r="M52">
            <v>0</v>
          </cell>
          <cell r="N52">
            <v>0</v>
          </cell>
          <cell r="O52">
            <v>0</v>
          </cell>
          <cell r="P52">
            <v>0</v>
          </cell>
          <cell r="Q52">
            <v>0</v>
          </cell>
          <cell r="R52">
            <v>0</v>
          </cell>
          <cell r="S52">
            <v>0</v>
          </cell>
          <cell r="T52">
            <v>0</v>
          </cell>
          <cell r="U52">
            <v>0</v>
          </cell>
          <cell r="V52">
            <v>0</v>
          </cell>
          <cell r="W52">
            <v>0</v>
          </cell>
        </row>
        <row r="53">
          <cell r="A53" t="str">
            <v>Government guarantees</v>
          </cell>
          <cell r="G53">
            <v>100.38200000000001</v>
          </cell>
          <cell r="H53">
            <v>160.55500000000001</v>
          </cell>
          <cell r="I53">
            <v>172.27</v>
          </cell>
          <cell r="J53">
            <v>252.2</v>
          </cell>
          <cell r="K53">
            <v>280.39999999999998</v>
          </cell>
          <cell r="L53">
            <v>257.3</v>
          </cell>
        </row>
        <row r="54">
          <cell r="A54" t="str">
            <v>Risk adjusted guarantees (WB)</v>
          </cell>
          <cell r="G54">
            <v>3</v>
          </cell>
          <cell r="H54">
            <v>6</v>
          </cell>
          <cell r="I54">
            <v>28</v>
          </cell>
          <cell r="J54">
            <v>74</v>
          </cell>
          <cell r="K54">
            <v>107</v>
          </cell>
          <cell r="L54">
            <v>98.185092724679038</v>
          </cell>
        </row>
        <row r="55">
          <cell r="A55" t="str">
            <v>Debt and government guarantees</v>
          </cell>
          <cell r="G55">
            <v>308.60900000000004</v>
          </cell>
          <cell r="H55">
            <v>371.48099999999999</v>
          </cell>
          <cell r="I55">
            <v>379.00853686917003</v>
          </cell>
          <cell r="J55">
            <v>469.70197399999995</v>
          </cell>
          <cell r="K55">
            <v>520.774</v>
          </cell>
          <cell r="L55">
            <v>531.9190000000001</v>
          </cell>
        </row>
        <row r="56">
          <cell r="A56" t="str">
            <v>Implicit public debt of transformation institutions</v>
          </cell>
        </row>
        <row r="57">
          <cell r="B57" t="str">
            <v>(net of provisions and reserves)</v>
          </cell>
          <cell r="G57">
            <v>108</v>
          </cell>
          <cell r="H57">
            <v>104</v>
          </cell>
          <cell r="I57">
            <v>87</v>
          </cell>
          <cell r="J57">
            <v>94</v>
          </cell>
          <cell r="K57">
            <v>105</v>
          </cell>
        </row>
        <row r="58">
          <cell r="A58" t="str">
            <v>Debt of Czech Railways not covered by state guarantees</v>
          </cell>
          <cell r="G58" t="str">
            <v>...</v>
          </cell>
          <cell r="H58">
            <v>1.6</v>
          </cell>
          <cell r="I58">
            <v>3.3</v>
          </cell>
          <cell r="J58">
            <v>7.3000000000000007</v>
          </cell>
          <cell r="K58">
            <v>8.2000000000000011</v>
          </cell>
        </row>
        <row r="59">
          <cell r="A59" t="str">
            <v>Outstanding guarantees provided by PGRLF</v>
          </cell>
          <cell r="K59">
            <v>18.138999999999999</v>
          </cell>
        </row>
        <row r="61">
          <cell r="M61" t="str">
            <v>( In percent of GDP)</v>
          </cell>
        </row>
        <row r="62">
          <cell r="G62">
            <v>1994</v>
          </cell>
          <cell r="H62">
            <v>1995</v>
          </cell>
          <cell r="I62">
            <v>1996</v>
          </cell>
          <cell r="J62">
            <v>1997</v>
          </cell>
          <cell r="K62">
            <v>1998</v>
          </cell>
          <cell r="L62">
            <v>1999</v>
          </cell>
          <cell r="M62">
            <v>2000</v>
          </cell>
          <cell r="N62">
            <v>2001</v>
          </cell>
          <cell r="O62">
            <v>2002</v>
          </cell>
          <cell r="P62">
            <v>2003</v>
          </cell>
          <cell r="Q62">
            <v>2004</v>
          </cell>
          <cell r="R62">
            <v>2005</v>
          </cell>
          <cell r="S62">
            <v>2006</v>
          </cell>
          <cell r="T62">
            <v>2007</v>
          </cell>
          <cell r="U62">
            <v>2008</v>
          </cell>
          <cell r="V62">
            <v>2009</v>
          </cell>
          <cell r="W62">
            <v>2010</v>
          </cell>
        </row>
        <row r="63">
          <cell r="A63" t="str">
            <v>Revenue</v>
          </cell>
          <cell r="G63">
            <v>42.634680419343937</v>
          </cell>
          <cell r="H63">
            <v>41.878792267033525</v>
          </cell>
          <cell r="I63">
            <v>40.35126884182408</v>
          </cell>
          <cell r="J63">
            <v>39.677013422818789</v>
          </cell>
          <cell r="K63">
            <v>39.279653005616417</v>
          </cell>
          <cell r="L63">
            <v>41.427140529869853</v>
          </cell>
          <cell r="M63">
            <v>39.950488934637164</v>
          </cell>
          <cell r="N63">
            <v>40.157195639782024</v>
          </cell>
          <cell r="O63">
            <v>39.845198170401176</v>
          </cell>
          <cell r="P63">
            <v>39.68628784384201</v>
          </cell>
          <cell r="Q63">
            <v>39.416170315723292</v>
          </cell>
          <cell r="R63">
            <v>39.119525910945981</v>
          </cell>
          <cell r="S63">
            <v>39.004572034655979</v>
          </cell>
          <cell r="T63">
            <v>38.924454152669036</v>
          </cell>
          <cell r="U63">
            <v>38.879348694106085</v>
          </cell>
          <cell r="V63">
            <v>38.869515449185975</v>
          </cell>
          <cell r="W63">
            <v>38.856362186228374</v>
          </cell>
        </row>
        <row r="64">
          <cell r="B64" t="str">
            <v>Total Current Revenue</v>
          </cell>
          <cell r="G64">
            <v>42.102045992560029</v>
          </cell>
          <cell r="H64">
            <v>41.482369126058941</v>
          </cell>
          <cell r="I64">
            <v>39.82592380588946</v>
          </cell>
          <cell r="J64">
            <v>39.128835091083417</v>
          </cell>
          <cell r="K64">
            <v>38.735639214813986</v>
          </cell>
          <cell r="L64">
            <v>39.730111750803246</v>
          </cell>
          <cell r="M64">
            <v>39.248841996911992</v>
          </cell>
          <cell r="N64">
            <v>39.475040950071076</v>
          </cell>
          <cell r="O64">
            <v>39.190329668278672</v>
          </cell>
          <cell r="P64">
            <v>39.077260136868084</v>
          </cell>
          <cell r="Q64">
            <v>38.868045379446755</v>
          </cell>
          <cell r="R64">
            <v>38.653619715110928</v>
          </cell>
          <cell r="S64">
            <v>38.557302086654325</v>
          </cell>
          <cell r="T64">
            <v>38.495075002587456</v>
          </cell>
          <cell r="U64">
            <v>38.46714471002776</v>
          </cell>
          <cell r="V64">
            <v>38.473799624470786</v>
          </cell>
          <cell r="W64">
            <v>38.476474994501785</v>
          </cell>
        </row>
        <row r="65">
          <cell r="C65" t="str">
            <v>Tax Revenue</v>
          </cell>
          <cell r="G65">
            <v>37.714829218802834</v>
          </cell>
          <cell r="H65">
            <v>37.014191586416629</v>
          </cell>
          <cell r="I65">
            <v>36.181390319913504</v>
          </cell>
          <cell r="J65">
            <v>36.417305848513905</v>
          </cell>
          <cell r="K65">
            <v>36.035477951398541</v>
          </cell>
          <cell r="L65">
            <v>37.142896898654911</v>
          </cell>
          <cell r="M65">
            <v>36.814616572310861</v>
          </cell>
          <cell r="N65">
            <v>37.108440028831559</v>
          </cell>
          <cell r="O65">
            <v>36.918392783888734</v>
          </cell>
          <cell r="P65">
            <v>36.896200727853738</v>
          </cell>
          <cell r="Q65">
            <v>36.774228346792988</v>
          </cell>
          <cell r="R65">
            <v>36.643555363763305</v>
          </cell>
          <cell r="S65">
            <v>36.627640309360622</v>
          </cell>
          <cell r="T65">
            <v>36.642599696385489</v>
          </cell>
          <cell r="U65">
            <v>36.688768416073877</v>
          </cell>
          <cell r="V65">
            <v>36.766558382275058</v>
          </cell>
          <cell r="W65">
            <v>36.837523401993892</v>
          </cell>
        </row>
        <row r="66">
          <cell r="D66" t="str">
            <v>Indirect Taxes</v>
          </cell>
          <cell r="G66">
            <v>13.095113290497126</v>
          </cell>
          <cell r="H66">
            <v>12.57034248063138</v>
          </cell>
          <cell r="I66">
            <v>12.479234242828978</v>
          </cell>
          <cell r="J66">
            <v>12.488734419942475</v>
          </cell>
          <cell r="K66">
            <v>11.79825390646722</v>
          </cell>
          <cell r="L66">
            <v>12.786424643032182</v>
          </cell>
          <cell r="M66">
            <v>12.848172928461141</v>
          </cell>
          <cell r="N66">
            <v>13.077324586369219</v>
          </cell>
          <cell r="O66">
            <v>13.083694014446307</v>
          </cell>
          <cell r="P66">
            <v>13.126470560432113</v>
          </cell>
          <cell r="Q66">
            <v>13.095608518875821</v>
          </cell>
          <cell r="R66">
            <v>12.99574274256932</v>
          </cell>
          <cell r="S66">
            <v>12.81130686230105</v>
          </cell>
          <cell r="T66">
            <v>12.635180760685685</v>
          </cell>
          <cell r="U66">
            <v>12.466990039574977</v>
          </cell>
          <cell r="V66">
            <v>12.306377169385</v>
          </cell>
          <cell r="W66">
            <v>12.153000729080169</v>
          </cell>
        </row>
        <row r="67">
          <cell r="E67" t="str">
            <v>VAT</v>
          </cell>
          <cell r="G67">
            <v>7.2581163341224215</v>
          </cell>
          <cell r="H67">
            <v>6.8641662442980245</v>
          </cell>
          <cell r="I67">
            <v>6.9524263817337655</v>
          </cell>
          <cell r="J67">
            <v>7.0503355704697999</v>
          </cell>
          <cell r="K67">
            <v>6.6393260301395767</v>
          </cell>
          <cell r="L67">
            <v>7.5331170582148888</v>
          </cell>
          <cell r="M67">
            <v>7.7148739063304177</v>
          </cell>
          <cell r="N67">
            <v>8.141221170073857</v>
          </cell>
          <cell r="O67">
            <v>8.3895284157611076</v>
          </cell>
          <cell r="P67">
            <v>8.6412142682339415</v>
          </cell>
          <cell r="Q67">
            <v>8.8140385535986212</v>
          </cell>
          <cell r="R67">
            <v>8.9021789391346076</v>
          </cell>
          <cell r="S67">
            <v>8.9021789391346076</v>
          </cell>
          <cell r="T67">
            <v>8.9021789391346076</v>
          </cell>
          <cell r="U67">
            <v>8.9021789391346076</v>
          </cell>
          <cell r="V67">
            <v>8.9021789391346076</v>
          </cell>
          <cell r="W67">
            <v>8.9021789391346076</v>
          </cell>
        </row>
        <row r="68">
          <cell r="E68" t="str">
            <v>Excises</v>
          </cell>
          <cell r="G68">
            <v>3.9195130199526549</v>
          </cell>
          <cell r="H68">
            <v>4.1018029107233369</v>
          </cell>
          <cell r="I68">
            <v>3.8904789162373596</v>
          </cell>
          <cell r="J68">
            <v>3.8453978906999038</v>
          </cell>
          <cell r="K68">
            <v>3.7703386531724412</v>
          </cell>
          <cell r="L68">
            <v>3.9831921978979468</v>
          </cell>
          <cell r="M68">
            <v>3.9938239835306226</v>
          </cell>
          <cell r="N68">
            <v>3.8282837999086361</v>
          </cell>
          <cell r="O68">
            <v>3.6306587669539434</v>
          </cell>
          <cell r="P68">
            <v>3.4642897337361673</v>
          </cell>
          <cell r="Q68">
            <v>3.3014420691536728</v>
          </cell>
          <cell r="R68">
            <v>3.1526410231561277</v>
          </cell>
          <cell r="S68">
            <v>3.0105466680003938</v>
          </cell>
          <cell r="T68">
            <v>2.874856722867503</v>
          </cell>
          <cell r="U68">
            <v>2.7452825311975526</v>
          </cell>
          <cell r="V68">
            <v>2.6215484466235042</v>
          </cell>
          <cell r="W68">
            <v>2.5033912465818826</v>
          </cell>
        </row>
        <row r="69">
          <cell r="E69" t="str">
            <v>Other indirect taxes</v>
          </cell>
          <cell r="G69">
            <v>1.9174839364220493</v>
          </cell>
          <cell r="H69">
            <v>1.6043733256100212</v>
          </cell>
          <cell r="I69">
            <v>1.6363289448578517</v>
          </cell>
          <cell r="J69">
            <v>1.5930009587727709</v>
          </cell>
          <cell r="K69">
            <v>1.3885892231552022</v>
          </cell>
          <cell r="L69">
            <v>1.2701153869193487</v>
          </cell>
          <cell r="M69">
            <v>1.1394750386001029</v>
          </cell>
          <cell r="N69">
            <v>1.107819616386726</v>
          </cell>
          <cell r="O69">
            <v>1.063506831731257</v>
          </cell>
          <cell r="P69">
            <v>1.0209665584620065</v>
          </cell>
          <cell r="Q69">
            <v>0.98012789612352635</v>
          </cell>
          <cell r="R69">
            <v>0.94092278027858511</v>
          </cell>
          <cell r="S69">
            <v>0.89858125516604859</v>
          </cell>
          <cell r="T69">
            <v>0.85814509868357647</v>
          </cell>
          <cell r="U69">
            <v>0.81952856924281547</v>
          </cell>
          <cell r="V69">
            <v>0.78264978362688875</v>
          </cell>
          <cell r="W69">
            <v>0.74743054336367876</v>
          </cell>
        </row>
        <row r="70">
          <cell r="D70" t="str">
            <v>Direct Taxes</v>
          </cell>
          <cell r="G70">
            <v>9.9993236388231317</v>
          </cell>
          <cell r="H70">
            <v>9.7798131923828855</v>
          </cell>
          <cell r="I70">
            <v>9.053806525472238</v>
          </cell>
          <cell r="J70">
            <v>8.5956375838926178</v>
          </cell>
          <cell r="K70">
            <v>9.0349774787299122</v>
          </cell>
          <cell r="L70">
            <v>9.0082546762511573</v>
          </cell>
          <cell r="M70">
            <v>8.7647967061245495</v>
          </cell>
          <cell r="N70">
            <v>8.7883186698318028</v>
          </cell>
          <cell r="O70">
            <v>8.71355317783628</v>
          </cell>
          <cell r="P70">
            <v>8.6803451861149732</v>
          </cell>
          <cell r="Q70">
            <v>8.6383664487667122</v>
          </cell>
          <cell r="R70">
            <v>8.6265237432457482</v>
          </cell>
          <cell r="S70">
            <v>8.8158476867816944</v>
          </cell>
          <cell r="T70">
            <v>9.0269476144522542</v>
          </cell>
          <cell r="U70">
            <v>9.2605643595330864</v>
          </cell>
          <cell r="V70">
            <v>9.5174976475934283</v>
          </cell>
          <cell r="W70">
            <v>9.7596717775245931</v>
          </cell>
        </row>
        <row r="71">
          <cell r="E71" t="str">
            <v>Personal Income Tax</v>
          </cell>
          <cell r="G71">
            <v>4.6094014203584717</v>
          </cell>
          <cell r="H71">
            <v>4.9661139671276526</v>
          </cell>
          <cell r="I71">
            <v>5.1226865102079762</v>
          </cell>
          <cell r="J71">
            <v>5.2661193672099715</v>
          </cell>
          <cell r="K71">
            <v>5.2783184118333981</v>
          </cell>
          <cell r="L71">
            <v>5.1898786342100962</v>
          </cell>
          <cell r="M71">
            <v>5.1312403499742674</v>
          </cell>
          <cell r="N71">
            <v>5.2533261287298121</v>
          </cell>
          <cell r="O71">
            <v>5.3212353853389383</v>
          </cell>
          <cell r="P71">
            <v>5.4229805200425245</v>
          </cell>
          <cell r="Q71">
            <v>5.5198124134527937</v>
          </cell>
          <cell r="R71">
            <v>5.6297869548338477</v>
          </cell>
          <cell r="S71">
            <v>5.9389803699062718</v>
          </cell>
          <cell r="T71">
            <v>6.2651549902518466</v>
          </cell>
          <cell r="U71">
            <v>6.6092434403006957</v>
          </cell>
          <cell r="V71">
            <v>6.9722295651303332</v>
          </cell>
          <cell r="W71">
            <v>7.3551512435538102</v>
          </cell>
        </row>
        <row r="72">
          <cell r="E72" t="str">
            <v>Enterprise Tax</v>
          </cell>
          <cell r="G72">
            <v>5.3899222184646609</v>
          </cell>
          <cell r="H72">
            <v>4.813699225255232</v>
          </cell>
          <cell r="I72">
            <v>3.9311200152642627</v>
          </cell>
          <cell r="J72">
            <v>3.3295182166826462</v>
          </cell>
          <cell r="K72">
            <v>3.7566590668965132</v>
          </cell>
          <cell r="L72">
            <v>3.8183760420410615</v>
          </cell>
          <cell r="M72">
            <v>3.6335563561502826</v>
          </cell>
          <cell r="N72">
            <v>3.5349925411019911</v>
          </cell>
          <cell r="O72">
            <v>3.3923177924973422</v>
          </cell>
          <cell r="P72">
            <v>3.2573646660724496</v>
          </cell>
          <cell r="Q72">
            <v>3.1185540353139189</v>
          </cell>
          <cell r="R72">
            <v>2.9967367884119005</v>
          </cell>
          <cell r="S72">
            <v>2.876867316875424</v>
          </cell>
          <cell r="T72">
            <v>2.7617926242004076</v>
          </cell>
          <cell r="U72">
            <v>2.6513209192323908</v>
          </cell>
          <cell r="V72">
            <v>2.5452680824630951</v>
          </cell>
          <cell r="W72">
            <v>2.4045205339707829</v>
          </cell>
        </row>
        <row r="73">
          <cell r="D73" t="str">
            <v>Social Security Contributions</v>
          </cell>
          <cell r="G73">
            <v>13.721846466012853</v>
          </cell>
          <cell r="H73">
            <v>13.93490695822171</v>
          </cell>
          <cell r="I73">
            <v>14.132417477580617</v>
          </cell>
          <cell r="J73">
            <v>14.786373441994247</v>
          </cell>
          <cell r="K73">
            <v>14.618639826502807</v>
          </cell>
          <cell r="L73">
            <v>14.736842819256116</v>
          </cell>
          <cell r="M73">
            <v>14.620072053525476</v>
          </cell>
          <cell r="N73">
            <v>14.674433562806263</v>
          </cell>
          <cell r="O73">
            <v>14.572675094125721</v>
          </cell>
          <cell r="P73">
            <v>14.560110951238043</v>
          </cell>
          <cell r="Q73">
            <v>14.529503940134244</v>
          </cell>
          <cell r="R73">
            <v>14.528415669297596</v>
          </cell>
          <cell r="S73">
            <v>14.527327479973257</v>
          </cell>
          <cell r="T73">
            <v>14.52623937215512</v>
          </cell>
          <cell r="U73">
            <v>14.525151345837084</v>
          </cell>
          <cell r="V73">
            <v>14.524063401013038</v>
          </cell>
          <cell r="W73">
            <v>14.522975537676885</v>
          </cell>
        </row>
        <row r="74">
          <cell r="D74" t="str">
            <v>Other Taxes</v>
          </cell>
          <cell r="G74">
            <v>0.89854582346973288</v>
          </cell>
          <cell r="H74">
            <v>0.72912895518065313</v>
          </cell>
          <cell r="I74">
            <v>0.51593207403167329</v>
          </cell>
          <cell r="J74">
            <v>0.54656040268456363</v>
          </cell>
          <cell r="K74">
            <v>0.58360673969860422</v>
          </cell>
          <cell r="L74">
            <v>0.61137476011544944</v>
          </cell>
          <cell r="M74">
            <v>0.58157488419969128</v>
          </cell>
          <cell r="N74">
            <v>0.56836320982427413</v>
          </cell>
          <cell r="O74">
            <v>0.54847049748042453</v>
          </cell>
          <cell r="P74">
            <v>0.52927403006860962</v>
          </cell>
          <cell r="Q74">
            <v>0.51074943901620828</v>
          </cell>
          <cell r="R74">
            <v>0.49287320865064094</v>
          </cell>
          <cell r="S74">
            <v>0.47315828030461526</v>
          </cell>
          <cell r="T74">
            <v>0.45423194909243075</v>
          </cell>
          <cell r="U74">
            <v>0.43606267112873359</v>
          </cell>
          <cell r="V74">
            <v>0.41862016428358417</v>
          </cell>
          <cell r="W74">
            <v>0.40187535771224081</v>
          </cell>
        </row>
        <row r="75">
          <cell r="C75" t="str">
            <v>Non-Tax current Revenue</v>
          </cell>
          <cell r="G75">
            <v>4.3872167737571912</v>
          </cell>
          <cell r="H75">
            <v>4.4681775396423129</v>
          </cell>
          <cell r="I75">
            <v>3.6445334859759586</v>
          </cell>
          <cell r="J75">
            <v>2.7115292425695112</v>
          </cell>
          <cell r="K75">
            <v>2.700161263415449</v>
          </cell>
          <cell r="L75">
            <v>2.5872148521483389</v>
          </cell>
          <cell r="M75">
            <v>2.4342254246011321</v>
          </cell>
          <cell r="N75">
            <v>2.3666009212395203</v>
          </cell>
          <cell r="O75">
            <v>2.2719368843899392</v>
          </cell>
          <cell r="P75">
            <v>2.1810594090143414</v>
          </cell>
          <cell r="Q75">
            <v>2.0938170326537677</v>
          </cell>
          <cell r="R75">
            <v>2.0100643513476171</v>
          </cell>
          <cell r="S75">
            <v>1.9296617772937119</v>
          </cell>
          <cell r="T75">
            <v>1.8524753062019634</v>
          </cell>
          <cell r="U75">
            <v>1.7783762939538847</v>
          </cell>
          <cell r="V75">
            <v>1.7072412421957295</v>
          </cell>
          <cell r="W75">
            <v>1.6389515925079003</v>
          </cell>
        </row>
        <row r="76">
          <cell r="B76" t="str">
            <v>Non-tax capital revenue</v>
          </cell>
          <cell r="G76">
            <v>0.5326344267839036</v>
          </cell>
          <cell r="H76">
            <v>0.39642314097458714</v>
          </cell>
          <cell r="I76">
            <v>0.52534503593461745</v>
          </cell>
          <cell r="J76">
            <v>0.54817833173538022</v>
          </cell>
          <cell r="K76">
            <v>0.5440137908024254</v>
          </cell>
          <cell r="L76">
            <v>1.6970287790666012</v>
          </cell>
          <cell r="M76">
            <v>0.70164693772516729</v>
          </cell>
          <cell r="N76">
            <v>0.68215468971094095</v>
          </cell>
          <cell r="O76">
            <v>0.65486850212250336</v>
          </cell>
          <cell r="P76">
            <v>0.60902770697392805</v>
          </cell>
          <cell r="Q76">
            <v>0.54812493627653525</v>
          </cell>
          <cell r="R76">
            <v>0.46590619583505488</v>
          </cell>
          <cell r="S76">
            <v>0.44726994800165276</v>
          </cell>
          <cell r="T76">
            <v>0.42937915008158661</v>
          </cell>
          <cell r="U76">
            <v>0.41220398407832315</v>
          </cell>
          <cell r="V76">
            <v>0.39571582471519012</v>
          </cell>
          <cell r="W76">
            <v>0.37988719172658258</v>
          </cell>
        </row>
        <row r="78">
          <cell r="A78" t="str">
            <v>Expenditure incl. L-R</v>
          </cell>
          <cell r="G78">
            <v>41.853905985796416</v>
          </cell>
          <cell r="H78">
            <v>41.528709000072411</v>
          </cell>
          <cell r="I78">
            <v>40.623354321694336</v>
          </cell>
          <cell r="J78">
            <v>40.864693192713332</v>
          </cell>
          <cell r="K78">
            <v>40.840015681476956</v>
          </cell>
          <cell r="L78">
            <v>42.005909428198009</v>
          </cell>
          <cell r="M78">
            <v>43.607668553782815</v>
          </cell>
          <cell r="N78">
            <v>44.77733602930013</v>
          </cell>
          <cell r="O78">
            <v>42.996199897955037</v>
          </cell>
          <cell r="P78">
            <v>42.915596919602031</v>
          </cell>
          <cell r="Q78">
            <v>42.50758948513316</v>
          </cell>
          <cell r="R78">
            <v>41.718289228722576</v>
          </cell>
          <cell r="S78" t="e">
            <v>#REF!</v>
          </cell>
          <cell r="T78" t="e">
            <v>#REF!</v>
          </cell>
          <cell r="U78" t="e">
            <v>#REF!</v>
          </cell>
          <cell r="V78" t="e">
            <v>#REF!</v>
          </cell>
          <cell r="W78" t="e">
            <v>#REF!</v>
          </cell>
        </row>
        <row r="79">
          <cell r="A79" t="str">
            <v xml:space="preserve">Expenditure excl priv, trans to TI, guarantee calls </v>
          </cell>
          <cell r="G79">
            <v>44.497379100439645</v>
          </cell>
          <cell r="H79">
            <v>43.190355513720959</v>
          </cell>
          <cell r="I79">
            <v>41.271195064555116</v>
          </cell>
          <cell r="J79">
            <v>41.209911313518703</v>
          </cell>
          <cell r="K79">
            <v>40.335984096090762</v>
          </cell>
          <cell r="L79">
            <v>42.974106345912979</v>
          </cell>
          <cell r="M79">
            <v>43.281008749356673</v>
          </cell>
          <cell r="N79">
            <v>43.962071680893736</v>
          </cell>
          <cell r="O79">
            <v>44.047871983526775</v>
          </cell>
          <cell r="P79">
            <v>43.752464487183531</v>
          </cell>
          <cell r="Q79">
            <v>42.680831798095511</v>
          </cell>
          <cell r="R79">
            <v>41.353377433658338</v>
          </cell>
          <cell r="S79" t="e">
            <v>#REF!</v>
          </cell>
          <cell r="T79" t="e">
            <v>#REF!</v>
          </cell>
          <cell r="U79" t="e">
            <v>#REF!</v>
          </cell>
          <cell r="V79" t="e">
            <v>#REF!</v>
          </cell>
          <cell r="W79" t="e">
            <v>#REF!</v>
          </cell>
        </row>
        <row r="80">
          <cell r="A80" t="str">
            <v>Expenditure excl. L_R</v>
          </cell>
          <cell r="G80">
            <v>43.852806898884005</v>
          </cell>
          <cell r="H80">
            <v>43.002172181594382</v>
          </cell>
          <cell r="I80">
            <v>42.007950136742352</v>
          </cell>
          <cell r="J80">
            <v>41.799556567593484</v>
          </cell>
          <cell r="K80">
            <v>41.684646610687878</v>
          </cell>
          <cell r="L80">
            <v>43.057910052279034</v>
          </cell>
          <cell r="M80">
            <v>46.280545548121466</v>
          </cell>
          <cell r="N80">
            <v>48.744142446997252</v>
          </cell>
          <cell r="O80">
            <v>44.411995640274668</v>
          </cell>
          <cell r="P80">
            <v>44.049990570052053</v>
          </cell>
          <cell r="Q80">
            <v>42.680831798095511</v>
          </cell>
          <cell r="R80">
            <v>41.353377433658338</v>
          </cell>
          <cell r="S80" t="e">
            <v>#REF!</v>
          </cell>
          <cell r="T80" t="e">
            <v>#REF!</v>
          </cell>
          <cell r="U80" t="e">
            <v>#REF!</v>
          </cell>
          <cell r="V80" t="e">
            <v>#REF!</v>
          </cell>
          <cell r="W80" t="e">
            <v>#REF!</v>
          </cell>
        </row>
        <row r="81">
          <cell r="B81" t="str">
            <v>Current exp.</v>
          </cell>
          <cell r="G81">
            <v>36.804362529590797</v>
          </cell>
          <cell r="H81">
            <v>35.903627543262616</v>
          </cell>
          <cell r="I81">
            <v>35.609934490873243</v>
          </cell>
          <cell r="J81">
            <v>36.255213326941522</v>
          </cell>
          <cell r="K81">
            <v>36.45326141355725</v>
          </cell>
          <cell r="L81">
            <v>37.465256088329788</v>
          </cell>
          <cell r="M81">
            <v>40.262943901183739</v>
          </cell>
          <cell r="N81">
            <v>42.383470662547467</v>
          </cell>
          <cell r="O81">
            <v>38.013436321641592</v>
          </cell>
          <cell r="P81">
            <v>37.754319381556357</v>
          </cell>
          <cell r="Q81">
            <v>36.585833519651182</v>
          </cell>
          <cell r="R81">
            <v>35.602998222330619</v>
          </cell>
          <cell r="S81" t="e">
            <v>#REF!</v>
          </cell>
          <cell r="T81" t="e">
            <v>#REF!</v>
          </cell>
          <cell r="U81" t="e">
            <v>#REF!</v>
          </cell>
          <cell r="V81" t="e">
            <v>#REF!</v>
          </cell>
          <cell r="W81" t="e">
            <v>#REF!</v>
          </cell>
        </row>
        <row r="82">
          <cell r="C82" t="str">
            <v>Goods and services</v>
          </cell>
          <cell r="G82">
            <v>11.022404463983767</v>
          </cell>
          <cell r="H82">
            <v>8.9335312432119327</v>
          </cell>
          <cell r="I82">
            <v>8.8600139922406669</v>
          </cell>
          <cell r="J82">
            <v>8.17635426653883</v>
          </cell>
          <cell r="K82">
            <v>8.2619696379914362</v>
          </cell>
          <cell r="L82">
            <v>8.5154795991940304</v>
          </cell>
          <cell r="M82">
            <v>8.6493566649511084</v>
          </cell>
          <cell r="N82">
            <v>8.5189055696213138</v>
          </cell>
          <cell r="O82">
            <v>8.39871236935514</v>
          </cell>
          <cell r="P82">
            <v>8.2684421317781069</v>
          </cell>
          <cell r="Q82">
            <v>8.0859425364348514</v>
          </cell>
          <cell r="R82">
            <v>7.8627923948382419</v>
          </cell>
          <cell r="S82">
            <v>7.614497155714985</v>
          </cell>
          <cell r="T82">
            <v>7.3742211193464735</v>
          </cell>
          <cell r="U82">
            <v>7.1417000501631192</v>
          </cell>
          <cell r="V82">
            <v>6.9166785696717303</v>
          </cell>
          <cell r="W82">
            <v>6.6989098553364519</v>
          </cell>
        </row>
        <row r="83">
          <cell r="D83" t="str">
            <v>Wages and salaries</v>
          </cell>
          <cell r="G83">
            <v>4.1057659790328032</v>
          </cell>
          <cell r="H83">
            <v>3.6380421403229306</v>
          </cell>
          <cell r="I83">
            <v>3.6489855625516756</v>
          </cell>
          <cell r="J83">
            <v>3.7311241610738253</v>
          </cell>
          <cell r="K83">
            <v>3.4842907190124004</v>
          </cell>
          <cell r="L83">
            <v>3.7860605342264328</v>
          </cell>
          <cell r="M83">
            <v>3.6777663407102423</v>
          </cell>
          <cell r="N83">
            <v>3.5170788884783186</v>
          </cell>
          <cell r="O83">
            <v>3.4674564383008826</v>
          </cell>
          <cell r="P83">
            <v>3.413673625633832</v>
          </cell>
          <cell r="Q83">
            <v>3.3772081820840674</v>
          </cell>
          <cell r="R83">
            <v>3.3219374167642139</v>
          </cell>
          <cell r="S83">
            <v>3.2355361907907763</v>
          </cell>
          <cell r="T83">
            <v>3.1513821991607793</v>
          </cell>
          <cell r="U83">
            <v>3.0694169929096686</v>
          </cell>
          <cell r="V83">
            <v>2.9895836432888245</v>
          </cell>
          <cell r="W83">
            <v>2.91182670222583</v>
          </cell>
        </row>
        <row r="84">
          <cell r="D84" t="str">
            <v>Other goods and services</v>
          </cell>
          <cell r="G84">
            <v>6.9166384849509637</v>
          </cell>
          <cell r="H84">
            <v>5.2954891028890012</v>
          </cell>
          <cell r="I84">
            <v>5.2110284296889917</v>
          </cell>
          <cell r="J84">
            <v>4.4452301054650052</v>
          </cell>
          <cell r="K84">
            <v>4.7776789189790358</v>
          </cell>
          <cell r="L84">
            <v>4.7294190649675985</v>
          </cell>
          <cell r="M84">
            <v>4.9715903242408643</v>
          </cell>
          <cell r="N84">
            <v>5.0018266811429966</v>
          </cell>
          <cell r="O84">
            <v>4.9312559310542561</v>
          </cell>
          <cell r="P84">
            <v>4.8547685061442749</v>
          </cell>
          <cell r="Q84">
            <v>4.708734354350784</v>
          </cell>
          <cell r="R84">
            <v>4.5408549780740275</v>
          </cell>
          <cell r="S84">
            <v>4.3789609649242083</v>
          </cell>
          <cell r="T84">
            <v>4.2228389201856942</v>
          </cell>
          <cell r="U84">
            <v>4.0722830572534496</v>
          </cell>
          <cell r="V84">
            <v>3.9270949263829049</v>
          </cell>
          <cell r="W84">
            <v>3.7870831531106215</v>
          </cell>
        </row>
        <row r="85">
          <cell r="C85" t="str">
            <v>Transfers</v>
          </cell>
          <cell r="G85">
            <v>17.450541088941499</v>
          </cell>
          <cell r="H85">
            <v>17.511983201795672</v>
          </cell>
          <cell r="I85">
            <v>17.734592634993323</v>
          </cell>
          <cell r="J85">
            <v>19.080476989453498</v>
          </cell>
          <cell r="K85">
            <v>19.278095979536229</v>
          </cell>
          <cell r="L85">
            <v>20.305134344061429</v>
          </cell>
          <cell r="M85">
            <v>20.748790530108081</v>
          </cell>
          <cell r="N85">
            <v>21.102215791525499</v>
          </cell>
          <cell r="O85">
            <v>21.220574418563981</v>
          </cell>
          <cell r="P85">
            <v>21.309256174513852</v>
          </cell>
          <cell r="Q85">
            <v>21.041403246342895</v>
          </cell>
          <cell r="R85">
            <v>20.61868827030494</v>
          </cell>
          <cell r="S85" t="e">
            <v>#REF!</v>
          </cell>
          <cell r="T85" t="e">
            <v>#REF!</v>
          </cell>
          <cell r="U85" t="e">
            <v>#REF!</v>
          </cell>
          <cell r="V85" t="e">
            <v>#REF!</v>
          </cell>
          <cell r="W85" t="e">
            <v>#REF!</v>
          </cell>
        </row>
        <row r="86">
          <cell r="D86" t="str">
            <v>Health Insurance</v>
          </cell>
          <cell r="G86">
            <v>5.3432532972607376</v>
          </cell>
          <cell r="H86">
            <v>5.3663746289189778</v>
          </cell>
          <cell r="I86">
            <v>5.4876931883228401</v>
          </cell>
          <cell r="J86">
            <v>5.5715484180249275</v>
          </cell>
          <cell r="K86">
            <v>5.6414391369626875</v>
          </cell>
          <cell r="L86">
            <v>5.792136361161031</v>
          </cell>
          <cell r="M86">
            <v>5.8747812660833763</v>
          </cell>
          <cell r="N86">
            <v>6.028720888381522</v>
          </cell>
          <cell r="O86">
            <v>6.0625349264046555</v>
          </cell>
          <cell r="P86">
            <v>6.087870538541087</v>
          </cell>
          <cell r="Q86">
            <v>6.0228388677350564</v>
          </cell>
          <cell r="R86">
            <v>5.9242701992757576</v>
          </cell>
          <cell r="S86">
            <v>5.8103419262127618</v>
          </cell>
          <cell r="T86">
            <v>5.6986045814779018</v>
          </cell>
          <cell r="U86">
            <v>5.5890160318340962</v>
          </cell>
          <cell r="V86">
            <v>5.4815349542988248</v>
          </cell>
          <cell r="W86">
            <v>5.3761208205623099</v>
          </cell>
        </row>
        <row r="87">
          <cell r="D87" t="str">
            <v>Transfers to households</v>
          </cell>
          <cell r="G87">
            <v>11.666892120392291</v>
          </cell>
          <cell r="H87">
            <v>11.473535587575123</v>
          </cell>
          <cell r="I87">
            <v>11.586020479552248</v>
          </cell>
          <cell r="J87">
            <v>12.585450623202302</v>
          </cell>
          <cell r="K87">
            <v>12.663737974753936</v>
          </cell>
          <cell r="L87">
            <v>13.417077834231881</v>
          </cell>
          <cell r="M87">
            <v>13.425542974781266</v>
          </cell>
          <cell r="N87">
            <v>13.824743135085019</v>
          </cell>
          <cell r="O87">
            <v>13.902283694464826</v>
          </cell>
          <cell r="P87">
            <v>13.960381977075869</v>
          </cell>
          <cell r="Q87">
            <v>13.771030975740766</v>
          </cell>
          <cell r="R87">
            <v>13.467301569407446</v>
          </cell>
          <cell r="S87">
            <v>9.6695248734762007</v>
          </cell>
          <cell r="T87">
            <v>9.7910186040975518</v>
          </cell>
          <cell r="U87">
            <v>9.9140388550778056</v>
          </cell>
          <cell r="V87">
            <v>10.038604806537572</v>
          </cell>
          <cell r="W87">
            <v>10.164735879588035</v>
          </cell>
        </row>
        <row r="88">
          <cell r="E88" t="str">
            <v>Pensions</v>
          </cell>
          <cell r="G88">
            <v>7.4568819749746371</v>
          </cell>
          <cell r="H88">
            <v>7.950184635435523</v>
          </cell>
          <cell r="I88">
            <v>8.1142275647141133</v>
          </cell>
          <cell r="J88">
            <v>9.0553092042186005</v>
          </cell>
          <cell r="K88">
            <v>9.237668909525663</v>
          </cell>
          <cell r="L88">
            <v>9.6854544464412147</v>
          </cell>
          <cell r="M88">
            <v>9.4235717961914567</v>
          </cell>
          <cell r="N88">
            <v>9.7179064468230667</v>
          </cell>
          <cell r="O88">
            <v>9.7724124795590335</v>
          </cell>
          <cell r="P88">
            <v>9.8132518405235327</v>
          </cell>
          <cell r="Q88">
            <v>9.7084250116365762</v>
          </cell>
          <cell r="R88">
            <v>9.5495387210933522</v>
          </cell>
          <cell r="S88">
            <v>9.6695248734762007</v>
          </cell>
          <cell r="T88">
            <v>9.7910186040975518</v>
          </cell>
          <cell r="U88">
            <v>9.9140388550778056</v>
          </cell>
          <cell r="V88">
            <v>10.038604806537572</v>
          </cell>
          <cell r="W88">
            <v>10.164735879588035</v>
          </cell>
        </row>
        <row r="89">
          <cell r="E89" t="str">
            <v>Other social transfers</v>
          </cell>
          <cell r="G89">
            <v>4.2100101454176535</v>
          </cell>
          <cell r="H89">
            <v>3.5233509521395998</v>
          </cell>
          <cell r="I89">
            <v>3.4717929148381357</v>
          </cell>
          <cell r="J89">
            <v>3.5301414189836997</v>
          </cell>
          <cell r="K89">
            <v>3.4260690652282704</v>
          </cell>
          <cell r="L89">
            <v>3.731623387790667</v>
          </cell>
          <cell r="M89">
            <v>4.0019711785898089</v>
          </cell>
          <cell r="N89">
            <v>4.1068366882619509</v>
          </cell>
          <cell r="O89">
            <v>4.1298712149057906</v>
          </cell>
          <cell r="P89">
            <v>4.1471301365523363</v>
          </cell>
          <cell r="Q89">
            <v>4.0626059641041907</v>
          </cell>
          <cell r="R89">
            <v>3.9177628483140934</v>
          </cell>
          <cell r="S89">
            <v>0</v>
          </cell>
          <cell r="T89">
            <v>0</v>
          </cell>
          <cell r="U89">
            <v>0</v>
          </cell>
          <cell r="V89">
            <v>0</v>
          </cell>
          <cell r="W89">
            <v>0</v>
          </cell>
        </row>
        <row r="90">
          <cell r="D90" t="str">
            <v>Other transfers</v>
          </cell>
          <cell r="G90">
            <v>0.44039567128846807</v>
          </cell>
          <cell r="H90">
            <v>0.67207298530157122</v>
          </cell>
          <cell r="I90">
            <v>0.66087896711823446</v>
          </cell>
          <cell r="J90">
            <v>0.92347794822627038</v>
          </cell>
          <cell r="K90">
            <v>0.9729188678196079</v>
          </cell>
          <cell r="L90">
            <v>1.0959201486685186</v>
          </cell>
          <cell r="M90">
            <v>1.4484662892434381</v>
          </cell>
          <cell r="N90">
            <v>1.2487517680589608</v>
          </cell>
          <cell r="O90">
            <v>1.2557557976944975</v>
          </cell>
          <cell r="P90">
            <v>1.2610036588968956</v>
          </cell>
          <cell r="Q90">
            <v>1.2475334028670693</v>
          </cell>
          <cell r="R90">
            <v>1.2271165016217354</v>
          </cell>
          <cell r="S90" t="e">
            <v>#REF!</v>
          </cell>
          <cell r="T90" t="e">
            <v>#REF!</v>
          </cell>
          <cell r="U90" t="e">
            <v>#REF!</v>
          </cell>
          <cell r="V90" t="e">
            <v>#REF!</v>
          </cell>
          <cell r="W90" t="e">
            <v>#REF!</v>
          </cell>
        </row>
        <row r="91">
          <cell r="C91" t="str">
            <v>Subsidies to Enterprises</v>
          </cell>
          <cell r="G91">
            <v>7.0273926276631729</v>
          </cell>
          <cell r="H91">
            <v>8.2589240460502484</v>
          </cell>
          <cell r="I91">
            <v>7.9805380652547218</v>
          </cell>
          <cell r="J91">
            <v>7.7556327900287627</v>
          </cell>
          <cell r="K91">
            <v>7.7339709725852206</v>
          </cell>
          <cell r="L91">
            <v>7.5772495692424977</v>
          </cell>
          <cell r="M91">
            <v>9.812557900154399</v>
          </cell>
          <cell r="N91">
            <v>11.525107821048353</v>
          </cell>
          <cell r="O91">
            <v>6.8239025511158919</v>
          </cell>
          <cell r="P91">
            <v>6.4408332769736747</v>
          </cell>
          <cell r="Q91">
            <v>5.8177947705253965</v>
          </cell>
          <cell r="R91">
            <v>5.4821527645335459</v>
          </cell>
          <cell r="S91">
            <v>5.2185877277771251</v>
          </cell>
          <cell r="T91">
            <v>4.9676940870186099</v>
          </cell>
          <cell r="U91">
            <v>4.7288626405273311</v>
          </cell>
          <cell r="V91">
            <v>4.5015134751173633</v>
          </cell>
          <cell r="W91">
            <v>4.2850945580444124</v>
          </cell>
        </row>
        <row r="92">
          <cell r="D92" t="str">
            <v>of which: expenditures of TI</v>
          </cell>
          <cell r="G92">
            <v>0</v>
          </cell>
          <cell r="H92">
            <v>0.24618058069654625</v>
          </cell>
          <cell r="I92">
            <v>0.97945684665776256</v>
          </cell>
          <cell r="J92">
            <v>0.36553211888782355</v>
          </cell>
          <cell r="K92">
            <v>0.99538452983373182</v>
          </cell>
          <cell r="L92">
            <v>0.39753852856287097</v>
          </cell>
          <cell r="M92">
            <v>2.9181677817807516</v>
          </cell>
          <cell r="N92">
            <v>4.7820707661035176</v>
          </cell>
          <cell r="O92">
            <v>0.36412365674789587</v>
          </cell>
          <cell r="P92">
            <v>0.29752608286852439</v>
          </cell>
          <cell r="Q92">
            <v>0</v>
          </cell>
          <cell r="R92">
            <v>0</v>
          </cell>
          <cell r="S92">
            <v>0</v>
          </cell>
          <cell r="T92">
            <v>0</v>
          </cell>
          <cell r="U92">
            <v>0</v>
          </cell>
          <cell r="V92">
            <v>0</v>
          </cell>
          <cell r="W92">
            <v>0</v>
          </cell>
        </row>
        <row r="93">
          <cell r="C93" t="str">
            <v>Interest payments</v>
          </cell>
          <cell r="G93">
            <v>1.3040243490023673</v>
          </cell>
          <cell r="H93">
            <v>1.1991890522047643</v>
          </cell>
          <cell r="I93">
            <v>1.0347897983845322</v>
          </cell>
          <cell r="J93">
            <v>1.2427492809204219</v>
          </cell>
          <cell r="K93">
            <v>1.1792248234443641</v>
          </cell>
          <cell r="L93">
            <v>1.0673925758318357</v>
          </cell>
          <cell r="M93">
            <v>1.0522388059701493</v>
          </cell>
          <cell r="N93">
            <v>1.2372414803522984</v>
          </cell>
          <cell r="O93">
            <v>1.5702469826065799</v>
          </cell>
          <cell r="P93">
            <v>1.7357877982907228</v>
          </cell>
          <cell r="Q93">
            <v>1.6406929663480299</v>
          </cell>
          <cell r="R93">
            <v>1.6393647926538883</v>
          </cell>
          <cell r="S93">
            <v>1.6954564935464984</v>
          </cell>
          <cell r="T93" t="e">
            <v>#REF!</v>
          </cell>
          <cell r="U93" t="e">
            <v>#REF!</v>
          </cell>
          <cell r="V93" t="e">
            <v>#REF!</v>
          </cell>
          <cell r="W93" t="e">
            <v>#REF!</v>
          </cell>
        </row>
        <row r="94">
          <cell r="B94" t="str">
            <v>Capital Expenditures</v>
          </cell>
          <cell r="G94">
            <v>7.0484443692932022</v>
          </cell>
          <cell r="H94">
            <v>7.0985446383317647</v>
          </cell>
          <cell r="I94">
            <v>6.3980156458691093</v>
          </cell>
          <cell r="J94">
            <v>5.5443432406519655</v>
          </cell>
          <cell r="K94">
            <v>5.2313851971306233</v>
          </cell>
          <cell r="L94">
            <v>5.5926539639492487</v>
          </cell>
          <cell r="M94">
            <v>6.0176016469377247</v>
          </cell>
          <cell r="N94">
            <v>6.3606717844497798</v>
          </cell>
          <cell r="O94">
            <v>6.3985593186330805</v>
          </cell>
          <cell r="P94">
            <v>6.2956711884956968</v>
          </cell>
          <cell r="Q94">
            <v>6.0949982784443364</v>
          </cell>
          <cell r="R94">
            <v>5.7503792113277212</v>
          </cell>
          <cell r="S94">
            <v>5.4065205186427052</v>
          </cell>
          <cell r="T94">
            <v>5.0832714734060085</v>
          </cell>
          <cell r="U94">
            <v>4.779393872363328</v>
          </cell>
          <cell r="V94">
            <v>4.4937240821505746</v>
          </cell>
          <cell r="W94">
            <v>4.2251685373526584</v>
          </cell>
        </row>
        <row r="95">
          <cell r="C95" t="str">
            <v>Fixed investment</v>
          </cell>
          <cell r="G95">
            <v>4.5875042272573561</v>
          </cell>
          <cell r="H95">
            <v>4.6000289624212582</v>
          </cell>
          <cell r="I95">
            <v>4.4010048972842339</v>
          </cell>
          <cell r="J95">
            <v>3.6417186001917545</v>
          </cell>
          <cell r="K95">
            <v>3.3422676972696435</v>
          </cell>
          <cell r="L95">
            <v>3.5927135223002797</v>
          </cell>
          <cell r="M95">
            <v>3.7674729799279465</v>
          </cell>
          <cell r="N95">
            <v>3.9946291169245711</v>
          </cell>
          <cell r="O95">
            <v>4.0710901230209542</v>
          </cell>
          <cell r="P95">
            <v>4.0485200108658113</v>
          </cell>
          <cell r="Q95">
            <v>3.9783144615444384</v>
          </cell>
          <cell r="R95">
            <v>3.7487963195322589</v>
          </cell>
          <cell r="S95">
            <v>3.5325196087900137</v>
          </cell>
          <cell r="T95">
            <v>3.328720400590591</v>
          </cell>
          <cell r="U95">
            <v>3.1366788390180562</v>
          </cell>
          <cell r="V95">
            <v>2.9557165983054761</v>
          </cell>
          <cell r="W95">
            <v>2.7851944868647753</v>
          </cell>
        </row>
        <row r="96">
          <cell r="C96" t="str">
            <v>Other investment</v>
          </cell>
          <cell r="G96">
            <v>2.460940142035847</v>
          </cell>
          <cell r="H96">
            <v>2.4985156759105061</v>
          </cell>
          <cell r="I96">
            <v>1.9970107485848758</v>
          </cell>
          <cell r="J96">
            <v>1.902624640460211</v>
          </cell>
          <cell r="K96">
            <v>1.8891174998609797</v>
          </cell>
          <cell r="L96">
            <v>1.9999404416489686</v>
          </cell>
          <cell r="M96">
            <v>2.2501286670097786</v>
          </cell>
          <cell r="N96">
            <v>2.36604266752521</v>
          </cell>
          <cell r="O96">
            <v>2.3274691956121263</v>
          </cell>
          <cell r="P96">
            <v>2.2471511776298843</v>
          </cell>
          <cell r="Q96">
            <v>2.116683816899898</v>
          </cell>
          <cell r="R96">
            <v>2.0015828917954623</v>
          </cell>
          <cell r="S96">
            <v>1.8740009098526911</v>
          </cell>
          <cell r="T96">
            <v>1.7545510728154179</v>
          </cell>
          <cell r="U96">
            <v>1.6427150333452718</v>
          </cell>
          <cell r="V96">
            <v>1.5380074838450977</v>
          </cell>
          <cell r="W96">
            <v>1.4399740504878826</v>
          </cell>
        </row>
        <row r="97">
          <cell r="B97" t="str">
            <v>Lending minus repayments</v>
          </cell>
          <cell r="G97">
            <v>-1.9989009130875888</v>
          </cell>
          <cell r="H97">
            <v>-1.4734631815219754</v>
          </cell>
          <cell r="I97">
            <v>-1.3845958150480187</v>
          </cell>
          <cell r="J97">
            <v>-0.93486337488015347</v>
          </cell>
          <cell r="K97">
            <v>-0.84463092921092131</v>
          </cell>
          <cell r="L97">
            <v>-1.0520006240810322</v>
          </cell>
          <cell r="M97">
            <v>-2.6728769943386514</v>
          </cell>
          <cell r="N97">
            <v>-3.9668064176971254</v>
          </cell>
          <cell r="O97">
            <v>-1.415795742319635</v>
          </cell>
          <cell r="P97">
            <v>-1.1343936504500201</v>
          </cell>
          <cell r="Q97">
            <v>-0.17324231296234927</v>
          </cell>
          <cell r="R97">
            <v>0.36491179506423865</v>
          </cell>
          <cell r="S97">
            <v>0</v>
          </cell>
          <cell r="T97">
            <v>0</v>
          </cell>
          <cell r="U97">
            <v>0</v>
          </cell>
          <cell r="V97">
            <v>0</v>
          </cell>
          <cell r="W97">
            <v>0</v>
          </cell>
        </row>
        <row r="98">
          <cell r="B98" t="str">
            <v>Lending minus repayments (exc. pvt)</v>
          </cell>
          <cell r="G98">
            <v>0.67999661819411561</v>
          </cell>
          <cell r="H98">
            <v>0.49149228875534001</v>
          </cell>
          <cell r="I98">
            <v>0.24848947401895313</v>
          </cell>
          <cell r="J98">
            <v>-0.10498561840843723</v>
          </cell>
          <cell r="K98">
            <v>1.8350775732636496E-2</v>
          </cell>
          <cell r="L98">
            <v>0.36704855089037769</v>
          </cell>
          <cell r="M98">
            <v>7.3031394750386211E-2</v>
          </cell>
          <cell r="N98">
            <v>0.26424384860845651</v>
          </cell>
          <cell r="O98">
            <v>1.5340667933595211</v>
          </cell>
          <cell r="P98">
            <v>0.15919801419573798</v>
          </cell>
          <cell r="Q98">
            <v>0.22889861777662304</v>
          </cell>
          <cell r="R98">
            <v>0.36491179506423865</v>
          </cell>
          <cell r="S98">
            <v>0</v>
          </cell>
          <cell r="T98">
            <v>0</v>
          </cell>
          <cell r="U98">
            <v>0</v>
          </cell>
          <cell r="V98">
            <v>0</v>
          </cell>
          <cell r="W98">
            <v>0</v>
          </cell>
        </row>
        <row r="99">
          <cell r="C99" t="str">
            <v>Privatization revenues</v>
          </cell>
          <cell r="G99">
            <v>-2.6788975312817045</v>
          </cell>
          <cell r="H99">
            <v>-1.9649554702773155</v>
          </cell>
          <cell r="I99">
            <v>-1.6330852890669718</v>
          </cell>
          <cell r="J99">
            <v>-0.82987775647171624</v>
          </cell>
          <cell r="K99">
            <v>-0.86298170494355786</v>
          </cell>
          <cell r="L99">
            <v>-1.41904917497141</v>
          </cell>
          <cell r="M99">
            <v>-2.7459083890890379</v>
          </cell>
          <cell r="N99">
            <v>-4.2310502663055818</v>
          </cell>
          <cell r="O99">
            <v>-2.9498625356791561</v>
          </cell>
          <cell r="P99">
            <v>-1.2935916646457581</v>
          </cell>
          <cell r="Q99">
            <v>-0.40214093073897234</v>
          </cell>
          <cell r="R99">
            <v>0</v>
          </cell>
          <cell r="S99">
            <v>0</v>
          </cell>
          <cell r="T99">
            <v>0</v>
          </cell>
          <cell r="U99">
            <v>0</v>
          </cell>
          <cell r="V99">
            <v>0</v>
          </cell>
          <cell r="W99">
            <v>0</v>
          </cell>
        </row>
        <row r="101">
          <cell r="A101" t="str">
            <v>General Government Balance</v>
          </cell>
          <cell r="G101">
            <v>0.78077443354751552</v>
          </cell>
          <cell r="H101">
            <v>0.35008326696112063</v>
          </cell>
          <cell r="I101">
            <v>-0.27208547987025505</v>
          </cell>
          <cell r="J101">
            <v>-1.1876797698945381</v>
          </cell>
          <cell r="K101">
            <v>-1.560362675860538</v>
          </cell>
          <cell r="L101">
            <v>-0.57876889832815881</v>
          </cell>
          <cell r="M101">
            <v>-3.6571796191456554</v>
          </cell>
          <cell r="N101">
            <v>-4.6201403895181068</v>
          </cell>
          <cell r="O101">
            <v>-3.1510017275538664</v>
          </cell>
          <cell r="P101">
            <v>-3.2293090757600207</v>
          </cell>
          <cell r="Q101">
            <v>-3.0914191694098712</v>
          </cell>
          <cell r="R101">
            <v>-2.598763317776597</v>
          </cell>
          <cell r="S101" t="e">
            <v>#REF!</v>
          </cell>
          <cell r="T101" t="e">
            <v>#REF!</v>
          </cell>
          <cell r="U101" t="e">
            <v>#REF!</v>
          </cell>
          <cell r="V101" t="e">
            <v>#REF!</v>
          </cell>
          <cell r="W101" t="e">
            <v>#REF!</v>
          </cell>
        </row>
        <row r="102">
          <cell r="B102" t="str">
            <v>Primary Balance</v>
          </cell>
          <cell r="G102">
            <v>2.0847987825498828</v>
          </cell>
          <cell r="H102">
            <v>1.549272319165885</v>
          </cell>
          <cell r="I102">
            <v>0.76270431851427722</v>
          </cell>
          <cell r="J102">
            <v>5.5069511025883922E-2</v>
          </cell>
          <cell r="K102">
            <v>-0.38113785241617387</v>
          </cell>
          <cell r="L102">
            <v>0.48862367750367697</v>
          </cell>
          <cell r="M102">
            <v>-2.6049408131755061</v>
          </cell>
          <cell r="N102">
            <v>-3.3828989091658093</v>
          </cell>
          <cell r="O102">
            <v>-1.5807547449472863</v>
          </cell>
          <cell r="P102">
            <v>-1.4935212774692979</v>
          </cell>
          <cell r="Q102">
            <v>-1.4507262030618415</v>
          </cell>
          <cell r="R102">
            <v>-0.9593985251227084</v>
          </cell>
        </row>
        <row r="103">
          <cell r="A103" t="str">
            <v>General Gvt Balance (exc. privatization)</v>
          </cell>
          <cell r="G103">
            <v>-1.898123097734189</v>
          </cell>
          <cell r="H103">
            <v>-1.6148722033161951</v>
          </cell>
          <cell r="I103">
            <v>-1.9051707689372268</v>
          </cell>
          <cell r="J103">
            <v>-2.0175575263662546</v>
          </cell>
          <cell r="K103">
            <v>-2.9502308847244652</v>
          </cell>
          <cell r="L103">
            <v>-3.6643758253008758</v>
          </cell>
          <cell r="M103">
            <v>-7.0773031394750427</v>
          </cell>
          <cell r="N103">
            <v>-8.8511906558236895</v>
          </cell>
          <cell r="O103">
            <v>-6.1008642632330226</v>
          </cell>
          <cell r="P103">
            <v>-4.5229007404057793</v>
          </cell>
          <cell r="Q103">
            <v>-3.4935601001488439</v>
          </cell>
          <cell r="R103">
            <v>-2.598763317776597</v>
          </cell>
          <cell r="S103" t="e">
            <v>#REF!</v>
          </cell>
          <cell r="T103" t="e">
            <v>#REF!</v>
          </cell>
          <cell r="U103" t="e">
            <v>#REF!</v>
          </cell>
          <cell r="V103" t="e">
            <v>#REF!</v>
          </cell>
          <cell r="W103" t="e">
            <v>#REF!</v>
          </cell>
        </row>
        <row r="104">
          <cell r="B104" t="str">
            <v>Primary Balance</v>
          </cell>
          <cell r="G104">
            <v>-0.59409874873182167</v>
          </cell>
          <cell r="H104">
            <v>-0.41568315111143073</v>
          </cell>
          <cell r="I104">
            <v>-0.87038097055269459</v>
          </cell>
          <cell r="J104">
            <v>-0.77480824544583271</v>
          </cell>
          <cell r="K104">
            <v>-1.7710060612801011</v>
          </cell>
          <cell r="L104">
            <v>-2.5969832494690399</v>
          </cell>
          <cell r="M104">
            <v>-6.0250643335048935</v>
          </cell>
          <cell r="N104">
            <v>-7.6139491754713911</v>
          </cell>
          <cell r="O104">
            <v>-4.5306172806264424</v>
          </cell>
          <cell r="P104">
            <v>-2.7871129421150567</v>
          </cell>
          <cell r="Q104">
            <v>-1.852867133800814</v>
          </cell>
          <cell r="R104">
            <v>-0.95939852512270862</v>
          </cell>
        </row>
        <row r="105">
          <cell r="A105" t="str">
            <v>General Gvt Balance (exc. pvt and exp. of TI)</v>
          </cell>
          <cell r="G105">
            <v>-1.898123097734189</v>
          </cell>
          <cell r="H105">
            <v>-1.3686916226196488</v>
          </cell>
          <cell r="I105">
            <v>-0.92571392227946447</v>
          </cell>
          <cell r="J105">
            <v>-1.6520254074784309</v>
          </cell>
          <cell r="K105">
            <v>-1.9548463548907331</v>
          </cell>
          <cell r="L105">
            <v>-3.266837296738005</v>
          </cell>
          <cell r="M105">
            <v>-4.1591353576942911</v>
          </cell>
          <cell r="N105">
            <v>-4.069119889720171</v>
          </cell>
          <cell r="O105">
            <v>-5.7367406064851263</v>
          </cell>
          <cell r="P105">
            <v>-4.2253746575372544</v>
          </cell>
          <cell r="Q105">
            <v>-3.4935601001488439</v>
          </cell>
          <cell r="R105">
            <v>-2.598763317776597</v>
          </cell>
          <cell r="S105" t="e">
            <v>#REF!</v>
          </cell>
          <cell r="T105" t="e">
            <v>#REF!</v>
          </cell>
          <cell r="U105" t="e">
            <v>#REF!</v>
          </cell>
          <cell r="V105" t="e">
            <v>#REF!</v>
          </cell>
          <cell r="W105" t="e">
            <v>#REF!</v>
          </cell>
        </row>
        <row r="106">
          <cell r="B106" t="str">
            <v>Primary Balance</v>
          </cell>
          <cell r="G106">
            <v>-0.59409874873182167</v>
          </cell>
          <cell r="H106">
            <v>-0.16950257041488448</v>
          </cell>
          <cell r="I106">
            <v>0.10907587610506775</v>
          </cell>
          <cell r="J106">
            <v>-0.40927612655800893</v>
          </cell>
          <cell r="K106">
            <v>-0.77562153144636903</v>
          </cell>
          <cell r="L106">
            <v>-2.1994447209061692</v>
          </cell>
          <cell r="M106">
            <v>-3.1068965517241418</v>
          </cell>
          <cell r="N106">
            <v>-2.8318784093678726</v>
          </cell>
          <cell r="O106">
            <v>-4.1664936238785462</v>
          </cell>
          <cell r="P106">
            <v>-2.4895868592465318</v>
          </cell>
          <cell r="Q106">
            <v>-1.852867133800814</v>
          </cell>
          <cell r="R106">
            <v>-0.95939852512270862</v>
          </cell>
        </row>
        <row r="107">
          <cell r="A107" t="str">
            <v>General Gvt Balance (exc.pvt, exp of TI, calls on guarantees)</v>
          </cell>
          <cell r="G107">
            <v>-1.862698681095704</v>
          </cell>
          <cell r="H107">
            <v>-1.3115632466874205</v>
          </cell>
          <cell r="I107">
            <v>-0.91992622273103231</v>
          </cell>
          <cell r="J107">
            <v>-1.5328978906999073</v>
          </cell>
          <cell r="K107">
            <v>-1.5832175943947091</v>
          </cell>
          <cell r="L107">
            <v>-3.2135235680444367</v>
          </cell>
          <cell r="M107">
            <v>-4.0047349459598598</v>
          </cell>
          <cell r="N107">
            <v>-3.8048760411117146</v>
          </cell>
          <cell r="O107">
            <v>-4.202673813125605</v>
          </cell>
          <cell r="P107">
            <v>-4.0661766433415156</v>
          </cell>
          <cell r="Q107">
            <v>-3.2646614823722206</v>
          </cell>
          <cell r="R107">
            <v>-2.2338515227123583</v>
          </cell>
          <cell r="S107" t="e">
            <v>#REF!</v>
          </cell>
          <cell r="T107" t="e">
            <v>#REF!</v>
          </cell>
          <cell r="U107" t="e">
            <v>#REF!</v>
          </cell>
          <cell r="V107" t="e">
            <v>#REF!</v>
          </cell>
          <cell r="W107" t="e">
            <v>#REF!</v>
          </cell>
        </row>
        <row r="108">
          <cell r="G108">
            <v>-1.8626986810957085</v>
          </cell>
          <cell r="H108">
            <v>-1.3115632466874254</v>
          </cell>
          <cell r="I108">
            <v>-0.91992622273103453</v>
          </cell>
          <cell r="J108">
            <v>-1.5328978906999051</v>
          </cell>
          <cell r="K108">
            <v>-1.5832175943947111</v>
          </cell>
          <cell r="L108">
            <v>-3.2135235680444358</v>
          </cell>
          <cell r="M108">
            <v>-4.0047349459598554</v>
          </cell>
          <cell r="N108">
            <v>-3.8048760411117191</v>
          </cell>
          <cell r="O108">
            <v>-4.2026738131256058</v>
          </cell>
          <cell r="P108">
            <v>-4.0661766433415174</v>
          </cell>
          <cell r="Q108">
            <v>-3.2646614823722206</v>
          </cell>
          <cell r="R108">
            <v>-2.2338515227123579</v>
          </cell>
          <cell r="S108" t="e">
            <v>#REF!</v>
          </cell>
          <cell r="T108" t="e">
            <v>#REF!</v>
          </cell>
          <cell r="U108" t="e">
            <v>#REF!</v>
          </cell>
          <cell r="V108" t="e">
            <v>#REF!</v>
          </cell>
          <cell r="W108" t="e">
            <v>#REF!</v>
          </cell>
        </row>
        <row r="109">
          <cell r="A109" t="str">
            <v>Debt</v>
          </cell>
          <cell r="G109">
            <v>17.604582346973285</v>
          </cell>
          <cell r="H109">
            <v>15.272319165882267</v>
          </cell>
          <cell r="I109">
            <v>13.148797104189402</v>
          </cell>
          <cell r="J109">
            <v>13.033435642377755</v>
          </cell>
          <cell r="K109">
            <v>13.366735249958294</v>
          </cell>
          <cell r="L109">
            <v>14.95501824320645</v>
          </cell>
          <cell r="M109">
            <v>17.790941842511586</v>
          </cell>
          <cell r="N109">
            <v>21.626896133192311</v>
          </cell>
          <cell r="O109">
            <v>23.412253116025866</v>
          </cell>
          <cell r="P109">
            <v>25.131994227693433</v>
          </cell>
          <cell r="Q109">
            <v>26.529890117238867</v>
          </cell>
          <cell r="R109">
            <v>27.437623812532486</v>
          </cell>
          <cell r="S109" t="e">
            <v>#REF!</v>
          </cell>
          <cell r="T109" t="e">
            <v>#REF!</v>
          </cell>
          <cell r="U109" t="e">
            <v>#REF!</v>
          </cell>
          <cell r="V109" t="e">
            <v>#REF!</v>
          </cell>
          <cell r="W109" t="e">
            <v>#REF!</v>
          </cell>
        </row>
      </sheetData>
      <sheetData sheetId="6"/>
      <sheetData sheetId="7"/>
      <sheetData sheetId="8"/>
      <sheetData sheetId="9"/>
      <sheetData sheetId="10" refreshError="1"/>
      <sheetData sheetId="11"/>
      <sheetData sheetId="12"/>
      <sheetData sheetId="13"/>
      <sheetData sheetId="14" refreshError="1"/>
      <sheetData sheetId="15" refreshError="1"/>
      <sheetData sheetId="16" refreshError="1"/>
      <sheetData sheetId="17"/>
      <sheetData sheetId="18" refreshError="1"/>
      <sheetData sheetId="19" refreshError="1"/>
      <sheetData sheetId="20"/>
      <sheetData sheetId="21"/>
      <sheetData sheetId="2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udget-G"/>
      <sheetName val="Expenditures"/>
      <sheetName val="Revenues"/>
      <sheetName val="Input 1- Basics"/>
      <sheetName val="Lists-Modules-ChartData"/>
      <sheetName val="Macroframework-Ver.1"/>
      <sheetName val="Check_Interest"/>
      <sheetName val="G(Disb_)"/>
      <sheetName val="Debt_scenario"/>
      <sheetName val="J(Priv_Cap)"/>
      <sheetName val="J(Fin__account)"/>
      <sheetName val="Macroframework-Ver_1"/>
      <sheetName val="Input_1-_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_Content"/>
      <sheetName val="ESA2010_source"/>
      <sheetName val="Zhrnutie "/>
      <sheetName val="Tab 1"/>
      <sheetName val="Tab 2 + Graf 1"/>
      <sheetName val="Tab 3"/>
      <sheetName val="Graf 2+3"/>
      <sheetName val="Graf 4+5"/>
      <sheetName val="Graf 6"/>
      <sheetName val="Graf 7"/>
      <sheetName val="Graf 8+Tab 4"/>
      <sheetName val="Graf 9 + Tab 5"/>
      <sheetName val="Tab 6"/>
      <sheetName val="Graf 10 + 11 "/>
      <sheetName val="Tab 7 "/>
      <sheetName val="Graf 12"/>
      <sheetName val="Graf 13"/>
      <sheetName val="Graf 14"/>
      <sheetName val="Tab 8 "/>
      <sheetName val="Graf 15"/>
      <sheetName val="Tab 9"/>
      <sheetName val="Graf 16"/>
      <sheetName val="Graf 17"/>
      <sheetName val="Graf 18"/>
      <sheetName val="Tab 10"/>
      <sheetName val="Tab 11"/>
      <sheetName val="Graf 19"/>
      <sheetName val="Graf 20+21"/>
      <sheetName val="Graf 22"/>
      <sheetName val="Graf 23"/>
      <sheetName val="Graf 24"/>
      <sheetName val="Graf 25"/>
      <sheetName val="Graf 26"/>
      <sheetName val="Graf 27"/>
      <sheetName val="Graf 28"/>
      <sheetName val="Tab 12"/>
      <sheetName val="Graf 29+30"/>
      <sheetName val="Tab 13+Graf 31"/>
      <sheetName val="Graf 32"/>
      <sheetName val="Graf XX"/>
      <sheetName val="Graf 33 + 34"/>
      <sheetName val="Graf 35+36"/>
      <sheetName val="Graf 37+38"/>
      <sheetName val="Graf 39+40"/>
      <sheetName val="Graf 41"/>
      <sheetName val="Graf 42"/>
      <sheetName val="Graf 43"/>
      <sheetName val="Graf 44"/>
      <sheetName val="Graf xx3"/>
      <sheetName val="Graf 45"/>
      <sheetName val="Graf 46"/>
      <sheetName val="Tab 14"/>
      <sheetName val="Graf 47"/>
      <sheetName val="Graf 48"/>
      <sheetName val="Graf 49"/>
      <sheetName val="Tab 15"/>
      <sheetName val="Tab 16"/>
      <sheetName val="Tab 34"/>
      <sheetName val="Tab 35"/>
      <sheetName val="Tab 36 "/>
      <sheetName val="Tab 37"/>
      <sheetName val="Tab 38"/>
      <sheetName val="Tab 39+40"/>
      <sheetName val="Tab 41 + 42"/>
      <sheetName val="Tab 43"/>
      <sheetName val="Tab 4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4">
          <cell r="B24">
            <v>2008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lyvy sumar"/>
      <sheetName val="dane"/>
      <sheetName val="makro"/>
      <sheetName val="legislativa"/>
      <sheetName val="grafy"/>
      <sheetName val="grafy EN"/>
      <sheetName val="grafy_rasty"/>
      <sheetName val="ESAras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do komentara"/>
      <sheetName val="Vplyvy sumar"/>
      <sheetName val="dane"/>
      <sheetName val="makro"/>
      <sheetName val="legislativa"/>
      <sheetName val="grafy"/>
      <sheetName val="grafy EN"/>
      <sheetName val="Rozbitie_vplyvov"/>
    </sheetNames>
    <sheetDataSet>
      <sheetData sheetId="0"/>
      <sheetData sheetId="1"/>
      <sheetData sheetId="2"/>
      <sheetData sheetId="3">
        <row r="4">
          <cell r="C4">
            <v>78.502858382318436</v>
          </cell>
          <cell r="D4">
            <v>81.275452380922246</v>
          </cell>
          <cell r="E4">
            <v>84.423579375810974</v>
          </cell>
          <cell r="F4">
            <v>88.130188629539617</v>
          </cell>
          <cell r="G4">
            <v>0</v>
          </cell>
        </row>
        <row r="5">
          <cell r="C5">
            <v>80.547803876732885</v>
          </cell>
          <cell r="D5">
            <v>83.991385519523988</v>
          </cell>
          <cell r="E5">
            <v>88.52128676831191</v>
          </cell>
          <cell r="F5">
            <v>94.214617048377477</v>
          </cell>
          <cell r="G5">
            <v>0</v>
          </cell>
        </row>
        <row r="6">
          <cell r="C6">
            <v>40.665754122542438</v>
          </cell>
          <cell r="D6">
            <v>41.680666361334218</v>
          </cell>
          <cell r="E6">
            <v>42.821904778464514</v>
          </cell>
          <cell r="F6">
            <v>44.08020114451071</v>
          </cell>
          <cell r="G6">
            <v>0</v>
          </cell>
        </row>
        <row r="7">
          <cell r="C7">
            <v>43.984500712420669</v>
          </cell>
          <cell r="D7">
            <v>45.484535352602684</v>
          </cell>
          <cell r="E7">
            <v>47.497836713264157</v>
          </cell>
          <cell r="F7">
            <v>49.833106284220669</v>
          </cell>
          <cell r="G7">
            <v>0</v>
          </cell>
        </row>
        <row r="8">
          <cell r="C8">
            <v>38.524899015465365</v>
          </cell>
          <cell r="D8">
            <v>39.582549462948265</v>
          </cell>
          <cell r="E8">
            <v>41.070550408639242</v>
          </cell>
          <cell r="F8">
            <v>42.977890830757936</v>
          </cell>
          <cell r="G8">
            <v>0</v>
          </cell>
        </row>
        <row r="11">
          <cell r="C11">
            <v>25.061205094962499</v>
          </cell>
          <cell r="D11">
            <v>26.325903158710343</v>
          </cell>
          <cell r="E11">
            <v>27.735670690784264</v>
          </cell>
          <cell r="F11">
            <v>29.32785259387137</v>
          </cell>
          <cell r="G11">
            <v>0</v>
          </cell>
        </row>
        <row r="14">
          <cell r="C14">
            <v>0.22924020064339004</v>
          </cell>
          <cell r="D14">
            <v>0.22483632448877952</v>
          </cell>
          <cell r="E14">
            <v>0.24011994064497608</v>
          </cell>
          <cell r="F14">
            <v>0.27414675953044987</v>
          </cell>
          <cell r="G14">
            <v>0</v>
          </cell>
        </row>
        <row r="16">
          <cell r="C16">
            <v>49.281091445453157</v>
          </cell>
          <cell r="D16">
            <v>51.065913586707978</v>
          </cell>
          <cell r="E16">
            <v>53.834842349880567</v>
          </cell>
          <cell r="F16">
            <v>57.568129491799702</v>
          </cell>
          <cell r="G16">
            <v>0</v>
          </cell>
        </row>
        <row r="17">
          <cell r="C17">
            <v>66.319277427653276</v>
          </cell>
          <cell r="D17">
            <v>70.182634133387978</v>
          </cell>
          <cell r="E17">
            <v>75.439345535102163</v>
          </cell>
          <cell r="F17">
            <v>81.793801752423647</v>
          </cell>
          <cell r="G17">
            <v>0</v>
          </cell>
        </row>
        <row r="26">
          <cell r="C26">
            <v>78.854728000000009</v>
          </cell>
          <cell r="D26">
            <v>81.484094566064485</v>
          </cell>
          <cell r="E26">
            <v>84.87893092860277</v>
          </cell>
          <cell r="F26">
            <v>88.591069889878383</v>
          </cell>
          <cell r="G26">
            <v>92.026930652835716</v>
          </cell>
        </row>
        <row r="27">
          <cell r="C27">
            <v>80.958004000000003</v>
          </cell>
          <cell r="D27">
            <v>84.5995693583274</v>
          </cell>
          <cell r="E27">
            <v>89.495333808169264</v>
          </cell>
          <cell r="F27">
            <v>95.260868620557332</v>
          </cell>
          <cell r="G27">
            <v>101.00735417605054</v>
          </cell>
        </row>
        <row r="28">
          <cell r="C28">
            <v>40.196354000000007</v>
          </cell>
          <cell r="D28">
            <v>41.547512733512335</v>
          </cell>
          <cell r="E28">
            <v>42.754818304678729</v>
          </cell>
          <cell r="F28">
            <v>43.975046180032002</v>
          </cell>
          <cell r="G28">
            <v>45.240036950748845</v>
          </cell>
        </row>
        <row r="29">
          <cell r="C29">
            <v>43.548813000000003</v>
          </cell>
          <cell r="D29">
            <v>45.641597296232476</v>
          </cell>
          <cell r="E29">
            <v>47.75602071442546</v>
          </cell>
          <cell r="F29">
            <v>50.052825164944132</v>
          </cell>
          <cell r="G29">
            <v>52.566197780740211</v>
          </cell>
        </row>
        <row r="30">
          <cell r="C30">
            <v>38.032027270299999</v>
          </cell>
          <cell r="D30">
            <v>39.582992287585846</v>
          </cell>
          <cell r="E30">
            <v>41.252391473310389</v>
          </cell>
          <cell r="F30">
            <v>43.192634607434158</v>
          </cell>
          <cell r="G30">
            <v>45.244232556433211</v>
          </cell>
        </row>
        <row r="33">
          <cell r="C33">
            <v>25.247460527999998</v>
          </cell>
          <cell r="D33">
            <v>26.73031719291571</v>
          </cell>
          <cell r="E33">
            <v>28.366257844877175</v>
          </cell>
          <cell r="F33">
            <v>30.038917613277654</v>
          </cell>
          <cell r="G33">
            <v>31.909135439919183</v>
          </cell>
        </row>
        <row r="36">
          <cell r="C36">
            <v>0.21851840145167084</v>
          </cell>
          <cell r="D36">
            <v>0.15625706290990021</v>
          </cell>
          <cell r="E36">
            <v>0.15418751268812014</v>
          </cell>
          <cell r="F36">
            <v>0.149105036903216</v>
          </cell>
          <cell r="G36">
            <v>0.1570961354122469</v>
          </cell>
        </row>
        <row r="38">
          <cell r="C38">
            <v>49.331429000000007</v>
          </cell>
          <cell r="D38">
            <v>51.009380978787284</v>
          </cell>
          <cell r="E38">
            <v>53.916898308264891</v>
          </cell>
          <cell r="F38">
            <v>57.604658786380242</v>
          </cell>
          <cell r="G38">
            <v>61.012127420618299</v>
          </cell>
        </row>
        <row r="39">
          <cell r="C39">
            <v>65.799836999999997</v>
          </cell>
          <cell r="D39">
            <v>70.666258866172427</v>
          </cell>
          <cell r="E39">
            <v>76.432399798318372</v>
          </cell>
          <cell r="F39">
            <v>82.850139524502367</v>
          </cell>
          <cell r="G39">
            <v>88.954858057466581</v>
          </cell>
        </row>
      </sheetData>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makro"/>
      <sheetName val="budget-G"/>
      <sheetName val="Expenditures"/>
      <sheetName val="Revenues"/>
      <sheetName val="Check_Interest"/>
      <sheetName val="G(Disb_)"/>
      <sheetName val="Debt_scenario"/>
      <sheetName val="J(Priv_Cap)"/>
      <sheetName val="J(Fin__account)"/>
      <sheetName val="Macroframework-Ve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J(Priv.Cap)"/>
      <sheetName val="makro"/>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TAB34"/>
      <sheetName val="tech_prac"/>
      <sheetName val="J(Priv.Cap)"/>
      <sheetName val="Input_IX11"/>
      <sheetName val="Input_VII11X"/>
      <sheetName val="Input_VIII11X"/>
      <sheetName val="MatrixQSK"/>
      <sheetName val="J(Priv_Cap)"/>
      <sheetName val="curre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sheetDataSet>
      <sheetData sheetId="0" refreshError="1"/>
      <sheetData sheetId="1" refreshError="1"/>
      <sheetData sheetId="2" refreshError="1"/>
      <sheetData sheetId="3">
        <row r="3">
          <cell r="N3" t="str">
            <v>&gt;=1.1.2018</v>
          </cell>
        </row>
      </sheetData>
      <sheetData sheetId="4">
        <row r="44">
          <cell r="B44">
            <v>3175097212.0799551</v>
          </cell>
        </row>
      </sheetData>
      <sheetData sheetId="5" refreshError="1"/>
      <sheetData sheetId="6" refreshError="1"/>
      <sheetData sheetId="7" refreshError="1"/>
      <sheetData sheetId="8">
        <row r="1">
          <cell r="B1">
            <v>1</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_pouzitia"/>
      <sheetName val="Tabulky RVS"/>
      <sheetName val="Súhrnná tabuľka"/>
      <sheetName val="ALCO"/>
      <sheetName val="Monitoring"/>
      <sheetName val="vs. S"/>
      <sheetName val="Prognoza hrubého dlhu"/>
      <sheetName val="Stochastika"/>
      <sheetName val="SFA"/>
      <sheetName val="Cisty dlh"/>
      <sheetName val="Ostatne subjekty"/>
      <sheetName val="Štátna pokladnica"/>
      <sheetName val="Kurzove rozdiely"/>
      <sheetName val="Dlh podla faktorov"/>
      <sheetName val="Ardal_Cash transakcie"/>
      <sheetName val="Ardal_splatnosti"/>
      <sheetName val="Ardal_F"/>
      <sheetName val="Ardal_B"/>
      <sheetName val="Ardal_SPP"/>
      <sheetName val="Finan aktiva"/>
      <sheetName val="LFA_stavy"/>
      <sheetName val="LFA_input"/>
      <sheetName val="Hárok1"/>
      <sheetName val="Zložky VS_93_2010"/>
      <sheetName val="Poznámky"/>
    </sheetNames>
    <sheetDataSet>
      <sheetData sheetId="0"/>
      <sheetData sheetId="1"/>
      <sheetData sheetId="2">
        <row r="51">
          <cell r="X51">
            <v>1477.09</v>
          </cell>
        </row>
      </sheetData>
      <sheetData sheetId="3"/>
      <sheetData sheetId="4"/>
      <sheetData sheetId="5"/>
      <sheetData sheetId="6">
        <row r="61">
          <cell r="L61">
            <v>45277.069000000003</v>
          </cell>
        </row>
      </sheetData>
      <sheetData sheetId="7"/>
      <sheetData sheetId="8"/>
      <sheetData sheetId="9">
        <row r="7">
          <cell r="Z7">
            <v>9410.1113148665772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 val="Prehľad"/>
      <sheetName val="SV FISCAL2"/>
      <sheetName val="NOVA legislativa"/>
      <sheetName val="M"/>
      <sheetName val="current"/>
      <sheetName val="Input_IX11"/>
      <sheetName val="Input_VII11X"/>
      <sheetName val="Input_VIII11X"/>
      <sheetName val="MatrixQ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B3" t="str">
            <v>Table 4.  Slovenia: Summary of General Government Operations</v>
          </cell>
        </row>
        <row r="6">
          <cell r="G6">
            <v>1992</v>
          </cell>
          <cell r="H6">
            <v>1993</v>
          </cell>
          <cell r="I6">
            <v>1994</v>
          </cell>
          <cell r="J6">
            <v>1995</v>
          </cell>
          <cell r="K6">
            <v>1996</v>
          </cell>
          <cell r="L6">
            <v>1997</v>
          </cell>
          <cell r="M6">
            <v>1998</v>
          </cell>
          <cell r="N6">
            <v>1999</v>
          </cell>
          <cell r="O6">
            <v>2000</v>
          </cell>
        </row>
        <row r="7">
          <cell r="O7" t="str">
            <v>Budget</v>
          </cell>
          <cell r="P7" t="str">
            <v xml:space="preserve"> MoF estimate</v>
          </cell>
        </row>
        <row r="8">
          <cell r="P8" t="str">
            <v>Dec</v>
          </cell>
        </row>
        <row r="9">
          <cell r="J9">
            <v>36465</v>
          </cell>
          <cell r="K9">
            <v>36465</v>
          </cell>
          <cell r="L9">
            <v>36465</v>
          </cell>
          <cell r="M9">
            <v>36465</v>
          </cell>
          <cell r="N9">
            <v>36465</v>
          </cell>
          <cell r="O9">
            <v>36465</v>
          </cell>
        </row>
        <row r="12">
          <cell r="L12" t="str">
            <v>(billions of SIT)</v>
          </cell>
        </row>
        <row r="14">
          <cell r="B14" t="str">
            <v>TOTAL REVENUE</v>
          </cell>
          <cell r="G14">
            <v>440.96214500000002</v>
          </cell>
          <cell r="H14">
            <v>640.89461700000004</v>
          </cell>
          <cell r="I14">
            <v>803.560384</v>
          </cell>
          <cell r="J14">
            <v>958.18595700000003</v>
          </cell>
          <cell r="K14">
            <v>1091.815149</v>
          </cell>
          <cell r="L14">
            <v>1222.58737</v>
          </cell>
          <cell r="M14">
            <v>1397.9027610000001</v>
          </cell>
          <cell r="N14">
            <v>1590.0169627999999</v>
          </cell>
          <cell r="O14">
            <v>1728.9488249999999</v>
          </cell>
          <cell r="P14">
            <v>1724.3682823673282</v>
          </cell>
        </row>
        <row r="15">
          <cell r="B15" t="str">
            <v xml:space="preserve">    Tax revenue</v>
          </cell>
          <cell r="G15">
            <v>412.07938000000001</v>
          </cell>
          <cell r="H15">
            <v>602.72928400000001</v>
          </cell>
          <cell r="I15">
            <v>772.78198299999997</v>
          </cell>
          <cell r="J15">
            <v>916.32753000000002</v>
          </cell>
          <cell r="K15">
            <v>1032.285488</v>
          </cell>
          <cell r="L15">
            <v>1156.0987620000001</v>
          </cell>
          <cell r="M15">
            <v>1302.7524040000001</v>
          </cell>
          <cell r="N15">
            <v>1499.4297969999998</v>
          </cell>
          <cell r="O15">
            <v>1625.0686259999998</v>
          </cell>
          <cell r="P15">
            <v>1600.7326379490526</v>
          </cell>
        </row>
        <row r="16">
          <cell r="C16" t="str">
            <v>Taxes on Income and Profits</v>
          </cell>
          <cell r="G16">
            <v>75.221118000000004</v>
          </cell>
          <cell r="H16">
            <v>104.769683</v>
          </cell>
          <cell r="I16">
            <v>140.82634200000001</v>
          </cell>
          <cell r="J16">
            <v>160.369674</v>
          </cell>
          <cell r="K16">
            <v>196.930286</v>
          </cell>
          <cell r="L16">
            <v>227.62366700000001</v>
          </cell>
          <cell r="M16">
            <v>252.93563599999999</v>
          </cell>
          <cell r="N16">
            <v>273.81802199999998</v>
          </cell>
          <cell r="O16">
            <v>307.63614999999999</v>
          </cell>
          <cell r="P16">
            <v>311.42752254005012</v>
          </cell>
        </row>
        <row r="17">
          <cell r="C17" t="str">
            <v>Social Security Contributions</v>
          </cell>
          <cell r="G17">
            <v>189.611312</v>
          </cell>
          <cell r="H17">
            <v>274.82218599999999</v>
          </cell>
          <cell r="I17">
            <v>317.41732000000002</v>
          </cell>
          <cell r="J17">
            <v>362.99981300000002</v>
          </cell>
          <cell r="K17">
            <v>376.18419999999998</v>
          </cell>
          <cell r="L17">
            <v>400.63002</v>
          </cell>
          <cell r="M17">
            <v>448.39757800000001</v>
          </cell>
          <cell r="N17">
            <v>496.37094400000001</v>
          </cell>
          <cell r="O17">
            <v>536.98416299999997</v>
          </cell>
          <cell r="P17">
            <v>552.57374863226994</v>
          </cell>
        </row>
        <row r="18">
          <cell r="C18" t="str">
            <v xml:space="preserve">of which: </v>
          </cell>
          <cell r="D18" t="str">
            <v>Pension fund</v>
          </cell>
          <cell r="G18">
            <v>123.697</v>
          </cell>
          <cell r="H18">
            <v>192.816</v>
          </cell>
          <cell r="I18">
            <v>238.21199999999999</v>
          </cell>
          <cell r="J18">
            <v>282.570899</v>
          </cell>
          <cell r="K18">
            <v>277.610905</v>
          </cell>
          <cell r="L18">
            <v>289.29401999999999</v>
          </cell>
          <cell r="M18">
            <v>323.79459400000002</v>
          </cell>
          <cell r="N18">
            <v>358.25232799999998</v>
          </cell>
          <cell r="O18">
            <v>389.57315299999999</v>
          </cell>
          <cell r="P18">
            <v>399.46236699999997</v>
          </cell>
        </row>
        <row r="19">
          <cell r="D19" t="str">
            <v>Health fund</v>
          </cell>
          <cell r="G19">
            <v>66.756</v>
          </cell>
          <cell r="H19">
            <v>85.97</v>
          </cell>
          <cell r="I19">
            <v>96.114000000000004</v>
          </cell>
          <cell r="J19">
            <v>114.00843500000001</v>
          </cell>
          <cell r="K19">
            <v>137.67559900000001</v>
          </cell>
          <cell r="L19">
            <v>154.05053000000001</v>
          </cell>
          <cell r="M19">
            <v>172.05265299999999</v>
          </cell>
          <cell r="N19">
            <v>190.33185800000001</v>
          </cell>
          <cell r="O19">
            <v>206.281834</v>
          </cell>
          <cell r="P19">
            <v>213.23368300000001</v>
          </cell>
        </row>
        <row r="20">
          <cell r="C20" t="str">
            <v>Domestic taxes on goods and services</v>
          </cell>
          <cell r="G20">
            <v>111.136363</v>
          </cell>
          <cell r="H20">
            <v>167.25313700000001</v>
          </cell>
          <cell r="I20">
            <v>240.01373599999999</v>
          </cell>
          <cell r="J20">
            <v>298.158613</v>
          </cell>
          <cell r="K20">
            <v>349.45069699999999</v>
          </cell>
          <cell r="L20">
            <v>412.09367500000002</v>
          </cell>
          <cell r="M20">
            <v>479.71348499999999</v>
          </cell>
          <cell r="N20">
            <v>601.46990600000004</v>
          </cell>
          <cell r="O20">
            <v>635.49816199999998</v>
          </cell>
          <cell r="P20">
            <v>603.40310787391991</v>
          </cell>
        </row>
        <row r="21">
          <cell r="C21" t="str">
            <v>Taxes on international trade</v>
          </cell>
          <cell r="G21">
            <v>32.46002</v>
          </cell>
          <cell r="H21">
            <v>51.462902</v>
          </cell>
          <cell r="I21">
            <v>64.266930000000002</v>
          </cell>
          <cell r="J21">
            <v>78.176456000000002</v>
          </cell>
          <cell r="K21">
            <v>76.592528999999999</v>
          </cell>
          <cell r="L21">
            <v>58.463051</v>
          </cell>
          <cell r="M21">
            <v>47.290784000000002</v>
          </cell>
          <cell r="N21">
            <v>45.657438999999997</v>
          </cell>
          <cell r="O21">
            <v>40.484099999999998</v>
          </cell>
          <cell r="P21">
            <v>38.089449247640005</v>
          </cell>
        </row>
        <row r="22">
          <cell r="C22" t="str">
            <v>Payroll, property and other taxes</v>
          </cell>
          <cell r="G22">
            <v>3.6505670000000001</v>
          </cell>
          <cell r="H22">
            <v>4.4213760000000004</v>
          </cell>
          <cell r="I22">
            <v>10.257655</v>
          </cell>
          <cell r="J22">
            <v>16.622973999999999</v>
          </cell>
          <cell r="K22">
            <v>33.127776000000004</v>
          </cell>
          <cell r="L22">
            <v>57.288349000000004</v>
          </cell>
          <cell r="M22">
            <v>74.414920999999993</v>
          </cell>
          <cell r="N22">
            <v>81.018560399999998</v>
          </cell>
          <cell r="O22">
            <v>82.113485999999995</v>
          </cell>
          <cell r="P22">
            <v>104.46605100000001</v>
          </cell>
        </row>
        <row r="23">
          <cell r="B23" t="str">
            <v xml:space="preserve">    Nontax revenue</v>
          </cell>
          <cell r="G23">
            <v>27.062266999999999</v>
          </cell>
          <cell r="H23">
            <v>36.693831000000003</v>
          </cell>
          <cell r="I23">
            <v>29.184964000000001</v>
          </cell>
          <cell r="J23">
            <v>39.462023000000002</v>
          </cell>
          <cell r="K23">
            <v>56.731934000000003</v>
          </cell>
          <cell r="L23">
            <v>60.923986999999997</v>
          </cell>
          <cell r="M23">
            <v>88.230056000000005</v>
          </cell>
          <cell r="N23">
            <v>79.824922799999996</v>
          </cell>
          <cell r="O23">
            <v>82.669442000000004</v>
          </cell>
          <cell r="P23">
            <v>95.13675034613</v>
          </cell>
        </row>
        <row r="24">
          <cell r="B24" t="str">
            <v xml:space="preserve">    Capital revenue</v>
          </cell>
          <cell r="G24">
            <v>1.8204979999999999</v>
          </cell>
          <cell r="H24">
            <v>1.4715020000000001</v>
          </cell>
          <cell r="I24">
            <v>1.5476430000000001</v>
          </cell>
          <cell r="J24">
            <v>1.823879</v>
          </cell>
          <cell r="K24">
            <v>1.7382690000000001</v>
          </cell>
          <cell r="L24">
            <v>3.8049059999999999</v>
          </cell>
          <cell r="M24">
            <v>4.4712360000000002</v>
          </cell>
          <cell r="N24">
            <v>6.4298489999999999</v>
          </cell>
          <cell r="O24">
            <v>10.934607</v>
          </cell>
          <cell r="P24">
            <v>6.6947404754958395</v>
          </cell>
        </row>
        <row r="25">
          <cell r="B25" t="str">
            <v xml:space="preserve">    Other revenue</v>
          </cell>
          <cell r="G25">
            <v>0</v>
          </cell>
          <cell r="H25">
            <v>0</v>
          </cell>
          <cell r="I25">
            <v>4.5794000000000001E-2</v>
          </cell>
          <cell r="J25">
            <v>0.57252500000000395</v>
          </cell>
          <cell r="K25">
            <v>1.0594580000000302</v>
          </cell>
          <cell r="L25">
            <v>1.7597149999998889</v>
          </cell>
          <cell r="M25">
            <v>2.4490649999999805</v>
          </cell>
          <cell r="N25">
            <v>4.3323940000000976</v>
          </cell>
          <cell r="O25">
            <v>10.276150000000172</v>
          </cell>
          <cell r="P25">
            <v>21.804153596649819</v>
          </cell>
        </row>
        <row r="27">
          <cell r="B27" t="str">
            <v>TOTAL EXPENDITURE</v>
          </cell>
          <cell r="G27">
            <v>428.52446800000001</v>
          </cell>
          <cell r="H27">
            <v>628.362753</v>
          </cell>
          <cell r="I27">
            <v>803.3546</v>
          </cell>
          <cell r="J27">
            <v>956.46376403643342</v>
          </cell>
          <cell r="K27">
            <v>1082.8661760281511</v>
          </cell>
          <cell r="L27">
            <v>1255.8933610266563</v>
          </cell>
          <cell r="M27">
            <v>1418.925315</v>
          </cell>
          <cell r="N27">
            <v>1613.3136164999999</v>
          </cell>
          <cell r="O27">
            <v>1769.1953280000002</v>
          </cell>
          <cell r="P27">
            <v>1776.827588999103</v>
          </cell>
        </row>
        <row r="28">
          <cell r="B28" t="str">
            <v xml:space="preserve"> Current expenditure</v>
          </cell>
          <cell r="G28">
            <v>194.129727</v>
          </cell>
          <cell r="H28">
            <v>288.79020400000007</v>
          </cell>
          <cell r="I28">
            <v>352.89589599999999</v>
          </cell>
          <cell r="J28">
            <v>421.34788500000002</v>
          </cell>
          <cell r="K28">
            <v>486.94798400000008</v>
          </cell>
          <cell r="L28">
            <v>564.34127499999988</v>
          </cell>
          <cell r="M28">
            <v>641.97773699999993</v>
          </cell>
          <cell r="N28">
            <v>707.92544169999996</v>
          </cell>
          <cell r="O28">
            <v>782.74008500000002</v>
          </cell>
          <cell r="P28">
            <v>789.93752311159312</v>
          </cell>
        </row>
        <row r="29">
          <cell r="C29" t="str">
            <v>Salaries and wages</v>
          </cell>
          <cell r="G29">
            <v>90.055728999999999</v>
          </cell>
          <cell r="H29">
            <v>131.201717</v>
          </cell>
          <cell r="I29">
            <v>153.68315000000001</v>
          </cell>
          <cell r="J29">
            <v>193.68697599999999</v>
          </cell>
          <cell r="K29">
            <v>234.452009</v>
          </cell>
          <cell r="L29">
            <v>284.76898599999998</v>
          </cell>
          <cell r="M29">
            <v>312.605231</v>
          </cell>
          <cell r="N29">
            <v>350.63891899999999</v>
          </cell>
          <cell r="O29">
            <v>375.41611499999999</v>
          </cell>
          <cell r="P29">
            <v>387.21596793630999</v>
          </cell>
        </row>
        <row r="30">
          <cell r="C30" t="str">
            <v>Central and local governments</v>
          </cell>
          <cell r="G30">
            <v>28.203444999999999</v>
          </cell>
          <cell r="H30">
            <v>57.758754000000003</v>
          </cell>
          <cell r="I30">
            <v>61.069495000000003</v>
          </cell>
          <cell r="J30">
            <v>104.147353</v>
          </cell>
          <cell r="K30">
            <v>104.147353</v>
          </cell>
          <cell r="L30">
            <v>104.147353</v>
          </cell>
          <cell r="M30">
            <v>104.147353</v>
          </cell>
          <cell r="N30">
            <v>116.560287</v>
          </cell>
          <cell r="O30">
            <v>126.31165300000001</v>
          </cell>
          <cell r="P30" t="e">
            <v>#REF!</v>
          </cell>
        </row>
        <row r="31">
          <cell r="C31" t="str">
            <v>Other public institutions</v>
          </cell>
          <cell r="G31">
            <v>61.852283999999997</v>
          </cell>
          <cell r="H31">
            <v>73.442963000000006</v>
          </cell>
          <cell r="I31">
            <v>92.613654999999994</v>
          </cell>
          <cell r="J31">
            <v>208.45787799999999</v>
          </cell>
          <cell r="K31">
            <v>208.45787799999999</v>
          </cell>
          <cell r="L31">
            <v>208.45787799999999</v>
          </cell>
          <cell r="M31">
            <v>208.45787799999999</v>
          </cell>
          <cell r="N31">
            <v>234.078632</v>
          </cell>
          <cell r="O31">
            <v>249.10446200000001</v>
          </cell>
          <cell r="P31" t="e">
            <v>#REF!</v>
          </cell>
        </row>
        <row r="32">
          <cell r="C32" t="str">
            <v>Expenditures on goods and services</v>
          </cell>
          <cell r="G32">
            <v>96.976861</v>
          </cell>
          <cell r="H32">
            <v>137.47432800000001</v>
          </cell>
          <cell r="I32">
            <v>171.28947500000001</v>
          </cell>
          <cell r="J32">
            <v>200.83797899999999</v>
          </cell>
          <cell r="K32">
            <v>219.591657</v>
          </cell>
          <cell r="L32">
            <v>243.14981599999999</v>
          </cell>
          <cell r="M32">
            <v>276.93859200000003</v>
          </cell>
          <cell r="N32">
            <v>295.78891599999997</v>
          </cell>
          <cell r="O32">
            <v>333.729624</v>
          </cell>
          <cell r="P32">
            <v>328.90277394587997</v>
          </cell>
        </row>
        <row r="33">
          <cell r="C33" t="str">
            <v>Central and local governments</v>
          </cell>
          <cell r="G33">
            <v>39.248182</v>
          </cell>
          <cell r="H33">
            <v>49.942731000000002</v>
          </cell>
          <cell r="I33">
            <v>62.231974000000001</v>
          </cell>
          <cell r="J33">
            <v>106.07646</v>
          </cell>
          <cell r="K33">
            <v>106.07646</v>
          </cell>
          <cell r="L33">
            <v>106.07646</v>
          </cell>
          <cell r="M33">
            <v>106.07646</v>
          </cell>
          <cell r="N33">
            <v>130.94306599999999</v>
          </cell>
          <cell r="O33">
            <v>147.19872100000001</v>
          </cell>
          <cell r="P33" t="e">
            <v>#REF!</v>
          </cell>
        </row>
        <row r="34">
          <cell r="C34" t="str">
            <v>Other public institutions</v>
          </cell>
          <cell r="G34">
            <v>57.728679</v>
          </cell>
          <cell r="H34">
            <v>87.531597000000005</v>
          </cell>
          <cell r="I34">
            <v>109.057501</v>
          </cell>
          <cell r="J34">
            <v>170.862132</v>
          </cell>
          <cell r="K34">
            <v>170.862132</v>
          </cell>
          <cell r="L34">
            <v>170.862132</v>
          </cell>
          <cell r="M34">
            <v>170.862132</v>
          </cell>
          <cell r="N34">
            <v>164.84585000000001</v>
          </cell>
          <cell r="O34">
            <v>186.530903</v>
          </cell>
          <cell r="P34" t="e">
            <v>#REF!</v>
          </cell>
        </row>
        <row r="35">
          <cell r="C35" t="str">
            <v>Interest Payments</v>
          </cell>
          <cell r="G35">
            <v>5.0294889999999999</v>
          </cell>
          <cell r="H35">
            <v>18.057379999999998</v>
          </cell>
          <cell r="I35">
            <v>26.908200000000001</v>
          </cell>
          <cell r="J35">
            <v>25.597857000000001</v>
          </cell>
          <cell r="K35">
            <v>31.121320000000001</v>
          </cell>
          <cell r="L35">
            <v>34.686349</v>
          </cell>
          <cell r="M35">
            <v>41.720860999999999</v>
          </cell>
          <cell r="N35">
            <v>50.945395700000006</v>
          </cell>
          <cell r="O35">
            <v>61.680346</v>
          </cell>
          <cell r="P35">
            <v>61.205472310403124</v>
          </cell>
        </row>
        <row r="36">
          <cell r="C36" t="str">
            <v>Reserves</v>
          </cell>
          <cell r="G36">
            <v>2.0676480000000002</v>
          </cell>
          <cell r="H36">
            <v>2.0567790000000001</v>
          </cell>
          <cell r="I36">
            <v>1.0150710000000001</v>
          </cell>
          <cell r="J36">
            <v>1.2250730000000001</v>
          </cell>
          <cell r="K36">
            <v>1.7829980000000001</v>
          </cell>
          <cell r="L36">
            <v>1.736124</v>
          </cell>
          <cell r="M36">
            <v>10.713053</v>
          </cell>
          <cell r="N36">
            <v>10.552211</v>
          </cell>
          <cell r="O36">
            <v>11.914</v>
          </cell>
          <cell r="P36">
            <v>12.613308919</v>
          </cell>
        </row>
        <row r="37">
          <cell r="B37" t="str">
            <v>Current transfers (old)</v>
          </cell>
          <cell r="G37">
            <v>319.277669</v>
          </cell>
          <cell r="H37">
            <v>450.60153300000002</v>
          </cell>
          <cell r="I37">
            <v>571.89810999999997</v>
          </cell>
          <cell r="J37">
            <v>1125.120539</v>
          </cell>
          <cell r="K37">
            <v>1125.120539</v>
          </cell>
          <cell r="L37">
            <v>1125.120539</v>
          </cell>
          <cell r="M37">
            <v>1125.120539</v>
          </cell>
          <cell r="N37">
            <v>1125.120539</v>
          </cell>
          <cell r="O37">
            <v>1125.120539</v>
          </cell>
          <cell r="P37">
            <v>1125.120539</v>
          </cell>
        </row>
        <row r="38">
          <cell r="B38" t="str">
            <v xml:space="preserve">Current transfers </v>
          </cell>
          <cell r="G38">
            <v>199.69670600000001</v>
          </cell>
          <cell r="H38">
            <v>289.62697300000002</v>
          </cell>
          <cell r="I38">
            <v>370.22695400000003</v>
          </cell>
          <cell r="J38">
            <v>441.81222303643335</v>
          </cell>
          <cell r="K38">
            <v>488.53927302815106</v>
          </cell>
          <cell r="L38">
            <v>570.3708830266562</v>
          </cell>
          <cell r="M38">
            <v>636.58390700000007</v>
          </cell>
          <cell r="N38">
            <v>737.61875379999992</v>
          </cell>
          <cell r="O38">
            <v>790.75900500000012</v>
          </cell>
          <cell r="P38">
            <v>820.1479111903999</v>
          </cell>
        </row>
        <row r="39">
          <cell r="C39" t="str">
            <v xml:space="preserve">of which:      </v>
          </cell>
          <cell r="D39" t="str">
            <v>Subsidies</v>
          </cell>
          <cell r="G39">
            <v>29.783621</v>
          </cell>
          <cell r="H39">
            <v>37.574637000000003</v>
          </cell>
          <cell r="I39">
            <v>36.153944000000003</v>
          </cell>
          <cell r="J39">
            <v>41.746823999999997</v>
          </cell>
          <cell r="K39">
            <v>34.546824999999998</v>
          </cell>
          <cell r="L39">
            <v>39.960650999999999</v>
          </cell>
          <cell r="M39">
            <v>49.238903000000001</v>
          </cell>
          <cell r="N39">
            <v>63.088216799999998</v>
          </cell>
          <cell r="O39">
            <v>68.317768000000001</v>
          </cell>
          <cell r="P39">
            <v>59.156514227999999</v>
          </cell>
        </row>
        <row r="40">
          <cell r="D40" t="str">
            <v>Transfers to households</v>
          </cell>
          <cell r="G40">
            <v>167.835703</v>
          </cell>
          <cell r="H40">
            <v>246.81121999999999</v>
          </cell>
          <cell r="I40">
            <v>327.36340899999999</v>
          </cell>
          <cell r="J40">
            <v>391.78452600000003</v>
          </cell>
          <cell r="K40">
            <v>444.18384500000002</v>
          </cell>
          <cell r="L40">
            <v>519.10858699999994</v>
          </cell>
          <cell r="M40">
            <v>573.82047</v>
          </cell>
          <cell r="N40">
            <v>648.07120799999996</v>
          </cell>
          <cell r="O40">
            <v>698.30644700000005</v>
          </cell>
          <cell r="P40">
            <v>730.86730211249994</v>
          </cell>
        </row>
        <row r="41">
          <cell r="B41" t="str">
            <v>Capital expenditure</v>
          </cell>
          <cell r="G41">
            <v>26.371621000000001</v>
          </cell>
          <cell r="H41">
            <v>40.418894999999999</v>
          </cell>
          <cell r="I41">
            <v>50.292402000000003</v>
          </cell>
          <cell r="J41">
            <v>57.376116000000003</v>
          </cell>
          <cell r="K41">
            <v>63.642853000000002</v>
          </cell>
          <cell r="L41">
            <v>67.636694000000006</v>
          </cell>
          <cell r="M41">
            <v>82.206108</v>
          </cell>
          <cell r="N41">
            <v>109.47584999999999</v>
          </cell>
          <cell r="O41">
            <v>125.193485</v>
          </cell>
          <cell r="P41">
            <v>107.90885466527</v>
          </cell>
        </row>
        <row r="42">
          <cell r="B42" t="str">
            <v>Capital transfers</v>
          </cell>
          <cell r="G42">
            <v>8.3264139999999998</v>
          </cell>
          <cell r="H42">
            <v>9.526681</v>
          </cell>
          <cell r="I42">
            <v>29.939347999999999</v>
          </cell>
          <cell r="J42">
            <v>35.92754</v>
          </cell>
          <cell r="K42">
            <v>43.736066000000001</v>
          </cell>
          <cell r="L42">
            <v>53.544508999999998</v>
          </cell>
          <cell r="M42">
            <v>58.157563000000003</v>
          </cell>
          <cell r="N42">
            <v>58.293571</v>
          </cell>
          <cell r="O42">
            <v>70.502752999999998</v>
          </cell>
          <cell r="P42">
            <v>58.833300031840004</v>
          </cell>
        </row>
        <row r="44">
          <cell r="B44" t="str">
            <v>GENERAL SURPLUS/DEFICIT (authorities) 1/</v>
          </cell>
          <cell r="G44">
            <v>12.437677000000008</v>
          </cell>
          <cell r="H44">
            <v>12.531864000000041</v>
          </cell>
          <cell r="I44">
            <v>0.20578399999999419</v>
          </cell>
          <cell r="J44">
            <v>1.7221929635666129</v>
          </cell>
          <cell r="K44">
            <v>8.9489729718488888</v>
          </cell>
          <cell r="L44">
            <v>-33.305991026656329</v>
          </cell>
          <cell r="M44">
            <v>-21.0225539999999</v>
          </cell>
          <cell r="N44">
            <v>-23.296653699999979</v>
          </cell>
          <cell r="O44">
            <v>-40.246503000000303</v>
          </cell>
          <cell r="P44">
            <v>-52.45930663177478</v>
          </cell>
        </row>
        <row r="46">
          <cell r="B46" t="str">
            <v>Lending minus repayments</v>
          </cell>
          <cell r="G46">
            <v>-9.2984050000000007</v>
          </cell>
          <cell r="H46">
            <v>-4.0443740000000004</v>
          </cell>
          <cell r="I46">
            <v>-4.1670169999999995</v>
          </cell>
          <cell r="J46">
            <v>2.2682459999999995</v>
          </cell>
          <cell r="K46">
            <v>-2.8513809999999999</v>
          </cell>
          <cell r="L46">
            <v>-0.30382300000000129</v>
          </cell>
          <cell r="M46">
            <v>3.9093270000000011</v>
          </cell>
          <cell r="N46">
            <v>-1.2071950000000022</v>
          </cell>
          <cell r="O46">
            <v>0.14178499999999872</v>
          </cell>
          <cell r="P46">
            <v>5.5221069245899432</v>
          </cell>
        </row>
        <row r="47">
          <cell r="B47" t="str">
            <v>Net Lending</v>
          </cell>
          <cell r="G47">
            <v>9.2984050000000007</v>
          </cell>
          <cell r="H47">
            <v>4.0443740000000004</v>
          </cell>
          <cell r="I47">
            <v>4.1670169999999995</v>
          </cell>
          <cell r="J47">
            <v>6.2872979999999998</v>
          </cell>
          <cell r="K47">
            <v>13.212266</v>
          </cell>
          <cell r="L47">
            <v>16.085260000000002</v>
          </cell>
          <cell r="M47">
            <v>9.6909949999999991</v>
          </cell>
          <cell r="N47">
            <v>10.594877400000003</v>
          </cell>
          <cell r="O47">
            <v>3.3582150000000013</v>
          </cell>
          <cell r="P47">
            <v>-1.7670459758699435</v>
          </cell>
        </row>
        <row r="48">
          <cell r="B48" t="str">
            <v>Revenues from privatization  2/</v>
          </cell>
          <cell r="G48">
            <v>0</v>
          </cell>
          <cell r="H48">
            <v>0</v>
          </cell>
          <cell r="I48">
            <v>0</v>
          </cell>
          <cell r="J48">
            <v>8.5555439999999994</v>
          </cell>
          <cell r="K48">
            <v>10.360885</v>
          </cell>
          <cell r="L48">
            <v>15.781437</v>
          </cell>
          <cell r="M48">
            <v>13.600322</v>
          </cell>
          <cell r="N48">
            <v>9.387682400000001</v>
          </cell>
          <cell r="O48">
            <v>3.5</v>
          </cell>
          <cell r="P48">
            <v>3.7550609487199997</v>
          </cell>
        </row>
        <row r="50">
          <cell r="B50" t="str">
            <v>OVERALL SURPLUS/DEFICIT (authorities)</v>
          </cell>
          <cell r="G50">
            <v>3.1392720000000072</v>
          </cell>
          <cell r="H50">
            <v>8.4874900000000402</v>
          </cell>
          <cell r="I50">
            <v>-3.9612330000000053</v>
          </cell>
          <cell r="J50">
            <v>3.9904389635666124</v>
          </cell>
          <cell r="K50">
            <v>6.0975919718488889</v>
          </cell>
          <cell r="L50">
            <v>-33.609814026656338</v>
          </cell>
          <cell r="M50">
            <v>-17.113226999999902</v>
          </cell>
          <cell r="N50">
            <v>-24.503848699999978</v>
          </cell>
          <cell r="O50">
            <v>-40.104718000000304</v>
          </cell>
          <cell r="P50">
            <v>-46.937199707184838</v>
          </cell>
        </row>
        <row r="52">
          <cell r="B52" t="str">
            <v>FINANCING (NET) 3/</v>
          </cell>
          <cell r="G52">
            <v>-3.1392720000000001</v>
          </cell>
          <cell r="H52">
            <v>-8.4874900000000011</v>
          </cell>
          <cell r="I52">
            <v>3.961233</v>
          </cell>
          <cell r="J52">
            <v>-3.9904389635666435</v>
          </cell>
          <cell r="K52">
            <v>-6.0975919718488125</v>
          </cell>
          <cell r="L52">
            <v>33.609814026656224</v>
          </cell>
          <cell r="M52">
            <v>17.113226999999913</v>
          </cell>
          <cell r="N52">
            <v>24.503848700000027</v>
          </cell>
          <cell r="O52">
            <v>40.104718000000332</v>
          </cell>
          <cell r="P52">
            <v>46.937199707184924</v>
          </cell>
        </row>
        <row r="53">
          <cell r="B53" t="str">
            <v>Total borrowing</v>
          </cell>
          <cell r="G53">
            <v>-2.1650520000000002</v>
          </cell>
          <cell r="H53">
            <v>5.9036829999999991</v>
          </cell>
          <cell r="I53">
            <v>-1.9670079999999999</v>
          </cell>
          <cell r="J53">
            <v>-5.4795459999999983</v>
          </cell>
          <cell r="K53">
            <v>11.167202000000001</v>
          </cell>
          <cell r="L53">
            <v>31.954277999999999</v>
          </cell>
          <cell r="M53">
            <v>35.658591999999999</v>
          </cell>
          <cell r="N53">
            <v>43.094978999999995</v>
          </cell>
          <cell r="O53">
            <v>38.571850000000012</v>
          </cell>
          <cell r="P53">
            <v>55.714709251721672</v>
          </cell>
        </row>
        <row r="54">
          <cell r="C54" t="str">
            <v>Foreign borrowing (net)</v>
          </cell>
          <cell r="G54">
            <v>0.84380000000000033</v>
          </cell>
          <cell r="H54">
            <v>8.4752549999999989</v>
          </cell>
          <cell r="I54">
            <v>5.5618669999999995</v>
          </cell>
          <cell r="J54">
            <v>6.2749730000000001</v>
          </cell>
          <cell r="K54">
            <v>23.100342000000001</v>
          </cell>
          <cell r="L54">
            <v>20.098545999999999</v>
          </cell>
          <cell r="M54">
            <v>11.317893</v>
          </cell>
          <cell r="N54">
            <v>61.370336000000002</v>
          </cell>
          <cell r="O54">
            <v>-14.300572000000001</v>
          </cell>
          <cell r="P54">
            <v>69.847129641570007</v>
          </cell>
        </row>
        <row r="55">
          <cell r="C55" t="str">
            <v>Domestic borrowing (net)</v>
          </cell>
          <cell r="G55">
            <v>-3.0088520000000005</v>
          </cell>
          <cell r="H55">
            <v>-2.5715719999999997</v>
          </cell>
          <cell r="I55">
            <v>-7.5288749999999993</v>
          </cell>
          <cell r="J55">
            <v>-11.754518999999998</v>
          </cell>
          <cell r="K55">
            <v>-11.93314</v>
          </cell>
          <cell r="L55">
            <v>11.855732</v>
          </cell>
          <cell r="M55">
            <v>24.340699000000001</v>
          </cell>
          <cell r="N55">
            <v>-18.275357000000007</v>
          </cell>
          <cell r="O55">
            <v>52.872422000000014</v>
          </cell>
          <cell r="P55">
            <v>-14.132420389848335</v>
          </cell>
        </row>
        <row r="56">
          <cell r="B56" t="str">
            <v>Changes in cash deposits (increase = +)</v>
          </cell>
          <cell r="G56">
            <v>0.97421999999999997</v>
          </cell>
          <cell r="H56">
            <v>14.391173</v>
          </cell>
          <cell r="I56">
            <v>-5.9282409999999999</v>
          </cell>
          <cell r="J56">
            <v>-1.4891070364333547</v>
          </cell>
          <cell r="K56">
            <v>17.264793971848814</v>
          </cell>
          <cell r="L56">
            <v>-1.6555360266562289</v>
          </cell>
          <cell r="M56">
            <v>18.545365000000086</v>
          </cell>
          <cell r="N56">
            <v>18.591130299999968</v>
          </cell>
          <cell r="O56">
            <v>-1.5328680000003203</v>
          </cell>
          <cell r="P56">
            <v>8.7775095445367484</v>
          </cell>
        </row>
        <row r="58">
          <cell r="B58" t="str">
            <v>Memorandum items</v>
          </cell>
        </row>
        <row r="59">
          <cell r="B59" t="str">
            <v>Surplus/Deficit (priv. receipts as financing)</v>
          </cell>
          <cell r="G59">
            <v>3.1392720000000072</v>
          </cell>
          <cell r="H59">
            <v>8.4874900000000402</v>
          </cell>
          <cell r="I59">
            <v>-3.9612330000000053</v>
          </cell>
          <cell r="J59">
            <v>-4.5651050364333869</v>
          </cell>
          <cell r="K59">
            <v>-4.2632930281511108</v>
          </cell>
          <cell r="L59">
            <v>-49.391251026656334</v>
          </cell>
          <cell r="M59">
            <v>-30.713548999999901</v>
          </cell>
          <cell r="N59">
            <v>-33.89153109999998</v>
          </cell>
          <cell r="O59">
            <v>-43.604718000000304</v>
          </cell>
          <cell r="P59">
            <v>-50.692260655904839</v>
          </cell>
        </row>
        <row r="63">
          <cell r="A63" t="str">
            <v>Table 5.  Slovenia: Summary of General Government Operations (percent of GDP)</v>
          </cell>
        </row>
        <row r="66">
          <cell r="G66">
            <v>1992</v>
          </cell>
          <cell r="H66">
            <v>1993</v>
          </cell>
          <cell r="I66">
            <v>1994</v>
          </cell>
          <cell r="J66">
            <v>1995</v>
          </cell>
          <cell r="K66">
            <v>1996</v>
          </cell>
          <cell r="L66">
            <v>1997</v>
          </cell>
          <cell r="M66">
            <v>1998</v>
          </cell>
          <cell r="O66">
            <v>2000</v>
          </cell>
        </row>
        <row r="67">
          <cell r="N67" t="str">
            <v>Outturn</v>
          </cell>
          <cell r="O67" t="str">
            <v>Budget</v>
          </cell>
          <cell r="P67" t="str">
            <v xml:space="preserve"> MoF estimate</v>
          </cell>
        </row>
        <row r="68">
          <cell r="P68" t="str">
            <v>Dec</v>
          </cell>
        </row>
        <row r="70">
          <cell r="L70" t="str">
            <v>(percent of GDP)</v>
          </cell>
        </row>
        <row r="72">
          <cell r="B72" t="str">
            <v>TOTAL REVENUE</v>
          </cell>
          <cell r="G72">
            <v>43.31800651299406</v>
          </cell>
          <cell r="H72">
            <v>44.658689285378323</v>
          </cell>
          <cell r="I72">
            <v>43.365444412484209</v>
          </cell>
          <cell r="J72">
            <v>43.133201573020955</v>
          </cell>
          <cell r="K72">
            <v>42.726337224227592</v>
          </cell>
          <cell r="L72">
            <v>42.052661992648098</v>
          </cell>
          <cell r="M72">
            <v>42.962806957262565</v>
          </cell>
          <cell r="N72">
            <v>43.712563621033155</v>
          </cell>
          <cell r="O72">
            <v>43.682385674583124</v>
          </cell>
          <cell r="P72">
            <v>41.490183327929408</v>
          </cell>
        </row>
        <row r="73">
          <cell r="B73" t="str">
            <v xml:space="preserve">    Tax revenue</v>
          </cell>
          <cell r="G73">
            <v>40.480702185242123</v>
          </cell>
          <cell r="H73">
            <v>41.999260258031697</v>
          </cell>
          <cell r="I73">
            <v>41.704437891696529</v>
          </cell>
          <cell r="J73">
            <v>41.248924355085705</v>
          </cell>
          <cell r="K73">
            <v>40.396744735004901</v>
          </cell>
          <cell r="L73">
            <v>39.765690094201553</v>
          </cell>
          <cell r="M73">
            <v>40.03847878955704</v>
          </cell>
          <cell r="N73">
            <v>41.222151668881132</v>
          </cell>
          <cell r="O73">
            <v>41.057822789287513</v>
          </cell>
          <cell r="P73">
            <v>38.515374752966174</v>
          </cell>
        </row>
        <row r="74">
          <cell r="C74" t="str">
            <v>Taxes on Income and Profits</v>
          </cell>
          <cell r="G74">
            <v>7.3893619132288437</v>
          </cell>
          <cell r="H74">
            <v>7.3005398945714397</v>
          </cell>
          <cell r="I74">
            <v>7.5999228277217927</v>
          </cell>
          <cell r="J74">
            <v>7.2191179846749272</v>
          </cell>
          <cell r="K74">
            <v>7.7065333055747738</v>
          </cell>
          <cell r="L74">
            <v>7.8294454570376342</v>
          </cell>
          <cell r="M74">
            <v>7.7736629508527235</v>
          </cell>
          <cell r="N74">
            <v>7.5277735944292639</v>
          </cell>
          <cell r="O74">
            <v>7.7725151591712978</v>
          </cell>
          <cell r="P74">
            <v>7.4932861707537795</v>
          </cell>
        </row>
        <row r="75">
          <cell r="C75" t="str">
            <v>Social Security Contributions</v>
          </cell>
          <cell r="G75">
            <v>18.626506019362157</v>
          </cell>
          <cell r="H75">
            <v>19.150104069765415</v>
          </cell>
          <cell r="I75">
            <v>17.129942466177766</v>
          </cell>
          <cell r="J75">
            <v>16.340611121164567</v>
          </cell>
          <cell r="K75">
            <v>14.721331722084646</v>
          </cell>
          <cell r="L75">
            <v>13.780249353604765</v>
          </cell>
          <cell r="M75">
            <v>13.780943225219142</v>
          </cell>
          <cell r="N75">
            <v>13.646172950899219</v>
          </cell>
          <cell r="O75">
            <v>13.567058185952499</v>
          </cell>
          <cell r="P75">
            <v>13.295527624458034</v>
          </cell>
        </row>
        <row r="76">
          <cell r="C76" t="str">
            <v xml:space="preserve">of which: </v>
          </cell>
          <cell r="D76" t="str">
            <v>Pension fund</v>
          </cell>
          <cell r="G76">
            <v>12.151400097252854</v>
          </cell>
          <cell r="H76">
            <v>13.435765576494935</v>
          </cell>
          <cell r="I76">
            <v>12.855498416888963</v>
          </cell>
          <cell r="J76">
            <v>12.720064885314056</v>
          </cell>
          <cell r="K76">
            <v>10.863832723897302</v>
          </cell>
          <cell r="L76">
            <v>9.9506865014926333</v>
          </cell>
          <cell r="M76">
            <v>9.9514251090510619</v>
          </cell>
          <cell r="N76">
            <v>9.8490318320289809</v>
          </cell>
          <cell r="O76">
            <v>9.8426769327943404</v>
          </cell>
          <cell r="P76">
            <v>9.6115006341250027</v>
          </cell>
        </row>
        <row r="77">
          <cell r="D77" t="str">
            <v>Health fund</v>
          </cell>
          <cell r="G77">
            <v>6.5577893149568007</v>
          </cell>
          <cell r="H77">
            <v>5.9905441800020203</v>
          </cell>
          <cell r="I77">
            <v>5.1869484947897924</v>
          </cell>
          <cell r="J77">
            <v>5.1321445195002546</v>
          </cell>
          <cell r="K77">
            <v>5.3877014582635461</v>
          </cell>
          <cell r="L77">
            <v>5.2987909304823733</v>
          </cell>
          <cell r="M77">
            <v>5.2878248212601395</v>
          </cell>
          <cell r="N77">
            <v>5.2325815677357435</v>
          </cell>
          <cell r="O77">
            <v>5.2117694290045478</v>
          </cell>
          <cell r="P77">
            <v>5.130635195408308</v>
          </cell>
        </row>
        <row r="78">
          <cell r="C78" t="str">
            <v>Domestic taxes on goods and services</v>
          </cell>
          <cell r="G78">
            <v>10.917503352276354</v>
          </cell>
          <cell r="H78">
            <v>11.654499318860424</v>
          </cell>
          <cell r="I78">
            <v>12.952732033565084</v>
          </cell>
          <cell r="J78">
            <v>13.421753325968796</v>
          </cell>
          <cell r="K78">
            <v>13.675161346624048</v>
          </cell>
          <cell r="L78">
            <v>14.174558358216297</v>
          </cell>
          <cell r="M78">
            <v>14.743398772678058</v>
          </cell>
          <cell r="N78">
            <v>16.535541536526956</v>
          </cell>
          <cell r="O78">
            <v>16.056042496210207</v>
          </cell>
          <cell r="P78">
            <v>14.518537497083372</v>
          </cell>
        </row>
        <row r="79">
          <cell r="C79" t="str">
            <v>Taxes on international trade</v>
          </cell>
          <cell r="G79">
            <v>3.1887167044053575</v>
          </cell>
          <cell r="H79">
            <v>3.586027545214777</v>
          </cell>
          <cell r="I79">
            <v>3.468269511499479</v>
          </cell>
          <cell r="J79">
            <v>3.5191507559449686</v>
          </cell>
          <cell r="K79">
            <v>2.9973189380159728</v>
          </cell>
          <cell r="L79">
            <v>2.0109212503658922</v>
          </cell>
          <cell r="M79">
            <v>1.4534235717484223</v>
          </cell>
          <cell r="N79">
            <v>1.255209066163895</v>
          </cell>
          <cell r="O79">
            <v>1.0228423446184942</v>
          </cell>
          <cell r="P79">
            <v>0.91647373029551016</v>
          </cell>
        </row>
        <row r="80">
          <cell r="C80" t="str">
            <v>Payroll, property and other taxes</v>
          </cell>
          <cell r="G80">
            <v>0.35861419596940958</v>
          </cell>
          <cell r="H80">
            <v>0.30808942961964192</v>
          </cell>
          <cell r="I80">
            <v>0.55357105273241136</v>
          </cell>
          <cell r="J80">
            <v>0.74829116733244549</v>
          </cell>
          <cell r="K80">
            <v>1.296399422705458</v>
          </cell>
          <cell r="L80">
            <v>1.970515674976963</v>
          </cell>
          <cell r="M80">
            <v>2.2870502690586956</v>
          </cell>
          <cell r="N80">
            <v>2.2273529520923661</v>
          </cell>
          <cell r="O80">
            <v>2.0746206670035372</v>
          </cell>
          <cell r="P80">
            <v>2.5135672303044134</v>
          </cell>
        </row>
        <row r="81">
          <cell r="B81" t="str">
            <v xml:space="preserve">    Nontax revenue</v>
          </cell>
          <cell r="G81">
            <v>2.6584673343386065</v>
          </cell>
          <cell r="H81">
            <v>2.5568921221243195</v>
          </cell>
          <cell r="I81">
            <v>1.5750140987815953</v>
          </cell>
          <cell r="J81">
            <v>1.7764019396270374</v>
          </cell>
          <cell r="K81">
            <v>2.2201081801133928</v>
          </cell>
          <cell r="L81">
            <v>2.0955687056995256</v>
          </cell>
          <cell r="M81">
            <v>2.7116413026073602</v>
          </cell>
          <cell r="N81">
            <v>2.1945376043626319</v>
          </cell>
          <cell r="O81">
            <v>2.0886670540677112</v>
          </cell>
          <cell r="P81">
            <v>2.2890940719840591</v>
          </cell>
        </row>
        <row r="82">
          <cell r="B82" t="str">
            <v xml:space="preserve">    Capital revenue</v>
          </cell>
          <cell r="G82">
            <v>0.17883699341332951</v>
          </cell>
          <cell r="H82">
            <v>0.10253690522230235</v>
          </cell>
          <cell r="I82">
            <v>8.3521074238112641E-2</v>
          </cell>
          <cell r="J82">
            <v>8.2102790149532409E-2</v>
          </cell>
          <cell r="K82">
            <v>6.80242141249323E-2</v>
          </cell>
          <cell r="L82">
            <v>0.13087524855732699</v>
          </cell>
          <cell r="M82">
            <v>0.13741789092035625</v>
          </cell>
          <cell r="N82">
            <v>0.17676866980788947</v>
          </cell>
          <cell r="O82">
            <v>0.27626596766043454</v>
          </cell>
          <cell r="P82">
            <v>0.16108276433842539</v>
          </cell>
        </row>
        <row r="83">
          <cell r="B83" t="str">
            <v xml:space="preserve">    Other revenue</v>
          </cell>
          <cell r="G83">
            <v>0</v>
          </cell>
          <cell r="H83">
            <v>0</v>
          </cell>
          <cell r="I83">
            <v>2.4713477679672445E-3</v>
          </cell>
          <cell r="J83">
            <v>2.5772488158677942E-2</v>
          </cell>
          <cell r="K83">
            <v>4.1460094984363517E-2</v>
          </cell>
          <cell r="L83">
            <v>6.0527944189696717E-2</v>
          </cell>
          <cell r="M83">
            <v>7.5268974177802206E-2</v>
          </cell>
          <cell r="N83">
            <v>0.1191056779815045</v>
          </cell>
          <cell r="O83">
            <v>0.25962986356746265</v>
          </cell>
          <cell r="P83">
            <v>0.52463173864074841</v>
          </cell>
        </row>
        <row r="85">
          <cell r="B85" t="str">
            <v>TOTAL EXPENDITURE</v>
          </cell>
          <cell r="G85">
            <v>42.096188768769068</v>
          </cell>
          <cell r="H85">
            <v>43.785446468700677</v>
          </cell>
          <cell r="I85">
            <v>43.354338943883882</v>
          </cell>
          <cell r="J85">
            <v>43.055676228694537</v>
          </cell>
          <cell r="K85">
            <v>42.376134319133335</v>
          </cell>
          <cell r="L85">
            <v>43.198269756430378</v>
          </cell>
          <cell r="M85">
            <v>43.608909071407126</v>
          </cell>
          <cell r="N85">
            <v>44.353032547367825</v>
          </cell>
          <cell r="O85">
            <v>44.699225063163226</v>
          </cell>
          <cell r="P85">
            <v>42.752411514138153</v>
          </cell>
        </row>
        <row r="86">
          <cell r="B86" t="str">
            <v xml:space="preserve"> Current expenditure</v>
          </cell>
          <cell r="G86">
            <v>19.070373441130098</v>
          </cell>
          <cell r="H86">
            <v>20.12342067946722</v>
          </cell>
          <cell r="I86">
            <v>19.044601583272936</v>
          </cell>
          <cell r="J86">
            <v>18.967177637389497</v>
          </cell>
          <cell r="K86">
            <v>19.055884866680653</v>
          </cell>
          <cell r="L86">
            <v>19.411334902040632</v>
          </cell>
          <cell r="M86">
            <v>19.730389233841191</v>
          </cell>
          <cell r="N86">
            <v>19.462204890421468</v>
          </cell>
          <cell r="O86">
            <v>19.776151718039415</v>
          </cell>
          <cell r="P86">
            <v>19.006759163138419</v>
          </cell>
        </row>
        <row r="87">
          <cell r="C87" t="str">
            <v>Salaries and wages</v>
          </cell>
          <cell r="G87">
            <v>8.8466429592373004</v>
          </cell>
          <cell r="H87">
            <v>9.1423715503154845</v>
          </cell>
          <cell r="I87">
            <v>8.2937614038231029</v>
          </cell>
          <cell r="J87">
            <v>8.7189123539585225</v>
          </cell>
          <cell r="K87">
            <v>9.1748824044129851</v>
          </cell>
          <cell r="L87">
            <v>9.7950414081630335</v>
          </cell>
          <cell r="M87">
            <v>9.607533920081778</v>
          </cell>
          <cell r="N87">
            <v>9.6397248667124682</v>
          </cell>
          <cell r="O87">
            <v>9.4849953259221831</v>
          </cell>
          <cell r="P87">
            <v>9.3168389035334851</v>
          </cell>
        </row>
        <row r="88">
          <cell r="C88" t="str">
            <v>Central and local governments</v>
          </cell>
          <cell r="G88">
            <v>2.7705711885968576</v>
          </cell>
          <cell r="H88">
            <v>4.0247338329518252</v>
          </cell>
          <cell r="I88">
            <v>3.2957147259277808</v>
          </cell>
          <cell r="J88">
            <v>4.6882431718267901</v>
          </cell>
          <cell r="K88">
            <v>4.0756303201730635</v>
          </cell>
          <cell r="L88">
            <v>3.5822989347076319</v>
          </cell>
          <cell r="M88">
            <v>3.2008396770373642</v>
          </cell>
          <cell r="N88">
            <v>3.2044620154245971</v>
          </cell>
          <cell r="O88">
            <v>3.1912999747347146</v>
          </cell>
          <cell r="P88" t="e">
            <v>#REF!</v>
          </cell>
        </row>
        <row r="89">
          <cell r="C89" t="str">
            <v>Other public institutions</v>
          </cell>
          <cell r="G89">
            <v>6.0760717706404437</v>
          </cell>
          <cell r="H89">
            <v>5.1176377173636594</v>
          </cell>
          <cell r="I89">
            <v>4.9980466778953225</v>
          </cell>
          <cell r="J89">
            <v>9.383831609690569</v>
          </cell>
          <cell r="K89">
            <v>8.1576461002877068</v>
          </cell>
          <cell r="L89">
            <v>7.1702104065075325</v>
          </cell>
          <cell r="M89">
            <v>6.4066942430444129</v>
          </cell>
          <cell r="N89">
            <v>6.4352628512878702</v>
          </cell>
          <cell r="O89">
            <v>6.2936953511874689</v>
          </cell>
          <cell r="P89" t="e">
            <v>#REF!</v>
          </cell>
        </row>
        <row r="90">
          <cell r="C90" t="str">
            <v>Expenditures on goods and services</v>
          </cell>
          <cell r="G90">
            <v>9.5265417769766145</v>
          </cell>
          <cell r="H90">
            <v>9.5794583633836101</v>
          </cell>
          <cell r="I90">
            <v>9.2439153975964352</v>
          </cell>
          <cell r="J90">
            <v>9.0408181923763564</v>
          </cell>
          <cell r="K90">
            <v>8.593347690039165</v>
          </cell>
          <cell r="L90">
            <v>8.3634898222632366</v>
          </cell>
          <cell r="M90">
            <v>8.5113640226311134</v>
          </cell>
          <cell r="N90">
            <v>8.131794887444098</v>
          </cell>
          <cell r="O90">
            <v>8.4317742294087914</v>
          </cell>
          <cell r="P90">
            <v>7.9137597969179865</v>
          </cell>
        </row>
        <row r="91">
          <cell r="C91" t="str">
            <v>Central and local governments</v>
          </cell>
          <cell r="G91">
            <v>3.8555531869956234</v>
          </cell>
          <cell r="H91">
            <v>3.4800992965622486</v>
          </cell>
          <cell r="I91">
            <v>3.3584497978140275</v>
          </cell>
          <cell r="J91">
            <v>4.7750828509924546</v>
          </cell>
          <cell r="K91">
            <v>4.1511226563062538</v>
          </cell>
          <cell r="L91">
            <v>3.6486533618915566</v>
          </cell>
          <cell r="M91">
            <v>3.260128387206028</v>
          </cell>
          <cell r="N91">
            <v>3.5998717228642034</v>
          </cell>
          <cell r="O91">
            <v>3.7190177109651343</v>
          </cell>
          <cell r="P91" t="e">
            <v>#REF!</v>
          </cell>
        </row>
        <row r="92">
          <cell r="C92" t="str">
            <v>Other public institutions</v>
          </cell>
          <cell r="G92">
            <v>5.6709885899809915</v>
          </cell>
          <cell r="H92">
            <v>6.0993590668213606</v>
          </cell>
          <cell r="I92">
            <v>5.8854655997824068</v>
          </cell>
          <cell r="J92">
            <v>7.6914410265690343</v>
          </cell>
          <cell r="K92">
            <v>6.6864002366782405</v>
          </cell>
          <cell r="L92">
            <v>5.8770503120273716</v>
          </cell>
          <cell r="M92">
            <v>5.2512356354250844</v>
          </cell>
          <cell r="N92">
            <v>4.5319231645798954</v>
          </cell>
          <cell r="O92">
            <v>4.7127565184436584</v>
          </cell>
          <cell r="P92" t="e">
            <v>#REF!</v>
          </cell>
        </row>
        <row r="93">
          <cell r="C93" t="str">
            <v>Interest Payments</v>
          </cell>
          <cell r="G93">
            <v>0.49407288069825583</v>
          </cell>
          <cell r="H93">
            <v>1.2582707068173187</v>
          </cell>
          <cell r="I93">
            <v>1.4521448226845484</v>
          </cell>
          <cell r="J93">
            <v>1.1522998409152905</v>
          </cell>
          <cell r="K93">
            <v>1.2178801644225019</v>
          </cell>
          <cell r="L93">
            <v>1.1930871740119706</v>
          </cell>
          <cell r="M93">
            <v>1.2822388990429816</v>
          </cell>
          <cell r="N93">
            <v>1.4005849640832271</v>
          </cell>
          <cell r="O93">
            <v>1.5583715512885297</v>
          </cell>
          <cell r="P93">
            <v>1.4726704804294117</v>
          </cell>
        </row>
        <row r="94">
          <cell r="C94" t="str">
            <v>Reserves</v>
          </cell>
          <cell r="G94">
            <v>0.20311582421792496</v>
          </cell>
          <cell r="H94">
            <v>0.14332005895080119</v>
          </cell>
          <cell r="I94">
            <v>5.4779959168849167E-2</v>
          </cell>
          <cell r="J94">
            <v>5.5147250139322902E-2</v>
          </cell>
          <cell r="K94">
            <v>6.9774607805998978E-2</v>
          </cell>
          <cell r="L94">
            <v>5.9716497602395641E-2</v>
          </cell>
          <cell r="M94">
            <v>0.32925239208531937</v>
          </cell>
          <cell r="N94">
            <v>0.29010017218167627</v>
          </cell>
          <cell r="O94">
            <v>0.30101061141990904</v>
          </cell>
          <cell r="P94">
            <v>0.30348998225753532</v>
          </cell>
        </row>
        <row r="95">
          <cell r="B95" t="str">
            <v>Current transfers (old)</v>
          </cell>
          <cell r="G95">
            <v>31.364307122543504</v>
          </cell>
          <cell r="H95">
            <v>31.398725032140728</v>
          </cell>
          <cell r="I95">
            <v>30.863412622902249</v>
          </cell>
          <cell r="J95">
            <v>50.647842047880253</v>
          </cell>
          <cell r="K95">
            <v>44.02968727009182</v>
          </cell>
          <cell r="L95">
            <v>38.700149280581108</v>
          </cell>
          <cell r="M95">
            <v>34.579183809701483</v>
          </cell>
          <cell r="N95">
            <v>30.931684562509265</v>
          </cell>
          <cell r="O95">
            <v>28.426491637190498</v>
          </cell>
          <cell r="P95">
            <v>27.071628437192853</v>
          </cell>
        </row>
        <row r="96">
          <cell r="B96" t="str">
            <v xml:space="preserve">Current transfers </v>
          </cell>
          <cell r="G96">
            <v>19.617246761922068</v>
          </cell>
          <cell r="H96">
            <v>20.181728247955711</v>
          </cell>
          <cell r="I96">
            <v>19.979900345224522</v>
          </cell>
          <cell r="J96">
            <v>19.88838965384145</v>
          </cell>
          <cell r="K96">
            <v>19.118157268469787</v>
          </cell>
          <cell r="L96">
            <v>19.618731996526513</v>
          </cell>
          <cell r="M96">
            <v>19.564616561009128</v>
          </cell>
          <cell r="N96">
            <v>20.278530014403</v>
          </cell>
          <cell r="O96">
            <v>19.978752021222842</v>
          </cell>
          <cell r="P96">
            <v>19.733654080317471</v>
          </cell>
        </row>
        <row r="97">
          <cell r="C97" t="str">
            <v xml:space="preserve">of which:      </v>
          </cell>
          <cell r="D97" t="str">
            <v>Subsidies</v>
          </cell>
          <cell r="G97">
            <v>2.925800101182261</v>
          </cell>
          <cell r="H97">
            <v>2.6182682679543863</v>
          </cell>
          <cell r="I97">
            <v>1.951106450792959</v>
          </cell>
          <cell r="J97">
            <v>1.8792533552288624</v>
          </cell>
          <cell r="K97">
            <v>1.3519315026250622</v>
          </cell>
          <cell r="L97">
            <v>1.3745044245869931</v>
          </cell>
          <cell r="M97">
            <v>1.5132965921485695</v>
          </cell>
          <cell r="N97">
            <v>1.7344140063456768</v>
          </cell>
          <cell r="O97">
            <v>1.7260679130874181</v>
          </cell>
          <cell r="P97">
            <v>1.4233703121652179</v>
          </cell>
        </row>
        <row r="98">
          <cell r="D98" t="str">
            <v>Transfers to households</v>
          </cell>
          <cell r="G98">
            <v>16.487374615040792</v>
          </cell>
          <cell r="H98">
            <v>17.198249593232504</v>
          </cell>
          <cell r="I98">
            <v>17.66669935245443</v>
          </cell>
          <cell r="J98">
            <v>17.636368817236246</v>
          </cell>
          <cell r="K98">
            <v>17.382382693999457</v>
          </cell>
          <cell r="L98">
            <v>17.855491134831663</v>
          </cell>
          <cell r="M98">
            <v>17.63566019649322</v>
          </cell>
          <cell r="N98">
            <v>17.816699175820776</v>
          </cell>
          <cell r="O98">
            <v>17.642911748357758</v>
          </cell>
          <cell r="P98">
            <v>17.58546516026508</v>
          </cell>
        </row>
        <row r="99">
          <cell r="B99" t="str">
            <v>Capital expenditure</v>
          </cell>
          <cell r="G99">
            <v>2.5906215832567918</v>
          </cell>
          <cell r="H99">
            <v>2.816461279566858</v>
          </cell>
          <cell r="I99">
            <v>2.7141113558197882</v>
          </cell>
          <cell r="J99">
            <v>2.5828134495452981</v>
          </cell>
          <cell r="K99">
            <v>2.4905552937972146</v>
          </cell>
          <cell r="L99">
            <v>2.3264619779952169</v>
          </cell>
          <cell r="M99">
            <v>2.5265027348435698</v>
          </cell>
          <cell r="N99">
            <v>3.009697487544114</v>
          </cell>
          <cell r="O99">
            <v>3.1630491409802932</v>
          </cell>
          <cell r="P99">
            <v>2.5964048449223389</v>
          </cell>
        </row>
        <row r="100">
          <cell r="B100" t="str">
            <v>Capital transfers</v>
          </cell>
          <cell r="G100">
            <v>0.81794698246010422</v>
          </cell>
          <cell r="H100">
            <v>0.66383626171089716</v>
          </cell>
          <cell r="I100">
            <v>1.6157256595666372</v>
          </cell>
          <cell r="J100">
            <v>1.6172954879182948</v>
          </cell>
          <cell r="K100">
            <v>1.7115368901856796</v>
          </cell>
          <cell r="L100">
            <v>1.8417408798679999</v>
          </cell>
          <cell r="M100">
            <v>1.7874005417132415</v>
          </cell>
          <cell r="N100">
            <v>1.6026001549992479</v>
          </cell>
          <cell r="O100">
            <v>1.7812721829206668</v>
          </cell>
          <cell r="P100">
            <v>1.415593425759921</v>
          </cell>
        </row>
        <row r="102">
          <cell r="B102" t="str">
            <v>GENERAL SURPLUS/DEFICIT (authorities) 1/</v>
          </cell>
          <cell r="G102">
            <v>1.2218177442249987</v>
          </cell>
          <cell r="H102">
            <v>0.87324281667764436</v>
          </cell>
          <cell r="I102">
            <v>1.1105468600326617E-2</v>
          </cell>
          <cell r="J102">
            <v>7.7525344326411422E-2</v>
          </cell>
          <cell r="K102">
            <v>0.35020290509425211</v>
          </cell>
          <cell r="L102">
            <v>-1.1456077637822721</v>
          </cell>
          <cell r="M102">
            <v>-0.6461021141445642</v>
          </cell>
          <cell r="N102">
            <v>-0.64046892633466868</v>
          </cell>
          <cell r="O102">
            <v>-1.0168393885800986</v>
          </cell>
          <cell r="P102">
            <v>-1.2622281862087432</v>
          </cell>
        </row>
        <row r="104">
          <cell r="B104" t="str">
            <v>Lending minus repayments</v>
          </cell>
          <cell r="G104">
            <v>-0.91343071716611079</v>
          </cell>
          <cell r="H104">
            <v>-0.28181925238398853</v>
          </cell>
          <cell r="I104">
            <v>-0.22487985679415559</v>
          </cell>
          <cell r="J104">
            <v>0.10210618431678649</v>
          </cell>
          <cell r="K104">
            <v>-0.11158396755379263</v>
          </cell>
          <cell r="L104">
            <v>-1.045043179580072E-2</v>
          </cell>
          <cell r="M104">
            <v>0.12014831497554673</v>
          </cell>
          <cell r="N104">
            <v>-3.3188066212555774E-2</v>
          </cell>
          <cell r="O104">
            <v>3.582238504295066E-3</v>
          </cell>
          <cell r="P104">
            <v>0.13286792096588743</v>
          </cell>
        </row>
        <row r="105">
          <cell r="B105" t="str">
            <v>Net Lending</v>
          </cell>
          <cell r="G105">
            <v>0.91343071716611079</v>
          </cell>
          <cell r="H105">
            <v>0.28181925238398853</v>
          </cell>
          <cell r="I105">
            <v>0.22487985679415559</v>
          </cell>
          <cell r="J105">
            <v>0.28302574255286383</v>
          </cell>
          <cell r="K105">
            <v>0.51703965925847073</v>
          </cell>
          <cell r="L105">
            <v>0.55327579724945375</v>
          </cell>
          <cell r="M105">
            <v>0.29784070754031272</v>
          </cell>
          <cell r="N105">
            <v>0.29127315194737408</v>
          </cell>
          <cell r="O105">
            <v>8.4846260737746371E-2</v>
          </cell>
          <cell r="P105">
            <v>-4.2517055223882952E-2</v>
          </cell>
        </row>
        <row r="106">
          <cell r="B106" t="str">
            <v>Revenues from privatization  2/</v>
          </cell>
          <cell r="G106">
            <v>0</v>
          </cell>
          <cell r="H106">
            <v>0</v>
          </cell>
          <cell r="I106">
            <v>0</v>
          </cell>
          <cell r="J106">
            <v>0.38513192686965037</v>
          </cell>
          <cell r="K106">
            <v>0.40545569170467816</v>
          </cell>
          <cell r="L106">
            <v>0.54282536545365301</v>
          </cell>
          <cell r="M106">
            <v>0.41798902251585945</v>
          </cell>
          <cell r="N106">
            <v>0.25808508573481825</v>
          </cell>
          <cell r="O106">
            <v>8.8428499242041436E-2</v>
          </cell>
          <cell r="P106">
            <v>9.035086574200446E-2</v>
          </cell>
        </row>
        <row r="108">
          <cell r="B108" t="str">
            <v>OVERALL SURPLUS/DEFICIT (authorities)</v>
          </cell>
          <cell r="G108">
            <v>0.30838702705888782</v>
          </cell>
          <cell r="H108">
            <v>0.59142356429365583</v>
          </cell>
          <cell r="I108">
            <v>-0.21377438819382899</v>
          </cell>
          <cell r="J108">
            <v>0.17963152864319792</v>
          </cell>
          <cell r="K108">
            <v>0.23861893754045949</v>
          </cell>
          <cell r="L108">
            <v>-1.1560581955780731</v>
          </cell>
          <cell r="M108">
            <v>-0.52595379916901774</v>
          </cell>
          <cell r="N108">
            <v>-0.67365699254722422</v>
          </cell>
          <cell r="O108">
            <v>-1.0132571500758036</v>
          </cell>
          <cell r="P108">
            <v>-1.1293602652428558</v>
          </cell>
        </row>
        <row r="110">
          <cell r="B110" t="str">
            <v>FINANCING (NET) 3/</v>
          </cell>
          <cell r="G110">
            <v>-0.3083870270588871</v>
          </cell>
          <cell r="H110">
            <v>-0.59142356429365306</v>
          </cell>
          <cell r="I110">
            <v>0.21377438819382868</v>
          </cell>
          <cell r="J110">
            <v>-0.17963152864319931</v>
          </cell>
          <cell r="K110">
            <v>-0.23861893754045649</v>
          </cell>
          <cell r="L110">
            <v>1.1560581955780693</v>
          </cell>
          <cell r="M110">
            <v>0.52595379916901797</v>
          </cell>
          <cell r="N110">
            <v>0.67365699254722566</v>
          </cell>
          <cell r="O110">
            <v>1.0132571500758043</v>
          </cell>
          <cell r="P110">
            <v>1.129360265242858</v>
          </cell>
        </row>
        <row r="111">
          <cell r="B111" t="str">
            <v>Total borrowing</v>
          </cell>
          <cell r="G111">
            <v>-0.21268432608193799</v>
          </cell>
          <cell r="H111">
            <v>0.41137924667008097</v>
          </cell>
          <cell r="I111">
            <v>-0.10615278923819088</v>
          </cell>
          <cell r="J111">
            <v>-0.24666439788643299</v>
          </cell>
          <cell r="K111">
            <v>0.43700954226553673</v>
          </cell>
          <cell r="L111">
            <v>1.0991136379505635</v>
          </cell>
          <cell r="M111">
            <v>1.095922582889717</v>
          </cell>
          <cell r="N111">
            <v>1.1847622103145703</v>
          </cell>
          <cell r="O111">
            <v>0.9745288024254678</v>
          </cell>
          <cell r="P111">
            <v>1.3405567270946779</v>
          </cell>
        </row>
        <row r="112">
          <cell r="C112" t="str">
            <v>Foreign borrowing (net)</v>
          </cell>
          <cell r="G112">
            <v>8.2890865599504926E-2</v>
          </cell>
          <cell r="H112">
            <v>0.59057100749427727</v>
          </cell>
          <cell r="I112">
            <v>0.30015520802246298</v>
          </cell>
          <cell r="J112">
            <v>0.28247092675170987</v>
          </cell>
          <cell r="K112">
            <v>0.90399277129556299</v>
          </cell>
          <cell r="L112">
            <v>0.6913185774867685</v>
          </cell>
          <cell r="M112">
            <v>0.34784139904989658</v>
          </cell>
          <cell r="N112">
            <v>1.6871862248060931</v>
          </cell>
          <cell r="O112">
            <v>-0.36130803436078829</v>
          </cell>
          <cell r="P112">
            <v>1.6805981897207389</v>
          </cell>
        </row>
        <row r="113">
          <cell r="C113" t="str">
            <v>Domestic borrowing (net)</v>
          </cell>
          <cell r="G113">
            <v>-0.29557519168144292</v>
          </cell>
          <cell r="H113">
            <v>-0.1791917608241963</v>
          </cell>
          <cell r="I113">
            <v>-0.40630799726065392</v>
          </cell>
          <cell r="J113">
            <v>-0.52913532463814283</v>
          </cell>
          <cell r="K113">
            <v>-0.4669832290300262</v>
          </cell>
          <cell r="L113">
            <v>0.40779506046379477</v>
          </cell>
          <cell r="M113">
            <v>0.74808118383982058</v>
          </cell>
          <cell r="N113">
            <v>-0.50242401449152263</v>
          </cell>
          <cell r="O113">
            <v>1.3358368367862561</v>
          </cell>
          <cell r="P113">
            <v>-0.34004146262606111</v>
          </cell>
        </row>
        <row r="114">
          <cell r="B114" t="str">
            <v>Changes in cash deposits (increase = +)</v>
          </cell>
          <cell r="G114">
            <v>9.5702700976949107E-2</v>
          </cell>
          <cell r="H114">
            <v>1.0028028109637341</v>
          </cell>
          <cell r="I114">
            <v>-0.31992717743201959</v>
          </cell>
          <cell r="J114">
            <v>-6.7032869243233692E-2</v>
          </cell>
          <cell r="K114">
            <v>0.67562847980599328</v>
          </cell>
          <cell r="L114">
            <v>-5.6944557627506047E-2</v>
          </cell>
          <cell r="M114">
            <v>0.56996878372069926</v>
          </cell>
          <cell r="N114">
            <v>0.51110521776734463</v>
          </cell>
          <cell r="O114">
            <v>-3.8728347650336538E-2</v>
          </cell>
          <cell r="P114">
            <v>0.21119646185182003</v>
          </cell>
        </row>
        <row r="116">
          <cell r="B116" t="str">
            <v>Memorandum items</v>
          </cell>
        </row>
        <row r="117">
          <cell r="B117" t="str">
            <v>Surplus/Deficit (priv. receipts as financing)</v>
          </cell>
          <cell r="G117">
            <v>0.30838702705888782</v>
          </cell>
          <cell r="H117">
            <v>0.59142356429365583</v>
          </cell>
          <cell r="I117">
            <v>-0.21377438819382899</v>
          </cell>
          <cell r="J117">
            <v>-0.20550039822645241</v>
          </cell>
          <cell r="K117">
            <v>-0.16683675416421864</v>
          </cell>
          <cell r="L117">
            <v>-1.6988835610317259</v>
          </cell>
          <cell r="M117">
            <v>-0.94394282168487698</v>
          </cell>
          <cell r="N117">
            <v>-0.9317420782820427</v>
          </cell>
          <cell r="O117">
            <v>-1.1016856493178451</v>
          </cell>
          <cell r="P117">
            <v>-1.2197111309848603</v>
          </cell>
        </row>
        <row r="118">
          <cell r="B118" t="str">
            <v>Nominal GDP</v>
          </cell>
          <cell r="G118">
            <v>1017.965</v>
          </cell>
          <cell r="H118">
            <v>1435.095</v>
          </cell>
          <cell r="I118">
            <v>1852.9970000000001</v>
          </cell>
          <cell r="J118">
            <v>2221.4580000000005</v>
          </cell>
          <cell r="K118">
            <v>2555.3679999999999</v>
          </cell>
          <cell r="L118">
            <v>2907.277</v>
          </cell>
          <cell r="M118">
            <v>3253.7509999999997</v>
          </cell>
          <cell r="N118">
            <v>3637.4369999999999</v>
          </cell>
          <cell r="O118">
            <v>3958</v>
          </cell>
          <cell r="P118">
            <v>4156.0874020206065</v>
          </cell>
        </row>
        <row r="121">
          <cell r="B121" t="str">
            <v xml:space="preserve">   Source:  Ministry of Finance of the Republic of Slovenia, and staff estimates.</v>
          </cell>
        </row>
        <row r="123">
          <cell r="B123" t="str">
            <v>1/  Revenue minus expenditure.</v>
          </cell>
        </row>
        <row r="124">
          <cell r="B124" t="str">
            <v xml:space="preserve">2/  Privatization revenues consist in receipts from the sale of socially-owned capital (accounted for in repayment of loans </v>
          </cell>
        </row>
        <row r="125">
          <cell r="B125" t="str">
            <v xml:space="preserve">     and sale of equity in the authorities' accounts).</v>
          </cell>
        </row>
        <row r="126">
          <cell r="B126" t="str">
            <v>3/  Including net lending and privatization receipts.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 val="output"/>
      <sheetName val="NOVA legislativa"/>
      <sheetName val="current"/>
    </sheetNames>
    <sheetDataSet>
      <sheetData sheetId="0"/>
      <sheetData sheetId="1" refreshError="1">
        <row r="3">
          <cell r="B3" t="str">
            <v>Table 4.  Slovenia: Summary of General Government Operations - Projections (percent of GDP)</v>
          </cell>
        </row>
        <row r="6">
          <cell r="G6">
            <v>1992</v>
          </cell>
          <cell r="H6">
            <v>1993</v>
          </cell>
          <cell r="I6">
            <v>1994</v>
          </cell>
          <cell r="J6">
            <v>1995</v>
          </cell>
          <cell r="K6">
            <v>1996</v>
          </cell>
          <cell r="L6">
            <v>1998</v>
          </cell>
          <cell r="M6">
            <v>1999</v>
          </cell>
          <cell r="N6">
            <v>2000</v>
          </cell>
          <cell r="O6">
            <v>2001</v>
          </cell>
          <cell r="P6">
            <v>2002</v>
          </cell>
          <cell r="Q6">
            <v>2003</v>
          </cell>
          <cell r="R6">
            <v>2004</v>
          </cell>
        </row>
        <row r="7">
          <cell r="N7" t="str">
            <v>MoF estimate</v>
          </cell>
          <cell r="P7" t="str">
            <v xml:space="preserve"> </v>
          </cell>
          <cell r="Q7" t="str">
            <v xml:space="preserve"> </v>
          </cell>
          <cell r="R7" t="str">
            <v xml:space="preserve"> </v>
          </cell>
        </row>
        <row r="8">
          <cell r="N8" t="str">
            <v>December</v>
          </cell>
        </row>
        <row r="9">
          <cell r="J9">
            <v>36465</v>
          </cell>
          <cell r="K9">
            <v>36465</v>
          </cell>
          <cell r="N9">
            <v>36465</v>
          </cell>
          <cell r="O9">
            <v>36465</v>
          </cell>
          <cell r="P9">
            <v>36465</v>
          </cell>
          <cell r="Q9">
            <v>36465</v>
          </cell>
          <cell r="R9">
            <v>36465</v>
          </cell>
        </row>
        <row r="12">
          <cell r="N12" t="str">
            <v>(percent of GDP)</v>
          </cell>
        </row>
        <row r="14">
          <cell r="B14" t="str">
            <v>TOTAL REVENUE</v>
          </cell>
          <cell r="G14">
            <v>440.96214500000002</v>
          </cell>
          <cell r="H14">
            <v>640.89461700000004</v>
          </cell>
          <cell r="I14">
            <v>803.560384</v>
          </cell>
          <cell r="J14">
            <v>958.18595700000003</v>
          </cell>
          <cell r="K14">
            <v>1091.815149</v>
          </cell>
          <cell r="N14">
            <v>42.292687440389066</v>
          </cell>
          <cell r="O14" t="e">
            <v>#REF!</v>
          </cell>
          <cell r="P14" t="e">
            <v>#REF!</v>
          </cell>
          <cell r="Q14" t="e">
            <v>#REF!</v>
          </cell>
          <cell r="R14" t="e">
            <v>#REF!</v>
          </cell>
        </row>
        <row r="15">
          <cell r="B15" t="str">
            <v xml:space="preserve">    Tax revenue</v>
          </cell>
          <cell r="G15">
            <v>412.07938000000001</v>
          </cell>
          <cell r="H15">
            <v>602.72928400000001</v>
          </cell>
          <cell r="I15">
            <v>772.78198299999997</v>
          </cell>
          <cell r="J15">
            <v>916.32753000000002</v>
          </cell>
          <cell r="K15">
            <v>1032.285488</v>
          </cell>
          <cell r="N15">
            <v>39.289039253860928</v>
          </cell>
          <cell r="O15" t="e">
            <v>#REF!</v>
          </cell>
          <cell r="P15" t="e">
            <v>#REF!</v>
          </cell>
          <cell r="Q15" t="e">
            <v>#REF!</v>
          </cell>
          <cell r="R15" t="e">
            <v>#REF!</v>
          </cell>
        </row>
        <row r="16">
          <cell r="C16" t="str">
            <v>Taxes on Income and Profits</v>
          </cell>
          <cell r="G16">
            <v>75.221118000000004</v>
          </cell>
          <cell r="H16">
            <v>104.769683</v>
          </cell>
          <cell r="I16">
            <v>140.82634200000001</v>
          </cell>
          <cell r="J16">
            <v>160.369674</v>
          </cell>
          <cell r="K16">
            <v>196.930286</v>
          </cell>
          <cell r="N16">
            <v>7.6485349654373351</v>
          </cell>
          <cell r="O16">
            <v>7.5796876341014041</v>
          </cell>
          <cell r="P16">
            <v>7.5597434976495359</v>
          </cell>
          <cell r="Q16">
            <v>7.5361619070912589</v>
          </cell>
          <cell r="R16">
            <v>7.5051487920894031</v>
          </cell>
        </row>
        <row r="17">
          <cell r="C17" t="str">
            <v>of which:</v>
          </cell>
          <cell r="D17" t="str">
            <v>Individual income tax</v>
          </cell>
          <cell r="N17">
            <v>6.3890539274095977</v>
          </cell>
          <cell r="O17">
            <v>6.2961283174296589</v>
          </cell>
          <cell r="P17">
            <v>6.2648042959499097</v>
          </cell>
          <cell r="Q17">
            <v>6.233636115373046</v>
          </cell>
          <cell r="R17">
            <v>6.2026230003711902</v>
          </cell>
        </row>
        <row r="18">
          <cell r="D18" t="str">
            <v>Corporate profit tax</v>
          </cell>
          <cell r="N18">
            <v>1.259481038027737</v>
          </cell>
          <cell r="O18">
            <v>1.2835593166717452</v>
          </cell>
          <cell r="P18">
            <v>1.2949392016996262</v>
          </cell>
          <cell r="Q18">
            <v>1.3025257917182129</v>
          </cell>
          <cell r="R18">
            <v>1.3025257917182129</v>
          </cell>
        </row>
        <row r="19">
          <cell r="C19" t="str">
            <v>Social Security Contributions</v>
          </cell>
          <cell r="G19">
            <v>189.611312</v>
          </cell>
          <cell r="H19">
            <v>274.82218599999999</v>
          </cell>
          <cell r="I19">
            <v>317.41732000000002</v>
          </cell>
          <cell r="J19">
            <v>362.99981300000002</v>
          </cell>
          <cell r="K19">
            <v>376.18419999999998</v>
          </cell>
          <cell r="N19">
            <v>13.466841259794657</v>
          </cell>
          <cell r="O19">
            <v>13.270972755194821</v>
          </cell>
          <cell r="P19">
            <v>13.204948015119227</v>
          </cell>
          <cell r="Q19">
            <v>13.139251756337542</v>
          </cell>
          <cell r="R19">
            <v>13.07388234461447</v>
          </cell>
        </row>
        <row r="20">
          <cell r="C20" t="str">
            <v xml:space="preserve">of which: </v>
          </cell>
          <cell r="D20" t="str">
            <v>Pension fund</v>
          </cell>
          <cell r="G20">
            <v>123.697</v>
          </cell>
          <cell r="H20">
            <v>192.816</v>
          </cell>
          <cell r="I20">
            <v>238.21199999999999</v>
          </cell>
          <cell r="J20">
            <v>282.61200000000002</v>
          </cell>
          <cell r="K20">
            <v>277.61799999999999</v>
          </cell>
          <cell r="N20">
            <v>8.6739453993372155</v>
          </cell>
        </row>
        <row r="21">
          <cell r="D21" t="str">
            <v>Health fund</v>
          </cell>
          <cell r="G21">
            <v>66.756</v>
          </cell>
          <cell r="H21">
            <v>85.97</v>
          </cell>
          <cell r="I21">
            <v>96.114000000000004</v>
          </cell>
          <cell r="J21">
            <v>114.008</v>
          </cell>
          <cell r="K21">
            <v>137.67599999999999</v>
          </cell>
          <cell r="N21">
            <v>4.6208167784592664</v>
          </cell>
        </row>
        <row r="22">
          <cell r="C22" t="str">
            <v>Domestic taxes on goods and services</v>
          </cell>
          <cell r="G22">
            <v>111.136363</v>
          </cell>
          <cell r="H22">
            <v>167.25313700000001</v>
          </cell>
          <cell r="I22">
            <v>240.01373599999999</v>
          </cell>
          <cell r="J22">
            <v>298.158613</v>
          </cell>
          <cell r="K22">
            <v>349.45069699999999</v>
          </cell>
          <cell r="N22">
            <v>14.873782187853813</v>
          </cell>
          <cell r="O22" t="e">
            <v>#REF!</v>
          </cell>
          <cell r="P22" t="e">
            <v>#REF!</v>
          </cell>
          <cell r="Q22" t="e">
            <v>#REF!</v>
          </cell>
          <cell r="R22" t="e">
            <v>#REF!</v>
          </cell>
        </row>
        <row r="23">
          <cell r="C23" t="str">
            <v>Taxes on international trade</v>
          </cell>
          <cell r="G23">
            <v>32.46002</v>
          </cell>
          <cell r="H23">
            <v>51.462902</v>
          </cell>
          <cell r="I23">
            <v>64.266930000000002</v>
          </cell>
          <cell r="J23">
            <v>78.176456000000002</v>
          </cell>
          <cell r="K23">
            <v>76.592528999999999</v>
          </cell>
          <cell r="N23">
            <v>0.93833520490034372</v>
          </cell>
          <cell r="O23">
            <v>1.1000000000000001</v>
          </cell>
          <cell r="P23">
            <v>1</v>
          </cell>
          <cell r="Q23">
            <v>1</v>
          </cell>
          <cell r="R23">
            <v>1</v>
          </cell>
        </row>
        <row r="24">
          <cell r="C24" t="str">
            <v>Payroll, property and other taxes</v>
          </cell>
          <cell r="G24">
            <v>3.6505670000000001</v>
          </cell>
          <cell r="H24">
            <v>4.4213760000000004</v>
          </cell>
          <cell r="I24">
            <v>10.257655</v>
          </cell>
          <cell r="J24">
            <v>16.622973999999999</v>
          </cell>
          <cell r="K24">
            <v>33.127775999999997</v>
          </cell>
          <cell r="N24">
            <v>2.3615456358747804</v>
          </cell>
          <cell r="O24">
            <v>2.3615456358747804</v>
          </cell>
          <cell r="P24">
            <v>2.3615456358747804</v>
          </cell>
          <cell r="Q24">
            <v>2.3615456358747804</v>
          </cell>
          <cell r="R24">
            <v>2.3615456358747804</v>
          </cell>
        </row>
        <row r="25">
          <cell r="B25" t="str">
            <v xml:space="preserve">    Nontax revenue</v>
          </cell>
          <cell r="G25">
            <v>27.062266999999999</v>
          </cell>
          <cell r="H25">
            <v>36.693831000000003</v>
          </cell>
          <cell r="I25">
            <v>29.184964000000001</v>
          </cell>
          <cell r="J25">
            <v>39.462023000000002</v>
          </cell>
          <cell r="K25">
            <v>56.731934000000003</v>
          </cell>
          <cell r="N25">
            <v>2.3269690569536619</v>
          </cell>
          <cell r="O25">
            <v>2.3269690569536619</v>
          </cell>
          <cell r="P25">
            <v>2.3269690569536619</v>
          </cell>
          <cell r="Q25">
            <v>2.3269690569536619</v>
          </cell>
          <cell r="R25">
            <v>2.3269690569536619</v>
          </cell>
        </row>
        <row r="26">
          <cell r="B26" t="str">
            <v xml:space="preserve">    Capital revenue</v>
          </cell>
          <cell r="G26">
            <v>1.8204979999999999</v>
          </cell>
          <cell r="H26">
            <v>1.4715020000000001</v>
          </cell>
          <cell r="I26">
            <v>1.5476430000000001</v>
          </cell>
          <cell r="J26">
            <v>1.823879</v>
          </cell>
          <cell r="K26">
            <v>1.7382690000000001</v>
          </cell>
          <cell r="N26">
            <v>0.14796060348303697</v>
          </cell>
          <cell r="O26">
            <v>0.14796060348303697</v>
          </cell>
          <cell r="P26">
            <v>0.14796060348303697</v>
          </cell>
          <cell r="Q26">
            <v>0.14796060348303697</v>
          </cell>
          <cell r="R26">
            <v>0.14796060348303697</v>
          </cell>
        </row>
        <row r="27">
          <cell r="B27" t="str">
            <v xml:space="preserve">    Other revenue</v>
          </cell>
          <cell r="G27">
            <v>0</v>
          </cell>
          <cell r="H27">
            <v>0</v>
          </cell>
          <cell r="I27">
            <v>4.5794000000000001E-2</v>
          </cell>
          <cell r="J27">
            <v>0.57252499999999995</v>
          </cell>
          <cell r="K27">
            <v>1.059458</v>
          </cell>
          <cell r="N27">
            <v>0.52871852609143999</v>
          </cell>
          <cell r="O27">
            <v>0.52871852609143999</v>
          </cell>
          <cell r="P27">
            <v>0.52871852609143999</v>
          </cell>
          <cell r="Q27">
            <v>0.52871852609143999</v>
          </cell>
          <cell r="R27">
            <v>0.52871852609143999</v>
          </cell>
        </row>
        <row r="29">
          <cell r="B29" t="str">
            <v>TOTAL EXPENDITURE</v>
          </cell>
          <cell r="G29">
            <v>428.52446800000001</v>
          </cell>
          <cell r="H29">
            <v>628.362753</v>
          </cell>
          <cell r="I29">
            <v>803.3546</v>
          </cell>
          <cell r="J29">
            <v>957.27311699999996</v>
          </cell>
          <cell r="K29">
            <v>1083.5855389999999</v>
          </cell>
          <cell r="N29">
            <v>43.593255073202492</v>
          </cell>
          <cell r="O29">
            <v>43.222880809526082</v>
          </cell>
          <cell r="P29" t="e">
            <v>#REF!</v>
          </cell>
          <cell r="Q29" t="e">
            <v>#REF!</v>
          </cell>
          <cell r="R29" t="e">
            <v>#REF!</v>
          </cell>
        </row>
        <row r="30">
          <cell r="B30" t="str">
            <v xml:space="preserve"> Current expenditure</v>
          </cell>
          <cell r="G30">
            <v>194.129727</v>
          </cell>
          <cell r="H30">
            <v>288.79020400000007</v>
          </cell>
          <cell r="I30">
            <v>352.89589599999999</v>
          </cell>
          <cell r="J30">
            <v>421.34788500000002</v>
          </cell>
          <cell r="K30">
            <v>486.94798400000002</v>
          </cell>
          <cell r="N30">
            <v>19.321840132693112</v>
          </cell>
          <cell r="O30">
            <v>18.951465869016705</v>
          </cell>
          <cell r="P30" t="e">
            <v>#REF!</v>
          </cell>
          <cell r="Q30" t="e">
            <v>#REF!</v>
          </cell>
          <cell r="R30" t="e">
            <v>#REF!</v>
          </cell>
        </row>
        <row r="31">
          <cell r="C31" t="str">
            <v>Salaries and wages</v>
          </cell>
          <cell r="G31">
            <v>90.055728999999999</v>
          </cell>
          <cell r="H31">
            <v>131.201717</v>
          </cell>
          <cell r="I31">
            <v>153.68315000000001</v>
          </cell>
          <cell r="J31">
            <v>193.68697600000002</v>
          </cell>
          <cell r="K31">
            <v>234.45200899999998</v>
          </cell>
          <cell r="N31">
            <v>9.5210435401256461</v>
          </cell>
          <cell r="O31">
            <v>9.3825646998053163</v>
          </cell>
          <cell r="P31">
            <v>9.3358852734381266</v>
          </cell>
          <cell r="Q31">
            <v>9.289438083023013</v>
          </cell>
          <cell r="R31">
            <v>9.2432219731572278</v>
          </cell>
        </row>
        <row r="32">
          <cell r="C32" t="str">
            <v>Central and local governments</v>
          </cell>
          <cell r="G32">
            <v>28.203444999999999</v>
          </cell>
          <cell r="H32">
            <v>57.758754000000003</v>
          </cell>
          <cell r="I32">
            <v>61.069495000000003</v>
          </cell>
          <cell r="J32">
            <v>66.825976999999995</v>
          </cell>
          <cell r="K32">
            <v>81.983445000000003</v>
          </cell>
          <cell r="N32">
            <v>3.2190680338469306</v>
          </cell>
        </row>
        <row r="33">
          <cell r="C33" t="str">
            <v>Other public institutions</v>
          </cell>
          <cell r="G33">
            <v>61.852283999999997</v>
          </cell>
          <cell r="H33">
            <v>73.442963000000006</v>
          </cell>
          <cell r="I33">
            <v>92.613654999999994</v>
          </cell>
          <cell r="J33">
            <v>126.86099900000001</v>
          </cell>
          <cell r="K33">
            <v>152.46856399999999</v>
          </cell>
          <cell r="N33">
            <v>6.3019755062787164</v>
          </cell>
        </row>
        <row r="34">
          <cell r="C34" t="str">
            <v>Expenditures on goods and services</v>
          </cell>
          <cell r="G34">
            <v>96.976861</v>
          </cell>
          <cell r="H34">
            <v>137.47432800000001</v>
          </cell>
          <cell r="I34">
            <v>171.28947500000001</v>
          </cell>
          <cell r="J34">
            <v>200.83797900000002</v>
          </cell>
          <cell r="K34">
            <v>219.591657</v>
          </cell>
          <cell r="N34">
            <v>8.0211990148351671</v>
          </cell>
          <cell r="O34">
            <v>8.0211990148351671</v>
          </cell>
          <cell r="P34">
            <v>8.0211990148351671</v>
          </cell>
          <cell r="Q34">
            <v>8.0211990148351671</v>
          </cell>
          <cell r="R34">
            <v>8.0211990148351671</v>
          </cell>
        </row>
        <row r="35">
          <cell r="C35" t="str">
            <v>Central and local governments</v>
          </cell>
          <cell r="G35">
            <v>39.248182</v>
          </cell>
          <cell r="H35">
            <v>49.942731000000002</v>
          </cell>
          <cell r="I35">
            <v>62.231974000000001</v>
          </cell>
          <cell r="J35">
            <v>76.102281000000005</v>
          </cell>
          <cell r="K35">
            <v>77.928461999999996</v>
          </cell>
          <cell r="N35">
            <v>3.5628566896574543</v>
          </cell>
          <cell r="O35">
            <v>3.5628566896574543</v>
          </cell>
          <cell r="P35">
            <v>3.5628566896574543</v>
          </cell>
          <cell r="Q35">
            <v>3.5628566896574543</v>
          </cell>
          <cell r="R35">
            <v>3.5628566896574543</v>
          </cell>
        </row>
        <row r="36">
          <cell r="C36" t="str">
            <v>Other public institutions</v>
          </cell>
          <cell r="G36">
            <v>57.728679</v>
          </cell>
          <cell r="H36">
            <v>87.531597000000005</v>
          </cell>
          <cell r="I36">
            <v>109.057501</v>
          </cell>
          <cell r="J36">
            <v>124.735698</v>
          </cell>
          <cell r="K36">
            <v>141.663195</v>
          </cell>
          <cell r="N36">
            <v>4.4583423251777123</v>
          </cell>
          <cell r="O36">
            <v>4.4583423251777123</v>
          </cell>
          <cell r="P36">
            <v>4.4583423251777123</v>
          </cell>
          <cell r="Q36">
            <v>4.4583423251777123</v>
          </cell>
          <cell r="R36">
            <v>4.4583423251777123</v>
          </cell>
        </row>
        <row r="37">
          <cell r="C37" t="str">
            <v>Interest Payments</v>
          </cell>
          <cell r="G37">
            <v>5.0294889999999999</v>
          </cell>
          <cell r="H37">
            <v>18.057379999999998</v>
          </cell>
          <cell r="I37">
            <v>26.908200000000001</v>
          </cell>
          <cell r="J37">
            <v>25.597857000000001</v>
          </cell>
          <cell r="K37">
            <v>31.121320000000001</v>
          </cell>
          <cell r="N37">
            <v>1.5074645842168377</v>
          </cell>
          <cell r="O37">
            <v>1.2755691608607593</v>
          </cell>
          <cell r="P37" t="e">
            <v>#REF!</v>
          </cell>
          <cell r="Q37" t="e">
            <v>#REF!</v>
          </cell>
          <cell r="R37" t="e">
            <v>#REF!</v>
          </cell>
        </row>
        <row r="38">
          <cell r="C38" t="str">
            <v>Reserves</v>
          </cell>
          <cell r="G38">
            <v>2.0676480000000002</v>
          </cell>
          <cell r="H38">
            <v>2.0567790000000001</v>
          </cell>
          <cell r="I38">
            <v>1.0150710000000001</v>
          </cell>
          <cell r="J38">
            <v>1.2250730000000001</v>
          </cell>
          <cell r="K38">
            <v>1.7829980000000001</v>
          </cell>
          <cell r="N38">
            <v>0.27213299351546388</v>
          </cell>
          <cell r="O38">
            <v>0.27213299351546388</v>
          </cell>
          <cell r="P38">
            <v>0.27213299351546388</v>
          </cell>
          <cell r="Q38">
            <v>0.27213299351546388</v>
          </cell>
          <cell r="R38">
            <v>0.27213299351546388</v>
          </cell>
        </row>
        <row r="39">
          <cell r="B39" t="str">
            <v>Current transfers (old)</v>
          </cell>
          <cell r="G39">
            <v>319.277669</v>
          </cell>
          <cell r="H39">
            <v>450.60153300000002</v>
          </cell>
          <cell r="I39">
            <v>571.89810999999997</v>
          </cell>
          <cell r="J39">
            <v>694.21827199999996</v>
          </cell>
          <cell r="K39">
            <v>783.39039500000001</v>
          </cell>
          <cell r="N39">
            <v>27.071628437192853</v>
          </cell>
        </row>
        <row r="40">
          <cell r="B40" t="str">
            <v xml:space="preserve">Current transfers </v>
          </cell>
          <cell r="G40">
            <v>199.69670600000001</v>
          </cell>
          <cell r="H40">
            <v>289.62697300000002</v>
          </cell>
          <cell r="I40">
            <v>370.22695400000003</v>
          </cell>
          <cell r="J40">
            <v>441.81222303643335</v>
          </cell>
          <cell r="K40">
            <v>488.53927302815106</v>
          </cell>
          <cell r="N40">
            <v>19.892001761344957</v>
          </cell>
          <cell r="O40">
            <v>19.892001761344957</v>
          </cell>
          <cell r="P40">
            <v>19.892001761344957</v>
          </cell>
          <cell r="Q40">
            <v>19.892001761344957</v>
          </cell>
          <cell r="R40">
            <v>19.892001761344957</v>
          </cell>
        </row>
        <row r="41">
          <cell r="C41" t="str">
            <v xml:space="preserve">of which:      </v>
          </cell>
          <cell r="D41" t="str">
            <v>Subsidies</v>
          </cell>
          <cell r="G41">
            <v>29.783621</v>
          </cell>
          <cell r="H41">
            <v>37.574637000000003</v>
          </cell>
          <cell r="I41">
            <v>36.153944000000003</v>
          </cell>
          <cell r="J41">
            <v>41.746823999999997</v>
          </cell>
          <cell r="K41">
            <v>34.546824999999998</v>
          </cell>
          <cell r="N41">
            <v>1.3729615859106532</v>
          </cell>
          <cell r="O41">
            <v>1.3729615859106532</v>
          </cell>
          <cell r="P41">
            <v>1.3729615859106532</v>
          </cell>
          <cell r="Q41">
            <v>1.3729615859106532</v>
          </cell>
          <cell r="R41">
            <v>1.3729615859106532</v>
          </cell>
        </row>
        <row r="42">
          <cell r="D42" t="str">
            <v>Transfers to households</v>
          </cell>
          <cell r="G42">
            <v>167.835703</v>
          </cell>
          <cell r="H42">
            <v>246.81121999999999</v>
          </cell>
          <cell r="I42">
            <v>327.36340899999999</v>
          </cell>
          <cell r="J42">
            <v>391.78452600000003</v>
          </cell>
          <cell r="K42">
            <v>444.18384500000002</v>
          </cell>
          <cell r="N42">
            <v>17.818772944137301</v>
          </cell>
          <cell r="O42">
            <v>17.818772944137301</v>
          </cell>
          <cell r="P42">
            <v>17.818772944137301</v>
          </cell>
          <cell r="Q42">
            <v>17.818772944137301</v>
          </cell>
          <cell r="R42">
            <v>17.818772944137301</v>
          </cell>
        </row>
        <row r="43">
          <cell r="D43" t="str">
            <v>of which:</v>
          </cell>
          <cell r="E43" t="str">
            <v>pension</v>
          </cell>
          <cell r="N43">
            <v>12.027519901873834</v>
          </cell>
        </row>
        <row r="44">
          <cell r="E44" t="str">
            <v>health</v>
          </cell>
          <cell r="N44">
            <v>0.5417113824405988</v>
          </cell>
        </row>
        <row r="45">
          <cell r="E45" t="str">
            <v>other</v>
          </cell>
          <cell r="N45">
            <v>5.2495416598228681</v>
          </cell>
        </row>
        <row r="46">
          <cell r="D46" t="str">
            <v>Other transfers</v>
          </cell>
          <cell r="N46">
            <v>0.70026723129700563</v>
          </cell>
          <cell r="O46">
            <v>0.70026723129700563</v>
          </cell>
          <cell r="P46">
            <v>0.70026723129700563</v>
          </cell>
          <cell r="Q46">
            <v>0.70026723129700563</v>
          </cell>
          <cell r="R46">
            <v>0.70026723129700563</v>
          </cell>
        </row>
        <row r="47">
          <cell r="B47" t="str">
            <v>Capital expenditure</v>
          </cell>
          <cell r="G47">
            <v>26.371621000000001</v>
          </cell>
          <cell r="H47">
            <v>40.418894999999999</v>
          </cell>
          <cell r="I47">
            <v>50.292402000000003</v>
          </cell>
          <cell r="J47">
            <v>57.376116000000003</v>
          </cell>
          <cell r="K47">
            <v>63.642853000000002</v>
          </cell>
          <cell r="N47">
            <v>2.9510384934739813</v>
          </cell>
          <cell r="O47">
            <v>2.9510384934739813</v>
          </cell>
          <cell r="P47">
            <v>2.9510384934739813</v>
          </cell>
          <cell r="Q47">
            <v>2.9510384934739813</v>
          </cell>
          <cell r="R47">
            <v>2.9510384934739813</v>
          </cell>
        </row>
        <row r="48">
          <cell r="B48" t="str">
            <v>Capital transfers</v>
          </cell>
          <cell r="G48">
            <v>8.3264139999999998</v>
          </cell>
          <cell r="H48">
            <v>9.526681</v>
          </cell>
          <cell r="I48">
            <v>29.939347999999999</v>
          </cell>
          <cell r="J48">
            <v>35.92754</v>
          </cell>
          <cell r="K48">
            <v>43.736066000000001</v>
          </cell>
          <cell r="N48">
            <v>1.428374685690442</v>
          </cell>
          <cell r="O48">
            <v>1.428374685690442</v>
          </cell>
          <cell r="P48">
            <v>1.428374685690442</v>
          </cell>
          <cell r="Q48">
            <v>1.428374685690442</v>
          </cell>
          <cell r="R48">
            <v>1.428374685690442</v>
          </cell>
        </row>
        <row r="50">
          <cell r="B50" t="str">
            <v>GENERAL SURPLUS/DEFICIT (authorities) 1/</v>
          </cell>
          <cell r="G50">
            <v>12.437677000000008</v>
          </cell>
          <cell r="H50">
            <v>12.531864000000041</v>
          </cell>
          <cell r="I50">
            <v>0.20578399999999419</v>
          </cell>
          <cell r="J50">
            <v>0.91284000000007381</v>
          </cell>
          <cell r="K50">
            <v>8.2296100000000934</v>
          </cell>
          <cell r="N50">
            <v>-1.3005676328134292</v>
          </cell>
          <cell r="O50" t="e">
            <v>#REF!</v>
          </cell>
          <cell r="P50" t="e">
            <v>#REF!</v>
          </cell>
          <cell r="Q50" t="e">
            <v>#REF!</v>
          </cell>
          <cell r="R50" t="e">
            <v>#REF!</v>
          </cell>
        </row>
        <row r="52">
          <cell r="B52" t="str">
            <v>Lending minus repayments</v>
          </cell>
          <cell r="G52">
            <v>-9.2984050000000007</v>
          </cell>
          <cell r="H52">
            <v>-4.0443740000000004</v>
          </cell>
          <cell r="I52">
            <v>-4.1670169999999995</v>
          </cell>
          <cell r="J52">
            <v>2.2682459999999995</v>
          </cell>
          <cell r="K52">
            <v>-2.8513809999999999</v>
          </cell>
          <cell r="N52">
            <v>0.13286792096588743</v>
          </cell>
          <cell r="O52">
            <v>0</v>
          </cell>
          <cell r="P52">
            <v>0</v>
          </cell>
          <cell r="Q52">
            <v>0</v>
          </cell>
          <cell r="R52">
            <v>0</v>
          </cell>
        </row>
        <row r="53">
          <cell r="B53" t="str">
            <v>Net Lending</v>
          </cell>
          <cell r="G53">
            <v>9.2984050000000007</v>
          </cell>
          <cell r="H53">
            <v>4.0443740000000004</v>
          </cell>
          <cell r="I53">
            <v>4.1670169999999995</v>
          </cell>
          <cell r="J53">
            <v>6.2872979999999998</v>
          </cell>
          <cell r="K53">
            <v>13.212266</v>
          </cell>
          <cell r="N53">
            <v>-4.2517055223882952E-2</v>
          </cell>
        </row>
        <row r="54">
          <cell r="B54" t="str">
            <v>Revenues from privatization  2/</v>
          </cell>
          <cell r="G54">
            <v>0</v>
          </cell>
          <cell r="H54">
            <v>0</v>
          </cell>
          <cell r="I54">
            <v>0</v>
          </cell>
          <cell r="J54">
            <v>8.5555439999999994</v>
          </cell>
          <cell r="K54">
            <v>10.360885</v>
          </cell>
          <cell r="N54">
            <v>9.035086574200446E-2</v>
          </cell>
        </row>
        <row r="56">
          <cell r="B56" t="str">
            <v>OVERALL SURPLUS/DEFICIT (authorities)</v>
          </cell>
          <cell r="G56">
            <v>3.1392720000000072</v>
          </cell>
          <cell r="H56">
            <v>8.4874900000000402</v>
          </cell>
          <cell r="I56">
            <v>-3.9612330000000053</v>
          </cell>
          <cell r="J56">
            <v>3.1810860000000734</v>
          </cell>
          <cell r="K56">
            <v>5.3782290000000934</v>
          </cell>
          <cell r="N56">
            <v>-1.3005676328134292</v>
          </cell>
          <cell r="O56" t="e">
            <v>#REF!</v>
          </cell>
          <cell r="P56" t="e">
            <v>#REF!</v>
          </cell>
          <cell r="Q56" t="e">
            <v>#REF!</v>
          </cell>
          <cell r="R56" t="e">
            <v>#REF!</v>
          </cell>
        </row>
        <row r="58">
          <cell r="B58" t="str">
            <v>FINANCING (NET) 3/</v>
          </cell>
          <cell r="G58">
            <v>-3.1392720000000001</v>
          </cell>
          <cell r="H58">
            <v>-8.4874900000000011</v>
          </cell>
          <cell r="I58">
            <v>3.961233</v>
          </cell>
          <cell r="J58">
            <v>-3.1810859999999992</v>
          </cell>
          <cell r="K58">
            <v>-5.3782289999999993</v>
          </cell>
          <cell r="N58">
            <v>1.3005676328134292</v>
          </cell>
          <cell r="O58" t="e">
            <v>#REF!</v>
          </cell>
          <cell r="P58" t="e">
            <v>#REF!</v>
          </cell>
          <cell r="Q58" t="e">
            <v>#REF!</v>
          </cell>
          <cell r="R58" t="e">
            <v>#REF!</v>
          </cell>
        </row>
        <row r="59">
          <cell r="B59" t="str">
            <v>Total borrowing</v>
          </cell>
          <cell r="G59">
            <v>-2.1650520000000002</v>
          </cell>
          <cell r="H59">
            <v>5.9036829999999991</v>
          </cell>
          <cell r="I59">
            <v>-1.9670079999999999</v>
          </cell>
          <cell r="J59">
            <v>-5.4795459999999991</v>
          </cell>
          <cell r="K59">
            <v>11.167202000000001</v>
          </cell>
          <cell r="N59">
            <v>1.3005676328134292</v>
          </cell>
          <cell r="O59" t="e">
            <v>#REF!</v>
          </cell>
          <cell r="P59" t="e">
            <v>#REF!</v>
          </cell>
          <cell r="Q59" t="e">
            <v>#REF!</v>
          </cell>
          <cell r="R59" t="e">
            <v>#REF!</v>
          </cell>
        </row>
        <row r="60">
          <cell r="C60" t="str">
            <v>Foreign borrowing (net)</v>
          </cell>
          <cell r="G60">
            <v>0.84380000000000033</v>
          </cell>
          <cell r="H60">
            <v>8.4752549999999989</v>
          </cell>
          <cell r="I60">
            <v>5.5618669999999995</v>
          </cell>
          <cell r="J60">
            <v>6.2749729999999992</v>
          </cell>
          <cell r="K60">
            <v>23.100342000000001</v>
          </cell>
          <cell r="N60">
            <v>0.55924408210977461</v>
          </cell>
          <cell r="O60" t="e">
            <v>#REF!</v>
          </cell>
          <cell r="P60" t="e">
            <v>#REF!</v>
          </cell>
          <cell r="Q60" t="e">
            <v>#REF!</v>
          </cell>
          <cell r="R60" t="e">
            <v>#REF!</v>
          </cell>
        </row>
        <row r="61">
          <cell r="C61" t="str">
            <v>Domestic borrowing (net)</v>
          </cell>
          <cell r="G61">
            <v>-3.0088520000000005</v>
          </cell>
          <cell r="H61">
            <v>-2.5715719999999997</v>
          </cell>
          <cell r="I61">
            <v>-7.5288749999999993</v>
          </cell>
          <cell r="J61">
            <v>-11.754518999999998</v>
          </cell>
          <cell r="K61">
            <v>-11.93314</v>
          </cell>
          <cell r="N61">
            <v>0.74132355070365463</v>
          </cell>
          <cell r="O61" t="e">
            <v>#REF!</v>
          </cell>
          <cell r="P61" t="e">
            <v>#REF!</v>
          </cell>
          <cell r="Q61" t="e">
            <v>#REF!</v>
          </cell>
          <cell r="R61" t="e">
            <v>#REF!</v>
          </cell>
        </row>
        <row r="62">
          <cell r="B62" t="str">
            <v>Changes in cash deposits (increase = +)</v>
          </cell>
          <cell r="G62">
            <v>0.97421999999999997</v>
          </cell>
          <cell r="H62">
            <v>14.391173</v>
          </cell>
          <cell r="I62">
            <v>-5.9282409999999999</v>
          </cell>
          <cell r="J62">
            <v>-2.2984599999999999</v>
          </cell>
          <cell r="K62">
            <v>16.545431000000001</v>
          </cell>
          <cell r="N62">
            <v>0</v>
          </cell>
          <cell r="O62" t="e">
            <v>#REF!</v>
          </cell>
          <cell r="P62" t="e">
            <v>#REF!</v>
          </cell>
          <cell r="Q62" t="e">
            <v>#REF!</v>
          </cell>
          <cell r="R62" t="e">
            <v>#REF!</v>
          </cell>
        </row>
        <row r="64">
          <cell r="B64" t="str">
            <v>Memorandum items</v>
          </cell>
        </row>
        <row r="65">
          <cell r="B65" t="str">
            <v>Surplus/Deficit (priv. receipts as financing)</v>
          </cell>
          <cell r="G65">
            <v>3.1392720000000072</v>
          </cell>
          <cell r="H65">
            <v>8.4874900000000402</v>
          </cell>
          <cell r="I65">
            <v>-3.9612330000000053</v>
          </cell>
          <cell r="J65">
            <v>-5.374457999999926</v>
          </cell>
          <cell r="K65">
            <v>-4.9826559999999063</v>
          </cell>
          <cell r="N65">
            <v>-1.2197111309848603</v>
          </cell>
        </row>
        <row r="66">
          <cell r="B66" t="str">
            <v>Nominal GDP</v>
          </cell>
          <cell r="N66">
            <v>4156.0874020206065</v>
          </cell>
        </row>
        <row r="71">
          <cell r="B71" t="str">
            <v>Nominal GDP, SIT billions</v>
          </cell>
          <cell r="L71">
            <v>3253.7509999999997</v>
          </cell>
          <cell r="M71">
            <v>3637.4369999999999</v>
          </cell>
          <cell r="N71">
            <v>4149.3244154174999</v>
          </cell>
          <cell r="O71">
            <v>4639.5670950990771</v>
          </cell>
          <cell r="P71">
            <v>5115.0067331693544</v>
          </cell>
          <cell r="Q71">
            <v>5580.3598157396355</v>
          </cell>
          <cell r="R71">
            <v>6047.1290125271762</v>
          </cell>
        </row>
        <row r="74">
          <cell r="B74" t="str">
            <v>General government debt, % of GDP</v>
          </cell>
          <cell r="L74">
            <v>24.6</v>
          </cell>
          <cell r="M74">
            <v>25.8</v>
          </cell>
          <cell r="N74">
            <v>23.457707416219549</v>
          </cell>
          <cell r="O74" t="e">
            <v>#REF!</v>
          </cell>
          <cell r="P74" t="e">
            <v>#REF!</v>
          </cell>
          <cell r="Q74" t="e">
            <v>#REF!</v>
          </cell>
          <cell r="R74" t="e">
            <v>#REF!</v>
          </cell>
        </row>
        <row r="75">
          <cell r="B75" t="str">
            <v>Foreign debt, % of total debt</v>
          </cell>
          <cell r="L75">
            <v>38.1431334622824</v>
          </cell>
          <cell r="M75">
            <v>43.996701361802657</v>
          </cell>
          <cell r="N75">
            <v>45.209083988640657</v>
          </cell>
          <cell r="O75" t="e">
            <v>#REF!</v>
          </cell>
          <cell r="P75" t="e">
            <v>#REF!</v>
          </cell>
          <cell r="Q75" t="e">
            <v>#REF!</v>
          </cell>
          <cell r="R75" t="e">
            <v>#REF!</v>
          </cell>
        </row>
        <row r="76">
          <cell r="B76" t="str">
            <v>Domestic debt, % of total debt</v>
          </cell>
          <cell r="L76">
            <v>61.8568665377176</v>
          </cell>
          <cell r="M76">
            <v>56.003298638197343</v>
          </cell>
          <cell r="N76">
            <v>54.79091601135935</v>
          </cell>
          <cell r="O76" t="e">
            <v>#REF!</v>
          </cell>
          <cell r="P76" t="e">
            <v>#REF!</v>
          </cell>
          <cell r="Q76" t="e">
            <v>#REF!</v>
          </cell>
          <cell r="R76" t="e">
            <v>#REF!</v>
          </cell>
        </row>
        <row r="77">
          <cell r="B77" t="str">
            <v xml:space="preserve">General gov't debt stock, SIT billions </v>
          </cell>
          <cell r="L77">
            <v>775.5</v>
          </cell>
          <cell r="M77">
            <v>897.34</v>
          </cell>
          <cell r="N77">
            <v>973.33638111839923</v>
          </cell>
          <cell r="O77" t="e">
            <v>#REF!</v>
          </cell>
          <cell r="P77" t="e">
            <v>#REF!</v>
          </cell>
          <cell r="Q77" t="e">
            <v>#REF!</v>
          </cell>
          <cell r="R77" t="e">
            <v>#REF!</v>
          </cell>
        </row>
        <row r="78">
          <cell r="C78" t="str">
            <v>of which</v>
          </cell>
          <cell r="D78" t="str">
            <v>foreign</v>
          </cell>
          <cell r="L78">
            <v>295.8</v>
          </cell>
          <cell r="M78">
            <v>394.8</v>
          </cell>
          <cell r="N78">
            <v>440.03646203181262</v>
          </cell>
          <cell r="O78" t="e">
            <v>#REF!</v>
          </cell>
          <cell r="P78" t="e">
            <v>#REF!</v>
          </cell>
          <cell r="Q78" t="e">
            <v>#REF!</v>
          </cell>
          <cell r="R78" t="e">
            <v>#REF!</v>
          </cell>
        </row>
        <row r="79">
          <cell r="D79" t="str">
            <v>domestic</v>
          </cell>
          <cell r="L79">
            <v>479.7</v>
          </cell>
          <cell r="M79">
            <v>502.54</v>
          </cell>
          <cell r="N79">
            <v>533.29991908658667</v>
          </cell>
          <cell r="O79" t="e">
            <v>#REF!</v>
          </cell>
          <cell r="P79" t="e">
            <v>#REF!</v>
          </cell>
          <cell r="Q79" t="e">
            <v>#REF!</v>
          </cell>
          <cell r="R79" t="e">
            <v>#REF!</v>
          </cell>
        </row>
        <row r="80">
          <cell r="B80" t="str">
            <v>Interest payments, SIT billion</v>
          </cell>
          <cell r="N80">
            <v>59.175900454015611</v>
          </cell>
          <cell r="O80">
            <v>59.180887062527205</v>
          </cell>
          <cell r="P80" t="e">
            <v>#REF!</v>
          </cell>
          <cell r="Q80" t="e">
            <v>#REF!</v>
          </cell>
          <cell r="R80" t="e">
            <v>#REF!</v>
          </cell>
        </row>
        <row r="81">
          <cell r="C81" t="str">
            <v>of which</v>
          </cell>
          <cell r="D81" t="str">
            <v>foreign</v>
          </cell>
          <cell r="N81">
            <v>26.017781999999997</v>
          </cell>
          <cell r="O81">
            <v>26.996236945651699</v>
          </cell>
          <cell r="P81" t="e">
            <v>#REF!</v>
          </cell>
          <cell r="Q81" t="e">
            <v>#REF!</v>
          </cell>
          <cell r="R81" t="e">
            <v>#REF!</v>
          </cell>
        </row>
        <row r="82">
          <cell r="D82" t="str">
            <v>domestic</v>
          </cell>
          <cell r="N82">
            <v>33.158118454015614</v>
          </cell>
          <cell r="O82">
            <v>32.184650116875503</v>
          </cell>
          <cell r="P82" t="e">
            <v>#REF!</v>
          </cell>
          <cell r="Q82" t="e">
            <v>#REF!</v>
          </cell>
          <cell r="R82" t="e">
            <v>#REF!</v>
          </cell>
        </row>
        <row r="83">
          <cell r="B83" t="str">
            <v>Nominal wage bill, % of GDP</v>
          </cell>
          <cell r="L83">
            <v>45.565185321777605</v>
          </cell>
          <cell r="M83">
            <v>45.257601583548691</v>
          </cell>
          <cell r="N83">
            <v>44.825548107810754</v>
          </cell>
          <cell r="O83">
            <v>44.173582817185597</v>
          </cell>
          <cell r="P83">
            <v>43.95381374844338</v>
          </cell>
          <cell r="Q83">
            <v>43.735138058152629</v>
          </cell>
          <cell r="R83">
            <v>43.517550306619533</v>
          </cell>
        </row>
        <row r="84">
          <cell r="B84" t="str">
            <v>Net operating surplus (profit), % of GDP</v>
          </cell>
          <cell r="L84">
            <v>6</v>
          </cell>
          <cell r="M84">
            <v>6.3</v>
          </cell>
          <cell r="N84">
            <v>6.2121371741570908</v>
          </cell>
          <cell r="O84">
            <v>6.3308984459332693</v>
          </cell>
          <cell r="P84">
            <v>6.3870274424682503</v>
          </cell>
          <cell r="Q84">
            <v>6.4244467734915682</v>
          </cell>
          <cell r="R84">
            <v>6.4244467734915682</v>
          </cell>
        </row>
        <row r="85">
          <cell r="B85" t="str">
            <v>Percentage of GDP not related to wages</v>
          </cell>
          <cell r="L85">
            <v>54.434814678222395</v>
          </cell>
          <cell r="M85">
            <v>54.742398416451309</v>
          </cell>
          <cell r="N85">
            <v>55.174451892189246</v>
          </cell>
          <cell r="O85">
            <v>55.826417182814403</v>
          </cell>
          <cell r="P85">
            <v>56.04618625155662</v>
          </cell>
          <cell r="Q85">
            <v>56.264861941847371</v>
          </cell>
          <cell r="R85">
            <v>56.482449693380467</v>
          </cell>
        </row>
        <row r="86">
          <cell r="B86" t="str">
            <v>Nominal GDP not related to wages, SIT bn</v>
          </cell>
          <cell r="L86">
            <v>1771.1733269408078</v>
          </cell>
          <cell r="M86">
            <v>1991.2202546874139</v>
          </cell>
          <cell r="N86">
            <v>2289.3670034353913</v>
          </cell>
          <cell r="O86">
            <v>2590.1040819865943</v>
          </cell>
          <cell r="P86">
            <v>2866.7662004517583</v>
          </cell>
          <cell r="Q86">
            <v>3139.7817461842346</v>
          </cell>
          <cell r="R86">
            <v>3415.5666023944773</v>
          </cell>
        </row>
        <row r="87">
          <cell r="B87" t="str">
            <v>POLICY VARIABLES</v>
          </cell>
        </row>
        <row r="88">
          <cell r="B88" t="str">
            <v>Implicit tax rate on wages</v>
          </cell>
          <cell r="N88">
            <v>44.295933960357772</v>
          </cell>
          <cell r="O88">
            <v>44.295933960357772</v>
          </cell>
          <cell r="P88">
            <v>44.295933960357772</v>
          </cell>
          <cell r="Q88">
            <v>44.295933960357772</v>
          </cell>
          <cell r="R88">
            <v>44.295933960357772</v>
          </cell>
        </row>
        <row r="89">
          <cell r="C89" t="str">
            <v>of which:</v>
          </cell>
          <cell r="D89" t="str">
            <v>Soc. Security</v>
          </cell>
          <cell r="N89">
            <v>30.042781021673864</v>
          </cell>
          <cell r="O89">
            <v>30.042781021673864</v>
          </cell>
          <cell r="P89">
            <v>30.042781021673864</v>
          </cell>
          <cell r="Q89">
            <v>30.042781021673864</v>
          </cell>
          <cell r="R89">
            <v>30.042781021673864</v>
          </cell>
        </row>
        <row r="90">
          <cell r="D90" t="str">
            <v>income tax</v>
          </cell>
          <cell r="N90">
            <v>14.253152938683908</v>
          </cell>
          <cell r="O90">
            <v>14.253152938683908</v>
          </cell>
          <cell r="P90">
            <v>14.253152938683908</v>
          </cell>
          <cell r="Q90">
            <v>14.253152938683908</v>
          </cell>
          <cell r="R90">
            <v>14.253152938683908</v>
          </cell>
        </row>
        <row r="91">
          <cell r="B91" t="str">
            <v>Implicit tax rate on profits</v>
          </cell>
          <cell r="N91">
            <v>20.274520711926051</v>
          </cell>
          <cell r="O91">
            <v>20.274520711926051</v>
          </cell>
          <cell r="P91">
            <v>20.274520711926051</v>
          </cell>
          <cell r="Q91">
            <v>20.274520711926051</v>
          </cell>
          <cell r="R91">
            <v>20.274520711926051</v>
          </cell>
        </row>
        <row r="94">
          <cell r="B94" t="str">
            <v>Consolidation items</v>
          </cell>
        </row>
        <row r="95">
          <cell r="C95" t="str">
            <v>State to Pension Fund</v>
          </cell>
          <cell r="N95">
            <v>3.8387211094747178</v>
          </cell>
        </row>
        <row r="96">
          <cell r="C96" t="str">
            <v>State to Health Fund</v>
          </cell>
          <cell r="N96">
            <v>4.4240622366470306E-2</v>
          </cell>
        </row>
        <row r="97">
          <cell r="C97" t="str">
            <v>Local to Pension Fund</v>
          </cell>
          <cell r="N97">
            <v>0</v>
          </cell>
        </row>
        <row r="98">
          <cell r="C98" t="str">
            <v>Local to Health Fund</v>
          </cell>
          <cell r="N98">
            <v>5.1744893267550322E-2</v>
          </cell>
        </row>
        <row r="99">
          <cell r="C99" t="str">
            <v>Pension to health</v>
          </cell>
          <cell r="N99">
            <v>1.0887466930051199</v>
          </cell>
        </row>
        <row r="101">
          <cell r="B101" t="str">
            <v xml:space="preserve">   Source:  Ministry of Finance of the Republic of Slovenia, and staff estimates.</v>
          </cell>
        </row>
        <row r="103">
          <cell r="B103" t="str">
            <v>1/  Revenue minus expenditure.</v>
          </cell>
        </row>
        <row r="104">
          <cell r="B104" t="str">
            <v xml:space="preserve">2/  Privatization revenues consist in receipts from the sale of socially-owned capital (accounted for in repayment of loans </v>
          </cell>
        </row>
        <row r="105">
          <cell r="B105" t="str">
            <v xml:space="preserve">     and sale of equity in the authorities' accounts).</v>
          </cell>
        </row>
        <row r="106">
          <cell r="B106" t="str">
            <v>3/  Including net lending and privatization receipts.</v>
          </cell>
        </row>
      </sheetData>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 CNB, seigniorage"/>
      <sheetName val="Input MS, NFA"/>
      <sheetName val="MS"/>
      <sheetName val="BaseMoney"/>
      <sheetName val="BaseGrowth"/>
      <sheetName val="Indicators"/>
      <sheetName val="Quarter"/>
      <sheetName val="Interest"/>
      <sheetName val="EDSS data"/>
      <sheetName val="Int Chts SR99"/>
      <sheetName val="PRIBOR Yield Curve"/>
      <sheetName val="deposit growth"/>
      <sheetName val="credit growth"/>
      <sheetName val="real rates"/>
      <sheetName val="interest differential"/>
      <sheetName val="Inflation"/>
      <sheetName val="R and inflation"/>
      <sheetName val="intermediation"/>
      <sheetName val="NFA, const XR"/>
      <sheetName val="Chart2"/>
      <sheetName val="Chart6"/>
      <sheetName val="Chart7"/>
      <sheetName val="NFA banks"/>
      <sheetName val="Forex--banks"/>
      <sheetName val="Sterilization"/>
      <sheetName val="Monthly sterilization"/>
      <sheetName val="M2 growth"/>
      <sheetName val="M2 components"/>
      <sheetName val="M2-contr"/>
      <sheetName val="Base-contributions"/>
      <sheetName val="Forex dep &amp; cred"/>
      <sheetName val="Velo"/>
      <sheetName val="real int. rates"/>
      <sheetName val="Yield"/>
      <sheetName val="Month"/>
      <sheetName val="AREMOSchart"/>
      <sheetName val="DataShare"/>
      <sheetName val="tech_prac"/>
      <sheetName val="projections"/>
      <sheetName val="output"/>
      <sheetName val="NOVA legislativ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 val="Index"/>
      <sheetName val="projections"/>
    </sheetNames>
    <sheetDataSet>
      <sheetData sheetId="0" refreshError="1"/>
      <sheetData sheetId="1" refreshError="1">
        <row r="1">
          <cell r="A1">
            <v>1</v>
          </cell>
          <cell r="B1">
            <v>2</v>
          </cell>
          <cell r="C1">
            <v>3</v>
          </cell>
          <cell r="D1">
            <v>4</v>
          </cell>
        </row>
        <row r="2">
          <cell r="A2" t="str">
            <v xml:space="preserve"> </v>
          </cell>
          <cell r="B2" t="str">
            <v xml:space="preserve">A.    BILANCA PRIHODKOV IN ODHODKOV </v>
          </cell>
        </row>
        <row r="4">
          <cell r="B4" t="str">
            <v xml:space="preserve">I.    P R I H O D K I   P R O R A Č U N A </v>
          </cell>
        </row>
        <row r="5">
          <cell r="A5" t="str">
            <v xml:space="preserve"> </v>
          </cell>
          <cell r="Q5" t="str">
            <v xml:space="preserve"> - V  TISOČIH   TOLARJEV</v>
          </cell>
          <cell r="X5" t="str">
            <v>- V TISOČ TOLARJIH</v>
          </cell>
        </row>
        <row r="6">
          <cell r="A6" t="str">
            <v xml:space="preserve"> </v>
          </cell>
          <cell r="B6" t="str">
            <v xml:space="preserve"> </v>
          </cell>
          <cell r="D6" t="str">
            <v>O C E N A</v>
          </cell>
          <cell r="E6" t="str">
            <v xml:space="preserve"> </v>
          </cell>
          <cell r="F6" t="str">
            <v>RAZLIKA</v>
          </cell>
          <cell r="G6" t="str">
            <v>NOMINALNI</v>
          </cell>
          <cell r="H6" t="str">
            <v>REALNE</v>
          </cell>
          <cell r="I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U6" t="str">
            <v xml:space="preserve"> </v>
          </cell>
          <cell r="Y6" t="str">
            <v xml:space="preserve"> </v>
          </cell>
          <cell r="Z6" t="str">
            <v xml:space="preserve"> </v>
          </cell>
          <cell r="AA6" t="str">
            <v>NOMINALNI</v>
          </cell>
          <cell r="AB6" t="str">
            <v>REALNE</v>
          </cell>
        </row>
        <row r="7">
          <cell r="A7" t="str">
            <v xml:space="preserve"> </v>
          </cell>
          <cell r="B7" t="str">
            <v xml:space="preserve"> </v>
          </cell>
          <cell r="C7" t="str">
            <v xml:space="preserve"> </v>
          </cell>
          <cell r="D7" t="str">
            <v>REALIZACIJE</v>
          </cell>
          <cell r="E7" t="str">
            <v>SPREJETI</v>
          </cell>
          <cell r="F7" t="str">
            <v xml:space="preserve">OCENA </v>
          </cell>
          <cell r="G7" t="str">
            <v>INDEKSI</v>
          </cell>
          <cell r="H7" t="str">
            <v>STOPNJE</v>
          </cell>
          <cell r="I7" t="str">
            <v>PROJEKCIJE</v>
          </cell>
          <cell r="J7" t="str">
            <v>PROJEKCIJE</v>
          </cell>
          <cell r="K7" t="str">
            <v>PROJEKCIJE</v>
          </cell>
          <cell r="L7" t="str">
            <v>SKUPAJ</v>
          </cell>
          <cell r="M7" t="str">
            <v>INDEKSI</v>
          </cell>
          <cell r="N7" t="str">
            <v>PROJEKCIJE</v>
          </cell>
          <cell r="O7" t="str">
            <v>PROJEKCIJE</v>
          </cell>
          <cell r="P7" t="str">
            <v>PROJEKCIJE</v>
          </cell>
          <cell r="Q7" t="str">
            <v>SKUPAJ</v>
          </cell>
          <cell r="R7" t="str">
            <v>PROJEKCIJE</v>
          </cell>
          <cell r="S7" t="str">
            <v>PROJEKCIJE</v>
          </cell>
          <cell r="T7" t="str">
            <v>PROJEKCIJE</v>
          </cell>
          <cell r="U7" t="str">
            <v>PROJEKCIJE</v>
          </cell>
          <cell r="V7" t="str">
            <v>PROJEKCIJE</v>
          </cell>
          <cell r="W7" t="str">
            <v>PROJEKCIJE</v>
          </cell>
          <cell r="X7" t="str">
            <v>PROJEKCIJE</v>
          </cell>
          <cell r="Y7" t="str">
            <v>PROJEKCIJE</v>
          </cell>
          <cell r="Z7" t="str">
            <v>PREDLOG</v>
          </cell>
          <cell r="AA7" t="str">
            <v>INDEKSI</v>
          </cell>
          <cell r="AB7" t="str">
            <v>STOPNJE</v>
          </cell>
        </row>
        <row r="8">
          <cell r="A8" t="str">
            <v>KONTO</v>
          </cell>
          <cell r="B8" t="str">
            <v xml:space="preserve"> </v>
          </cell>
          <cell r="C8" t="str">
            <v xml:space="preserve"> </v>
          </cell>
          <cell r="D8" t="str">
            <v>JANUAR -</v>
          </cell>
          <cell r="E8" t="str">
            <v>PRORAČUN</v>
          </cell>
          <cell r="F8">
            <v>2000</v>
          </cell>
          <cell r="G8" t="str">
            <v>RASTI</v>
          </cell>
          <cell r="H8" t="str">
            <v>RASTI</v>
          </cell>
          <cell r="I8" t="str">
            <v>JANUAR</v>
          </cell>
          <cell r="J8" t="str">
            <v>FEBRUAR</v>
          </cell>
          <cell r="K8" t="str">
            <v>MAREC</v>
          </cell>
          <cell r="L8" t="str">
            <v>JANUAR -</v>
          </cell>
          <cell r="M8" t="str">
            <v>RASTI</v>
          </cell>
          <cell r="N8" t="str">
            <v>APRIL</v>
          </cell>
          <cell r="O8" t="str">
            <v>MAJ</v>
          </cell>
          <cell r="P8" t="str">
            <v>JUNIJ</v>
          </cell>
          <cell r="Q8" t="str">
            <v>JANUAR -</v>
          </cell>
          <cell r="R8" t="str">
            <v>JULIJ</v>
          </cell>
          <cell r="S8" t="str">
            <v>AVGUST</v>
          </cell>
          <cell r="T8" t="str">
            <v>SEPTEMBER</v>
          </cell>
          <cell r="U8" t="str">
            <v>OKTOBER</v>
          </cell>
          <cell r="V8" t="str">
            <v>NOVEMBER</v>
          </cell>
          <cell r="W8" t="str">
            <v>DECEMBER</v>
          </cell>
          <cell r="X8" t="str">
            <v>JANUAR</v>
          </cell>
          <cell r="Y8" t="str">
            <v>JANUAR -</v>
          </cell>
          <cell r="Z8" t="str">
            <v>PRORAČUNA</v>
          </cell>
          <cell r="AA8" t="str">
            <v>RASTI</v>
          </cell>
          <cell r="AB8" t="str">
            <v>RASTI</v>
          </cell>
        </row>
        <row r="9">
          <cell r="A9" t="str">
            <v xml:space="preserve"> </v>
          </cell>
          <cell r="B9" t="str">
            <v xml:space="preserve"> </v>
          </cell>
          <cell r="C9" t="str">
            <v xml:space="preserve"> </v>
          </cell>
          <cell r="D9" t="str">
            <v>DECEMBER</v>
          </cell>
          <cell r="E9" t="str">
            <v>ZA LETO</v>
          </cell>
          <cell r="F9" t="str">
            <v>MINUS</v>
          </cell>
          <cell r="G9" t="str">
            <v>I.XII.2000/</v>
          </cell>
          <cell r="H9" t="str">
            <v>I.XII.2000/</v>
          </cell>
          <cell r="I9">
            <v>2001</v>
          </cell>
          <cell r="J9">
            <v>2001</v>
          </cell>
          <cell r="K9">
            <v>2001</v>
          </cell>
          <cell r="L9" t="str">
            <v>MAREC</v>
          </cell>
          <cell r="M9" t="str">
            <v>I.-III.2001/</v>
          </cell>
          <cell r="N9">
            <v>2001</v>
          </cell>
          <cell r="O9">
            <v>2001</v>
          </cell>
          <cell r="P9">
            <v>2001</v>
          </cell>
          <cell r="Q9" t="str">
            <v>JUNIJ</v>
          </cell>
          <cell r="R9">
            <v>2001</v>
          </cell>
          <cell r="S9">
            <v>2001</v>
          </cell>
          <cell r="T9">
            <v>2001</v>
          </cell>
          <cell r="U9">
            <v>2001</v>
          </cell>
          <cell r="V9">
            <v>2001</v>
          </cell>
          <cell r="W9">
            <v>2001</v>
          </cell>
          <cell r="X9">
            <v>2002</v>
          </cell>
          <cell r="Y9" t="str">
            <v>DECEMBER</v>
          </cell>
          <cell r="Z9" t="str">
            <v>ZA LETO</v>
          </cell>
          <cell r="AA9" t="str">
            <v>I.XII.2001/</v>
          </cell>
          <cell r="AB9" t="str">
            <v>I.XII.2001/</v>
          </cell>
        </row>
        <row r="10">
          <cell r="C10" t="str">
            <v xml:space="preserve"> </v>
          </cell>
          <cell r="D10" t="str">
            <v>2 0 0 0</v>
          </cell>
          <cell r="E10" t="str">
            <v>2 0 0 0</v>
          </cell>
          <cell r="F10" t="str">
            <v>SPR.PROR.</v>
          </cell>
          <cell r="G10" t="str">
            <v>I.-XII.1999</v>
          </cell>
          <cell r="H10" t="str">
            <v>I.-XII.1999</v>
          </cell>
          <cell r="I10" t="str">
            <v xml:space="preserve"> </v>
          </cell>
          <cell r="J10" t="str">
            <v xml:space="preserve"> </v>
          </cell>
          <cell r="K10" t="str">
            <v xml:space="preserve"> </v>
          </cell>
          <cell r="L10" t="str">
            <v>2 0 0 1</v>
          </cell>
          <cell r="M10" t="str">
            <v>I.-III.2000</v>
          </cell>
          <cell r="N10" t="str">
            <v xml:space="preserve"> </v>
          </cell>
          <cell r="O10" t="str">
            <v xml:space="preserve"> </v>
          </cell>
          <cell r="P10" t="str">
            <v xml:space="preserve"> </v>
          </cell>
          <cell r="Q10" t="str">
            <v>2 0 0 1</v>
          </cell>
          <cell r="R10" t="str">
            <v xml:space="preserve"> </v>
          </cell>
          <cell r="S10" t="str">
            <v xml:space="preserve"> </v>
          </cell>
          <cell r="T10" t="str">
            <v xml:space="preserve"> </v>
          </cell>
          <cell r="U10" t="str">
            <v xml:space="preserve"> </v>
          </cell>
          <cell r="V10" t="str">
            <v xml:space="preserve"> </v>
          </cell>
          <cell r="W10" t="str">
            <v xml:space="preserve"> </v>
          </cell>
          <cell r="X10" t="str">
            <v>ZA LETO 2001</v>
          </cell>
          <cell r="Y10" t="str">
            <v>2 0 0 1</v>
          </cell>
          <cell r="Z10" t="str">
            <v>2 0 0 1</v>
          </cell>
          <cell r="AA10" t="str">
            <v>I.-XII.2000</v>
          </cell>
          <cell r="AB10" t="str">
            <v>I.-XII.2000</v>
          </cell>
        </row>
        <row r="11">
          <cell r="A11" t="str">
            <v xml:space="preserve"> </v>
          </cell>
          <cell r="D11" t="str">
            <v xml:space="preserve"> </v>
          </cell>
          <cell r="E11" t="str">
            <v>(2)</v>
          </cell>
          <cell r="F11" t="str">
            <v>(3=1-2)</v>
          </cell>
          <cell r="G11" t="str">
            <v xml:space="preserve"> </v>
          </cell>
          <cell r="H11">
            <v>108.9</v>
          </cell>
          <cell r="I11" t="str">
            <v xml:space="preserve"> </v>
          </cell>
          <cell r="J11" t="str">
            <v xml:space="preserve"> </v>
          </cell>
          <cell r="K11" t="str">
            <v xml:space="preserve"> </v>
          </cell>
          <cell r="L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cell r="U11" t="str">
            <v xml:space="preserve"> </v>
          </cell>
          <cell r="V11" t="str">
            <v xml:space="preserve"> </v>
          </cell>
          <cell r="W11" t="str">
            <v xml:space="preserve"> </v>
          </cell>
          <cell r="X11" t="str">
            <v xml:space="preserve"> </v>
          </cell>
          <cell r="Y11" t="str">
            <v xml:space="preserve"> </v>
          </cell>
          <cell r="Z11" t="str">
            <v xml:space="preserve"> </v>
          </cell>
          <cell r="AA11" t="str">
            <v xml:space="preserve"> </v>
          </cell>
          <cell r="AB11">
            <v>107.8</v>
          </cell>
        </row>
        <row r="12">
          <cell r="A12" t="str">
            <v xml:space="preserve"> </v>
          </cell>
          <cell r="B12" t="str">
            <v>I.</v>
          </cell>
          <cell r="C12" t="str">
            <v xml:space="preserve">S K U P A J    P R I H O D K I  </v>
          </cell>
          <cell r="D12">
            <v>990790467.71345019</v>
          </cell>
          <cell r="E12">
            <v>1021315000.3696719</v>
          </cell>
          <cell r="F12">
            <v>-30524532.656221747</v>
          </cell>
          <cell r="G12">
            <v>105.05845923225441</v>
          </cell>
          <cell r="H12">
            <v>-3.5275856453127545</v>
          </cell>
          <cell r="I12">
            <v>35925387.887083814</v>
          </cell>
          <cell r="J12">
            <v>61798353.088627823</v>
          </cell>
          <cell r="K12">
            <v>85459043.183150321</v>
          </cell>
          <cell r="L12">
            <v>183182784.15886196</v>
          </cell>
          <cell r="M12">
            <v>95.567986235900264</v>
          </cell>
          <cell r="N12">
            <v>104202194.74316141</v>
          </cell>
          <cell r="O12">
            <v>91311285.415827885</v>
          </cell>
          <cell r="P12">
            <v>71218905.009697124</v>
          </cell>
          <cell r="Q12">
            <v>449915169.32754838</v>
          </cell>
          <cell r="R12">
            <v>115240544.54694641</v>
          </cell>
          <cell r="S12">
            <v>88973428.31712915</v>
          </cell>
          <cell r="T12">
            <v>55926230.869703755</v>
          </cell>
          <cell r="U12">
            <v>101756369.31297135</v>
          </cell>
          <cell r="V12">
            <v>106382342.02322105</v>
          </cell>
          <cell r="W12">
            <v>97999370.69433786</v>
          </cell>
          <cell r="X12">
            <v>60072807.423999995</v>
          </cell>
          <cell r="Y12">
            <v>1076266262.5158579</v>
          </cell>
          <cell r="Z12" t="e">
            <v>#VALUE!</v>
          </cell>
          <cell r="AA12">
            <v>108.62703039520242</v>
          </cell>
          <cell r="AB12">
            <v>0.76718960593917984</v>
          </cell>
        </row>
        <row r="13">
          <cell r="C13" t="str">
            <v xml:space="preserve">                            - dinamizirani sprejeti proračun(18/4-00)</v>
          </cell>
          <cell r="D13">
            <v>523920362</v>
          </cell>
          <cell r="I13">
            <v>33803833</v>
          </cell>
          <cell r="J13">
            <v>33803833</v>
          </cell>
          <cell r="K13">
            <v>33803833</v>
          </cell>
          <cell r="L13">
            <v>101411499</v>
          </cell>
          <cell r="N13">
            <v>33803833</v>
          </cell>
          <cell r="O13">
            <v>33803833</v>
          </cell>
          <cell r="P13">
            <v>33803833</v>
          </cell>
          <cell r="Q13">
            <v>202822998</v>
          </cell>
          <cell r="R13">
            <v>33803833</v>
          </cell>
          <cell r="S13">
            <v>33803833</v>
          </cell>
          <cell r="T13">
            <v>33803833</v>
          </cell>
          <cell r="U13">
            <v>33803833</v>
          </cell>
          <cell r="V13">
            <v>106939268</v>
          </cell>
          <cell r="W13">
            <v>74418199</v>
          </cell>
          <cell r="X13">
            <v>77660000</v>
          </cell>
          <cell r="Y13">
            <v>597055797</v>
          </cell>
        </row>
        <row r="15">
          <cell r="B15" t="str">
            <v xml:space="preserve">   </v>
          </cell>
          <cell r="C15" t="str">
            <v>TEKOČI PRIHODKI  (70+71)</v>
          </cell>
          <cell r="D15">
            <v>983553694.50667</v>
          </cell>
          <cell r="E15">
            <v>1007523500.3696719</v>
          </cell>
          <cell r="F15">
            <v>-23969805.863001943</v>
          </cell>
          <cell r="G15">
            <v>104.70210541350727</v>
          </cell>
          <cell r="H15">
            <v>-3.8548159655580605</v>
          </cell>
          <cell r="I15">
            <v>35565279.90439859</v>
          </cell>
          <cell r="J15">
            <v>61508809.795108341</v>
          </cell>
          <cell r="K15">
            <v>84943814.379380643</v>
          </cell>
          <cell r="L15">
            <v>182017904.07888758</v>
          </cell>
          <cell r="M15">
            <v>95.497047994211528</v>
          </cell>
          <cell r="N15">
            <v>101522623.86107793</v>
          </cell>
          <cell r="O15">
            <v>90902297.496378541</v>
          </cell>
          <cell r="P15">
            <v>70483688.328515068</v>
          </cell>
          <cell r="Q15">
            <v>444926513.76485908</v>
          </cell>
          <cell r="R15">
            <v>113775167.67754534</v>
          </cell>
          <cell r="S15">
            <v>88779029.630081981</v>
          </cell>
          <cell r="T15">
            <v>55664460.27487801</v>
          </cell>
          <cell r="U15">
            <v>101426853.51469508</v>
          </cell>
          <cell r="V15">
            <v>106073103.70922105</v>
          </cell>
          <cell r="W15">
            <v>97770083.328337863</v>
          </cell>
          <cell r="X15">
            <v>60072807.423999995</v>
          </cell>
          <cell r="Y15">
            <v>1068488019.3236184</v>
          </cell>
          <cell r="Z15" t="e">
            <v>#VALUE!</v>
          </cell>
          <cell r="AA15">
            <v>108.63545379284551</v>
          </cell>
          <cell r="AB15">
            <v>0.77500351840956228</v>
          </cell>
        </row>
        <row r="16">
          <cell r="C16" t="str">
            <v xml:space="preserve">                                 - dinamizirani sprejeti proračun</v>
          </cell>
          <cell r="D16">
            <v>515268935</v>
          </cell>
          <cell r="I16">
            <v>33652316</v>
          </cell>
          <cell r="J16">
            <v>33652316</v>
          </cell>
          <cell r="K16">
            <v>33652316</v>
          </cell>
          <cell r="L16">
            <v>100956948</v>
          </cell>
          <cell r="N16">
            <v>33652316</v>
          </cell>
          <cell r="O16">
            <v>33652316</v>
          </cell>
          <cell r="P16">
            <v>33652316</v>
          </cell>
          <cell r="Q16">
            <v>201913896</v>
          </cell>
          <cell r="R16">
            <v>33652316</v>
          </cell>
          <cell r="S16">
            <v>33652316</v>
          </cell>
          <cell r="T16">
            <v>33652316</v>
          </cell>
          <cell r="U16">
            <v>33652316</v>
          </cell>
          <cell r="V16">
            <v>105139268</v>
          </cell>
          <cell r="W16">
            <v>67433459</v>
          </cell>
          <cell r="X16">
            <v>77660000</v>
          </cell>
          <cell r="Y16">
            <v>586755887</v>
          </cell>
        </row>
        <row r="18">
          <cell r="A18">
            <v>70</v>
          </cell>
          <cell r="C18" t="str">
            <v xml:space="preserve">DAVČNI PRIHODKI  </v>
          </cell>
          <cell r="D18">
            <v>928496038.15131009</v>
          </cell>
          <cell r="E18">
            <v>959392700.36967194</v>
          </cell>
          <cell r="F18">
            <v>-30896662.218361855</v>
          </cell>
          <cell r="G18">
            <v>103.73616095178892</v>
          </cell>
          <cell r="H18">
            <v>-4.7418173078155093</v>
          </cell>
          <cell r="I18">
            <v>32150107.983345952</v>
          </cell>
          <cell r="J18">
            <v>57779874.422229975</v>
          </cell>
          <cell r="K18">
            <v>80131441.88651374</v>
          </cell>
          <cell r="L18">
            <v>170061424.29208967</v>
          </cell>
          <cell r="M18">
            <v>94.427178168820248</v>
          </cell>
          <cell r="N18">
            <v>97615374.674407929</v>
          </cell>
          <cell r="O18">
            <v>86220085.056052521</v>
          </cell>
          <cell r="P18">
            <v>64109966.825153477</v>
          </cell>
          <cell r="Q18">
            <v>418006850.84770358</v>
          </cell>
          <cell r="R18">
            <v>108041517.7579647</v>
          </cell>
          <cell r="S18">
            <v>83491637.233454213</v>
          </cell>
          <cell r="T18">
            <v>51277912.92047786</v>
          </cell>
          <cell r="U18">
            <v>95865043.063451111</v>
          </cell>
          <cell r="V18">
            <v>101621666.89295988</v>
          </cell>
          <cell r="W18">
            <v>90983828.765571862</v>
          </cell>
          <cell r="X18">
            <v>60072807.423999995</v>
          </cell>
          <cell r="Y18">
            <v>1009361264.9055831</v>
          </cell>
          <cell r="Z18" t="e">
            <v>#VALUE!</v>
          </cell>
          <cell r="AA18">
            <v>108.70926998410036</v>
          </cell>
          <cell r="AB18">
            <v>0.84347864944373896</v>
          </cell>
        </row>
        <row r="19">
          <cell r="C19" t="str">
            <v xml:space="preserve">                                 - dinamizirani sprejeti proračun</v>
          </cell>
          <cell r="D19">
            <v>478992604</v>
          </cell>
          <cell r="I19">
            <v>30886327</v>
          </cell>
          <cell r="J19">
            <v>30886327</v>
          </cell>
          <cell r="K19">
            <v>30886327</v>
          </cell>
          <cell r="L19">
            <v>92658981</v>
          </cell>
          <cell r="N19">
            <v>30886327</v>
          </cell>
          <cell r="O19">
            <v>30886327</v>
          </cell>
          <cell r="P19">
            <v>30886327</v>
          </cell>
          <cell r="Q19">
            <v>185317962</v>
          </cell>
          <cell r="R19">
            <v>30886327</v>
          </cell>
          <cell r="S19">
            <v>30886327</v>
          </cell>
          <cell r="T19">
            <v>30886327</v>
          </cell>
          <cell r="U19">
            <v>30886327</v>
          </cell>
          <cell r="V19">
            <v>100789713</v>
          </cell>
          <cell r="W19">
            <v>61583007</v>
          </cell>
          <cell r="X19">
            <v>77660000</v>
          </cell>
          <cell r="Y19">
            <v>548895990</v>
          </cell>
        </row>
        <row r="21">
          <cell r="A21">
            <v>700</v>
          </cell>
          <cell r="C21" t="str">
            <v>DAVKI NA DOHODEK IN DOBIČEK</v>
          </cell>
          <cell r="D21">
            <v>220558052.54217997</v>
          </cell>
          <cell r="E21">
            <v>216550000</v>
          </cell>
          <cell r="F21">
            <v>4008052.5421799719</v>
          </cell>
          <cell r="G21">
            <v>114.41542927712318</v>
          </cell>
          <cell r="H21">
            <v>5.0646733490570881</v>
          </cell>
          <cell r="I21">
            <v>18040872.096996766</v>
          </cell>
          <cell r="J21">
            <v>16667029.512734</v>
          </cell>
          <cell r="K21">
            <v>21307161.094293881</v>
          </cell>
          <cell r="L21">
            <v>56015062.704024643</v>
          </cell>
          <cell r="M21">
            <v>111.88892329309232</v>
          </cell>
          <cell r="N21">
            <v>25362732.220052101</v>
          </cell>
          <cell r="O21">
            <v>24468572.112188525</v>
          </cell>
          <cell r="P21">
            <v>21102508.39843997</v>
          </cell>
          <cell r="Q21">
            <v>126948875.43470523</v>
          </cell>
          <cell r="R21">
            <v>17798292.407414716</v>
          </cell>
          <cell r="S21">
            <v>19894430.209441021</v>
          </cell>
          <cell r="T21">
            <v>18039535.327568993</v>
          </cell>
          <cell r="U21">
            <v>21374029.555793747</v>
          </cell>
          <cell r="V21">
            <v>21480424.410168886</v>
          </cell>
          <cell r="W21">
            <v>23033583.522588298</v>
          </cell>
          <cell r="X21">
            <v>0</v>
          </cell>
          <cell r="Y21">
            <v>248569170.86768091</v>
          </cell>
          <cell r="Z21" t="e">
            <v>#VALUE!</v>
          </cell>
          <cell r="AA21">
            <v>112.70011137777163</v>
          </cell>
          <cell r="AB21">
            <v>4.5455578643521761</v>
          </cell>
        </row>
        <row r="22">
          <cell r="C22" t="str">
            <v xml:space="preserve">                                 - dinamizirani sprejeti proračun</v>
          </cell>
          <cell r="D22">
            <v>197904276</v>
          </cell>
          <cell r="I22">
            <v>15961658</v>
          </cell>
          <cell r="J22">
            <v>15961658</v>
          </cell>
          <cell r="K22">
            <v>15961658</v>
          </cell>
          <cell r="L22">
            <v>47884974</v>
          </cell>
          <cell r="N22">
            <v>15961658</v>
          </cell>
          <cell r="O22">
            <v>15961658</v>
          </cell>
          <cell r="P22">
            <v>15961658</v>
          </cell>
          <cell r="Q22">
            <v>95769948</v>
          </cell>
          <cell r="R22">
            <v>15961658</v>
          </cell>
          <cell r="S22">
            <v>15961658</v>
          </cell>
          <cell r="T22">
            <v>15961658</v>
          </cell>
          <cell r="U22">
            <v>15961658</v>
          </cell>
          <cell r="V22">
            <v>18612598</v>
          </cell>
          <cell r="W22">
            <v>22326038</v>
          </cell>
          <cell r="X22">
            <v>0</v>
          </cell>
          <cell r="Y22">
            <v>200555216</v>
          </cell>
        </row>
        <row r="23">
          <cell r="I23" t="str">
            <v xml:space="preserve"> </v>
          </cell>
          <cell r="V23" t="str">
            <v xml:space="preserve"> </v>
          </cell>
          <cell r="W23" t="str">
            <v xml:space="preserve"> </v>
          </cell>
        </row>
        <row r="24">
          <cell r="A24">
            <v>7000</v>
          </cell>
          <cell r="C24" t="str">
            <v xml:space="preserve">Dohodnina   </v>
          </cell>
          <cell r="D24">
            <v>168763223.20554003</v>
          </cell>
          <cell r="E24">
            <v>170350000</v>
          </cell>
          <cell r="F24">
            <v>-1586776.7944599688</v>
          </cell>
          <cell r="G24">
            <v>112.06628558168592</v>
          </cell>
          <cell r="H24">
            <v>2.9075166039356475</v>
          </cell>
          <cell r="I24">
            <v>14417521.071517657</v>
          </cell>
          <cell r="J24">
            <v>13043678.487254893</v>
          </cell>
          <cell r="K24">
            <v>14849127.636341188</v>
          </cell>
          <cell r="L24">
            <v>42310327.195113733</v>
          </cell>
          <cell r="M24">
            <v>108.44843063157381</v>
          </cell>
          <cell r="N24">
            <v>16241506.394408165</v>
          </cell>
          <cell r="O24">
            <v>16618265.218314463</v>
          </cell>
          <cell r="P24">
            <v>17002508.39843997</v>
          </cell>
          <cell r="Q24">
            <v>92172607.206276342</v>
          </cell>
          <cell r="R24">
            <v>13698292.407414716</v>
          </cell>
          <cell r="S24">
            <v>15794430.209441021</v>
          </cell>
          <cell r="T24">
            <v>13939535.327568993</v>
          </cell>
          <cell r="U24">
            <v>17224029.555793747</v>
          </cell>
          <cell r="V24">
            <v>17330424.410168886</v>
          </cell>
          <cell r="W24">
            <v>18883583.522588298</v>
          </cell>
          <cell r="X24">
            <v>0</v>
          </cell>
          <cell r="Y24">
            <v>189042902.63925201</v>
          </cell>
          <cell r="Z24" t="str">
            <v xml:space="preserve"> </v>
          </cell>
          <cell r="AA24">
            <v>112.01664619134048</v>
          </cell>
          <cell r="AB24">
            <v>3.9115456320412534</v>
          </cell>
        </row>
        <row r="25">
          <cell r="C25" t="str">
            <v xml:space="preserve">                                 - dinamizirani sprejeti proračun</v>
          </cell>
          <cell r="D25">
            <v>160893721</v>
          </cell>
          <cell r="E25" t="str">
            <v xml:space="preserve"> </v>
          </cell>
          <cell r="I25">
            <v>12906153</v>
          </cell>
          <cell r="J25">
            <v>12906153</v>
          </cell>
          <cell r="K25">
            <v>12906153</v>
          </cell>
          <cell r="L25">
            <v>38718459</v>
          </cell>
          <cell r="N25">
            <v>12906153</v>
          </cell>
          <cell r="O25">
            <v>12906153</v>
          </cell>
          <cell r="P25">
            <v>12906153</v>
          </cell>
          <cell r="Q25">
            <v>77436918</v>
          </cell>
          <cell r="R25">
            <v>12906153</v>
          </cell>
          <cell r="S25">
            <v>12906153</v>
          </cell>
          <cell r="T25">
            <v>12906153</v>
          </cell>
          <cell r="U25">
            <v>12906153</v>
          </cell>
          <cell r="V25">
            <v>15212598</v>
          </cell>
          <cell r="W25">
            <v>18926038</v>
          </cell>
          <cell r="X25">
            <v>0</v>
          </cell>
          <cell r="Y25">
            <v>163200166</v>
          </cell>
          <cell r="Z25" t="str">
            <v xml:space="preserve"> </v>
          </cell>
        </row>
        <row r="26">
          <cell r="C26" t="str">
            <v xml:space="preserve"> - akontacije dohodnine skupaj   </v>
          </cell>
          <cell r="D26">
            <v>184532911.42504004</v>
          </cell>
          <cell r="E26" t="str">
            <v xml:space="preserve"> </v>
          </cell>
          <cell r="G26">
            <v>112.14781215331087</v>
          </cell>
          <cell r="H26">
            <v>2.9823803060705814</v>
          </cell>
          <cell r="I26">
            <v>14266991.783928122</v>
          </cell>
          <cell r="J26">
            <v>14820770.755424026</v>
          </cell>
          <cell r="K26">
            <v>14745168.278891537</v>
          </cell>
          <cell r="L26">
            <v>43832930.818243682</v>
          </cell>
          <cell r="M26">
            <v>113.26079714433612</v>
          </cell>
          <cell r="N26">
            <v>16179248.925825499</v>
          </cell>
          <cell r="O26">
            <v>16544282.16497572</v>
          </cell>
          <cell r="P26">
            <v>20423483.562590539</v>
          </cell>
          <cell r="Q26">
            <v>96979945.471635446</v>
          </cell>
          <cell r="R26">
            <v>20489937.671066858</v>
          </cell>
          <cell r="S26">
            <v>17624837.360497981</v>
          </cell>
          <cell r="T26">
            <v>20157528.947970781</v>
          </cell>
          <cell r="U26">
            <v>15949241.47862377</v>
          </cell>
          <cell r="V26">
            <v>16660528.816667585</v>
          </cell>
          <cell r="W26">
            <v>20182916.777905598</v>
          </cell>
          <cell r="X26">
            <v>0</v>
          </cell>
          <cell r="Y26">
            <v>208044936.52436805</v>
          </cell>
          <cell r="Z26" t="str">
            <v xml:space="preserve"> </v>
          </cell>
          <cell r="AA26">
            <v>112.74137221255458</v>
          </cell>
          <cell r="AB26">
            <v>4.5838332212936734</v>
          </cell>
        </row>
        <row r="27">
          <cell r="C27" t="str">
            <v xml:space="preserve"> - letni poračun dohodnine</v>
          </cell>
          <cell r="D27">
            <v>-15769688.219499996</v>
          </cell>
          <cell r="E27" t="str">
            <v xml:space="preserve"> </v>
          </cell>
          <cell r="G27">
            <v>113.02777448714154</v>
          </cell>
          <cell r="H27">
            <v>3.7904265263007773</v>
          </cell>
          <cell r="I27">
            <v>150529.28758953561</v>
          </cell>
          <cell r="J27">
            <v>-1777092.2681691335</v>
          </cell>
          <cell r="K27">
            <v>103959.35744965168</v>
          </cell>
          <cell r="L27">
            <v>-1522603.6231299462</v>
          </cell>
          <cell r="M27" t="str">
            <v xml:space="preserve"> </v>
          </cell>
          <cell r="N27">
            <v>62257.468582664922</v>
          </cell>
          <cell r="O27">
            <v>73983.053338743193</v>
          </cell>
          <cell r="P27">
            <v>-3420975.164150571</v>
          </cell>
          <cell r="Q27">
            <v>-4807338.2653591093</v>
          </cell>
          <cell r="R27">
            <v>-6791645.2636521431</v>
          </cell>
          <cell r="S27">
            <v>-1830407.1510569607</v>
          </cell>
          <cell r="T27">
            <v>-6217993.6204017885</v>
          </cell>
          <cell r="U27">
            <v>1274788.0771699769</v>
          </cell>
          <cell r="V27">
            <v>669895.59350129962</v>
          </cell>
          <cell r="W27">
            <v>-1299333.2553173001</v>
          </cell>
          <cell r="X27">
            <v>0</v>
          </cell>
          <cell r="Y27">
            <v>-19002033.885116026</v>
          </cell>
          <cell r="Z27" t="str">
            <v xml:space="preserve"> </v>
          </cell>
          <cell r="AA27">
            <v>120.49720717762243</v>
          </cell>
          <cell r="AB27">
            <v>11.778485322469791</v>
          </cell>
        </row>
        <row r="28">
          <cell r="D28" t="str">
            <v xml:space="preserve"> </v>
          </cell>
          <cell r="E28" t="str">
            <v xml:space="preserve"> </v>
          </cell>
          <cell r="V28" t="str">
            <v xml:space="preserve"> </v>
          </cell>
          <cell r="Y28" t="str">
            <v xml:space="preserve"> </v>
          </cell>
          <cell r="Z28" t="str">
            <v xml:space="preserve"> </v>
          </cell>
          <cell r="AA28" t="str">
            <v xml:space="preserve"> </v>
          </cell>
        </row>
        <row r="29">
          <cell r="A29">
            <v>7001</v>
          </cell>
          <cell r="C29" t="str">
            <v>Davek od dobička pravnih oseb</v>
          </cell>
          <cell r="D29">
            <v>51794829.336640008</v>
          </cell>
          <cell r="E29">
            <v>46200000</v>
          </cell>
          <cell r="F29">
            <v>5594829.3366400078</v>
          </cell>
          <cell r="G29">
            <v>122.8029749563615</v>
          </cell>
          <cell r="H29">
            <v>12.766735497117992</v>
          </cell>
          <cell r="I29">
            <v>3623351.0254791072</v>
          </cell>
          <cell r="J29">
            <v>3623351.0254791072</v>
          </cell>
          <cell r="K29">
            <v>6458033.457952694</v>
          </cell>
          <cell r="L29">
            <v>13704735.508910909</v>
          </cell>
          <cell r="M29">
            <v>124.03752151435339</v>
          </cell>
          <cell r="N29">
            <v>9121225.8256439343</v>
          </cell>
          <cell r="O29">
            <v>7850306.8938740622</v>
          </cell>
          <cell r="P29">
            <v>4100000</v>
          </cell>
          <cell r="Q29">
            <v>34776268.228428908</v>
          </cell>
          <cell r="R29">
            <v>4100000</v>
          </cell>
          <cell r="S29">
            <v>4100000</v>
          </cell>
          <cell r="T29">
            <v>4100000</v>
          </cell>
          <cell r="U29">
            <v>4150000</v>
          </cell>
          <cell r="V29">
            <v>4150000</v>
          </cell>
          <cell r="W29">
            <v>4150000</v>
          </cell>
          <cell r="X29">
            <v>0</v>
          </cell>
          <cell r="Y29">
            <v>59526268.228428908</v>
          </cell>
          <cell r="Z29" t="str">
            <v xml:space="preserve"> </v>
          </cell>
          <cell r="AA29">
            <v>114.92704772041719</v>
          </cell>
          <cell r="AB29">
            <v>6.611361521722813</v>
          </cell>
        </row>
        <row r="30">
          <cell r="C30" t="str">
            <v xml:space="preserve">                                 - dinamizirani sprejeti proračun</v>
          </cell>
          <cell r="D30">
            <v>37010555</v>
          </cell>
          <cell r="E30" t="str">
            <v xml:space="preserve"> </v>
          </cell>
          <cell r="I30">
            <v>3055505</v>
          </cell>
          <cell r="J30">
            <v>3055505</v>
          </cell>
          <cell r="K30">
            <v>3055505</v>
          </cell>
          <cell r="L30">
            <v>9166515</v>
          </cell>
          <cell r="N30">
            <v>3055505</v>
          </cell>
          <cell r="O30">
            <v>3055505</v>
          </cell>
          <cell r="P30">
            <v>3055505</v>
          </cell>
          <cell r="Q30">
            <v>18333030</v>
          </cell>
          <cell r="R30">
            <v>3055505</v>
          </cell>
          <cell r="S30">
            <v>3055505</v>
          </cell>
          <cell r="T30">
            <v>3055505</v>
          </cell>
          <cell r="U30">
            <v>3055505</v>
          </cell>
          <cell r="V30">
            <v>3400000</v>
          </cell>
          <cell r="W30">
            <v>3400000</v>
          </cell>
          <cell r="Y30">
            <v>37355050</v>
          </cell>
          <cell r="Z30" t="str">
            <v xml:space="preserve"> </v>
          </cell>
        </row>
        <row r="31">
          <cell r="A31">
            <v>7002</v>
          </cell>
          <cell r="C31" t="str">
            <v xml:space="preserve">Drugi davki na dohodek in dobiček </v>
          </cell>
          <cell r="D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X31">
            <v>0</v>
          </cell>
          <cell r="Y31">
            <v>0</v>
          </cell>
        </row>
        <row r="32">
          <cell r="D32" t="str">
            <v xml:space="preserve"> </v>
          </cell>
          <cell r="Y32" t="str">
            <v xml:space="preserve"> </v>
          </cell>
        </row>
        <row r="33">
          <cell r="A33">
            <v>701</v>
          </cell>
          <cell r="C33" t="str">
            <v>PRISPEVKI ZA SOCIALNO VARNOST</v>
          </cell>
          <cell r="D33">
            <v>6568891.7910200004</v>
          </cell>
          <cell r="E33">
            <v>6286999.8584960001</v>
          </cell>
          <cell r="F33">
            <v>281891.93252400029</v>
          </cell>
          <cell r="G33">
            <v>113.01013961463751</v>
          </cell>
          <cell r="H33">
            <v>3.7742328876377371</v>
          </cell>
          <cell r="I33">
            <v>551935.47711214528</v>
          </cell>
          <cell r="J33">
            <v>549938.05943486036</v>
          </cell>
          <cell r="K33">
            <v>585717.10012047074</v>
          </cell>
          <cell r="L33">
            <v>1687590.6366674765</v>
          </cell>
          <cell r="M33">
            <v>111.71044500000001</v>
          </cell>
          <cell r="N33">
            <v>569104.46188978187</v>
          </cell>
          <cell r="O33">
            <v>600059.25389709161</v>
          </cell>
          <cell r="P33">
            <v>612945.59783590585</v>
          </cell>
          <cell r="Q33">
            <v>3469699.9502902562</v>
          </cell>
          <cell r="R33">
            <v>614582.72947711986</v>
          </cell>
          <cell r="S33">
            <v>608800.66995840624</v>
          </cell>
          <cell r="T33">
            <v>635055.00935032812</v>
          </cell>
          <cell r="U33">
            <v>623123.48479143309</v>
          </cell>
          <cell r="V33">
            <v>641254.98835681868</v>
          </cell>
          <cell r="W33">
            <v>745621.41909254994</v>
          </cell>
          <cell r="X33">
            <v>0</v>
          </cell>
          <cell r="Y33">
            <v>7338138.2513169115</v>
          </cell>
          <cell r="Z33" t="e">
            <v>#VALUE!</v>
          </cell>
          <cell r="AA33">
            <v>111.71044499999998</v>
          </cell>
          <cell r="AB33">
            <v>3.6274999999999835</v>
          </cell>
        </row>
        <row r="34">
          <cell r="C34" t="str">
            <v xml:space="preserve">                                 - dinamizirani sprejeti proračun</v>
          </cell>
          <cell r="D34">
            <v>6090978</v>
          </cell>
          <cell r="E34" t="str">
            <v xml:space="preserve"> </v>
          </cell>
          <cell r="I34">
            <v>494077</v>
          </cell>
          <cell r="J34">
            <v>494077</v>
          </cell>
          <cell r="K34">
            <v>494077</v>
          </cell>
          <cell r="L34">
            <v>1482231</v>
          </cell>
          <cell r="N34">
            <v>494077</v>
          </cell>
          <cell r="O34">
            <v>494077</v>
          </cell>
          <cell r="P34">
            <v>494077</v>
          </cell>
          <cell r="Q34">
            <v>2964462</v>
          </cell>
          <cell r="R34">
            <v>494077</v>
          </cell>
          <cell r="S34">
            <v>494077</v>
          </cell>
          <cell r="T34">
            <v>494077</v>
          </cell>
          <cell r="U34">
            <v>494077</v>
          </cell>
          <cell r="V34">
            <v>566000</v>
          </cell>
          <cell r="W34">
            <v>656131</v>
          </cell>
          <cell r="X34">
            <v>0</v>
          </cell>
          <cell r="Y34">
            <v>6162901</v>
          </cell>
          <cell r="Z34" t="str">
            <v xml:space="preserve"> </v>
          </cell>
        </row>
        <row r="35">
          <cell r="A35">
            <v>7010</v>
          </cell>
          <cell r="C35" t="str">
            <v>Prispevki zaposlenih</v>
          </cell>
          <cell r="D35">
            <v>3753070.10984</v>
          </cell>
          <cell r="E35">
            <v>3424226</v>
          </cell>
          <cell r="F35">
            <v>328844.10984000005</v>
          </cell>
          <cell r="G35" t="str">
            <v xml:space="preserve"> </v>
          </cell>
          <cell r="H35" t="str">
            <v xml:space="preserve"> </v>
          </cell>
          <cell r="I35">
            <v>320152.20234533568</v>
          </cell>
          <cell r="J35">
            <v>313350.15710275667</v>
          </cell>
          <cell r="K35">
            <v>332450.9048491799</v>
          </cell>
          <cell r="L35">
            <v>965953.2642972722</v>
          </cell>
          <cell r="M35">
            <v>111.71044499999998</v>
          </cell>
          <cell r="N35">
            <v>328486.8360145695</v>
          </cell>
          <cell r="O35">
            <v>336434.13171231851</v>
          </cell>
          <cell r="P35">
            <v>343508.36927348806</v>
          </cell>
          <cell r="Q35">
            <v>1974382.6012976482</v>
          </cell>
          <cell r="R35">
            <v>355147.25454780791</v>
          </cell>
          <cell r="S35">
            <v>345972.83162060671</v>
          </cell>
          <cell r="T35">
            <v>361711.65404979413</v>
          </cell>
          <cell r="U35">
            <v>357564.73944671417</v>
          </cell>
          <cell r="V35">
            <v>368185.14735628129</v>
          </cell>
          <cell r="W35">
            <v>429607.09254539997</v>
          </cell>
          <cell r="X35">
            <v>0</v>
          </cell>
          <cell r="Y35">
            <v>4192571.3208642523</v>
          </cell>
          <cell r="Z35" t="str">
            <v xml:space="preserve"> </v>
          </cell>
          <cell r="AA35">
            <v>111.71044499999998</v>
          </cell>
          <cell r="AB35" t="str">
            <v xml:space="preserve"> </v>
          </cell>
        </row>
        <row r="36">
          <cell r="A36">
            <v>7011</v>
          </cell>
          <cell r="C36" t="str">
            <v>Prispevki delodajalcev</v>
          </cell>
          <cell r="D36">
            <v>2419313.4799099998</v>
          </cell>
          <cell r="E36">
            <v>2782941</v>
          </cell>
          <cell r="F36">
            <v>-363627.52009000024</v>
          </cell>
          <cell r="G36" t="str">
            <v xml:space="preserve"> </v>
          </cell>
          <cell r="H36" t="str">
            <v xml:space="preserve"> </v>
          </cell>
          <cell r="I36">
            <v>208584.07119070366</v>
          </cell>
          <cell r="J36">
            <v>204600.07809445178</v>
          </cell>
          <cell r="K36">
            <v>214045.07572831571</v>
          </cell>
          <cell r="L36">
            <v>627229.22501347121</v>
          </cell>
          <cell r="M36">
            <v>111.71044500000001</v>
          </cell>
          <cell r="N36">
            <v>211969.63637069226</v>
          </cell>
          <cell r="O36">
            <v>220266.24495506572</v>
          </cell>
          <cell r="P36">
            <v>224302.00357676824</v>
          </cell>
          <cell r="Q36">
            <v>1283767.1099159976</v>
          </cell>
          <cell r="R36">
            <v>229924.111567229</v>
          </cell>
          <cell r="S36">
            <v>225654.27147190488</v>
          </cell>
          <cell r="T36">
            <v>225320.14328553004</v>
          </cell>
          <cell r="U36">
            <v>226731.88892713498</v>
          </cell>
          <cell r="V36">
            <v>234068.01251294999</v>
          </cell>
          <cell r="W36">
            <v>277160.31667169993</v>
          </cell>
          <cell r="X36">
            <v>0</v>
          </cell>
          <cell r="Y36">
            <v>2702625.8543524467</v>
          </cell>
          <cell r="Z36" t="str">
            <v xml:space="preserve"> </v>
          </cell>
          <cell r="AA36">
            <v>111.71044500000002</v>
          </cell>
          <cell r="AB36" t="str">
            <v xml:space="preserve"> </v>
          </cell>
        </row>
        <row r="37">
          <cell r="A37">
            <v>7012</v>
          </cell>
          <cell r="C37" t="str">
            <v xml:space="preserve">Prispevki samozaposlenih </v>
          </cell>
          <cell r="D37">
            <v>363828.22435999999</v>
          </cell>
          <cell r="F37">
            <v>363828.22435999999</v>
          </cell>
          <cell r="G37" t="str">
            <v xml:space="preserve"> </v>
          </cell>
          <cell r="H37" t="str">
            <v xml:space="preserve"> </v>
          </cell>
          <cell r="I37">
            <v>22775.711792595986</v>
          </cell>
          <cell r="J37">
            <v>30215.970782819739</v>
          </cell>
          <cell r="K37">
            <v>35905.03686339593</v>
          </cell>
          <cell r="L37">
            <v>88896.719438811648</v>
          </cell>
          <cell r="M37">
            <v>111.71044499999998</v>
          </cell>
          <cell r="N37">
            <v>24194.767698695508</v>
          </cell>
          <cell r="O37">
            <v>36871.476095699087</v>
          </cell>
          <cell r="P37">
            <v>41703.983158554365</v>
          </cell>
          <cell r="Q37">
            <v>191666.9463917606</v>
          </cell>
          <cell r="R37">
            <v>27005.291912726014</v>
          </cell>
          <cell r="S37">
            <v>34056.529779019082</v>
          </cell>
          <cell r="T37">
            <v>45855.533454654564</v>
          </cell>
          <cell r="U37">
            <v>35782.541478706982</v>
          </cell>
          <cell r="V37">
            <v>36819.288740437078</v>
          </cell>
          <cell r="W37">
            <v>35247.996710849999</v>
          </cell>
          <cell r="X37">
            <v>0</v>
          </cell>
          <cell r="Y37">
            <v>406434.12846815429</v>
          </cell>
          <cell r="Z37" t="str">
            <v xml:space="preserve"> </v>
          </cell>
          <cell r="AA37">
            <v>111.71044499999998</v>
          </cell>
          <cell r="AB37" t="str">
            <v xml:space="preserve"> </v>
          </cell>
        </row>
        <row r="38">
          <cell r="A38">
            <v>7013</v>
          </cell>
          <cell r="C38" t="str">
            <v>Ostali prispevki za socialno varnost</v>
          </cell>
          <cell r="D38">
            <v>32679.976910000001</v>
          </cell>
          <cell r="E38">
            <v>79832.858496000001</v>
          </cell>
          <cell r="F38">
            <v>-47152.881586000003</v>
          </cell>
          <cell r="G38" t="str">
            <v xml:space="preserve"> </v>
          </cell>
          <cell r="H38" t="str">
            <v xml:space="preserve"> </v>
          </cell>
          <cell r="I38">
            <v>423.49178350998761</v>
          </cell>
          <cell r="J38">
            <v>1771.8534548321143</v>
          </cell>
          <cell r="K38">
            <v>3316.0826795791691</v>
          </cell>
          <cell r="L38">
            <v>5511.4279179212708</v>
          </cell>
          <cell r="M38">
            <v>111.71044499999998</v>
          </cell>
          <cell r="N38">
            <v>4453.2218058245608</v>
          </cell>
          <cell r="O38">
            <v>6487.4011340081797</v>
          </cell>
          <cell r="P38">
            <v>3431.2418270951202</v>
          </cell>
          <cell r="Q38">
            <v>19883.29268484913</v>
          </cell>
          <cell r="R38">
            <v>2506.0714493569753</v>
          </cell>
          <cell r="S38">
            <v>3117.0370868754803</v>
          </cell>
          <cell r="T38">
            <v>2167.6785603495327</v>
          </cell>
          <cell r="U38">
            <v>3044.3149388768657</v>
          </cell>
          <cell r="V38">
            <v>2182.539747150262</v>
          </cell>
          <cell r="W38">
            <v>3606.0131645999995</v>
          </cell>
          <cell r="X38">
            <v>0</v>
          </cell>
          <cell r="Y38">
            <v>36506.947632058247</v>
          </cell>
          <cell r="Z38" t="str">
            <v xml:space="preserve"> </v>
          </cell>
          <cell r="AA38">
            <v>111.71044499999998</v>
          </cell>
          <cell r="AB38" t="str">
            <v xml:space="preserve"> </v>
          </cell>
        </row>
        <row r="39">
          <cell r="D39" t="str">
            <v xml:space="preserve"> </v>
          </cell>
          <cell r="V39" t="str">
            <v xml:space="preserve"> </v>
          </cell>
          <cell r="W39" t="str">
            <v xml:space="preserve"> </v>
          </cell>
          <cell r="Y39" t="str">
            <v xml:space="preserve"> </v>
          </cell>
        </row>
        <row r="40">
          <cell r="A40">
            <v>702</v>
          </cell>
          <cell r="C40" t="str">
            <v>DAVKI NA PLAČILNO LISTO IN DELOVNO SILO</v>
          </cell>
          <cell r="D40">
            <v>68070624.233819991</v>
          </cell>
          <cell r="E40">
            <v>60855799.585000001</v>
          </cell>
          <cell r="F40">
            <v>7214824.6488199905</v>
          </cell>
          <cell r="G40">
            <v>122.83567135001263</v>
          </cell>
          <cell r="H40">
            <v>12.796759733712236</v>
          </cell>
          <cell r="I40">
            <v>5756909.8460366726</v>
          </cell>
          <cell r="J40">
            <v>5546505.8062167633</v>
          </cell>
          <cell r="K40">
            <v>5793328.1552190408</v>
          </cell>
          <cell r="L40">
            <v>17096743.807472475</v>
          </cell>
          <cell r="M40">
            <v>112.4596682656825</v>
          </cell>
          <cell r="N40">
            <v>5906846.9879563525</v>
          </cell>
          <cell r="O40">
            <v>5884012.4997286499</v>
          </cell>
          <cell r="P40">
            <v>6292821.240125034</v>
          </cell>
          <cell r="Q40">
            <v>35180424.535282508</v>
          </cell>
          <cell r="R40">
            <v>6229167.7177747423</v>
          </cell>
          <cell r="S40">
            <v>6270537.6388367526</v>
          </cell>
          <cell r="T40">
            <v>6315137.2993122628</v>
          </cell>
          <cell r="U40">
            <v>6532547.3940329775</v>
          </cell>
          <cell r="V40">
            <v>6859959.4707339182</v>
          </cell>
          <cell r="W40">
            <v>9185016.2705069985</v>
          </cell>
          <cell r="X40">
            <v>0</v>
          </cell>
          <cell r="Y40">
            <v>76572790.32648015</v>
          </cell>
          <cell r="Z40" t="e">
            <v>#VALUE!</v>
          </cell>
          <cell r="AA40">
            <v>112.49021319894987</v>
          </cell>
          <cell r="AB40">
            <v>4.3508471233301407</v>
          </cell>
        </row>
        <row r="41">
          <cell r="C41" t="str">
            <v xml:space="preserve">                                 - dinamizirani sprejeti proračun</v>
          </cell>
          <cell r="D41">
            <v>63480638</v>
          </cell>
          <cell r="E41" t="str">
            <v xml:space="preserve"> </v>
          </cell>
          <cell r="I41">
            <v>5118901</v>
          </cell>
          <cell r="J41">
            <v>5118901</v>
          </cell>
          <cell r="K41">
            <v>5118901</v>
          </cell>
          <cell r="L41">
            <v>15356703</v>
          </cell>
          <cell r="N41">
            <v>5118901</v>
          </cell>
          <cell r="O41">
            <v>5118901</v>
          </cell>
          <cell r="P41">
            <v>5118901</v>
          </cell>
          <cell r="Q41">
            <v>30713406</v>
          </cell>
          <cell r="R41">
            <v>5118901</v>
          </cell>
          <cell r="S41">
            <v>5118901</v>
          </cell>
          <cell r="T41">
            <v>5118901</v>
          </cell>
          <cell r="U41">
            <v>5118901</v>
          </cell>
          <cell r="V41">
            <v>5350130</v>
          </cell>
          <cell r="W41">
            <v>7172727</v>
          </cell>
          <cell r="X41">
            <v>0</v>
          </cell>
          <cell r="Y41">
            <v>63711867</v>
          </cell>
          <cell r="Z41" t="str">
            <v xml:space="preserve"> </v>
          </cell>
        </row>
        <row r="42">
          <cell r="A42">
            <v>7020</v>
          </cell>
          <cell r="C42" t="str">
            <v>Davek na izplačane plače</v>
          </cell>
          <cell r="D42">
            <v>63849278.782150008</v>
          </cell>
          <cell r="E42">
            <v>56635800</v>
          </cell>
          <cell r="F42">
            <v>7213478.7821500078</v>
          </cell>
          <cell r="G42">
            <v>124.08929629234098</v>
          </cell>
          <cell r="H42">
            <v>13.947930479651944</v>
          </cell>
          <cell r="I42">
            <v>5388274.4075869322</v>
          </cell>
          <cell r="J42">
            <v>5187282.2900837436</v>
          </cell>
          <cell r="K42">
            <v>5404766.1651196806</v>
          </cell>
          <cell r="L42">
            <v>15980322.862790357</v>
          </cell>
          <cell r="M42">
            <v>112.80030299999999</v>
          </cell>
          <cell r="N42">
            <v>5524516.7141739726</v>
          </cell>
          <cell r="O42">
            <v>5522305.7967864498</v>
          </cell>
          <cell r="P42">
            <v>5880491.9987040143</v>
          </cell>
          <cell r="Q42">
            <v>32907637.372454792</v>
          </cell>
          <cell r="R42">
            <v>5817660.4017333826</v>
          </cell>
          <cell r="S42">
            <v>5910269.0667610327</v>
          </cell>
          <cell r="T42">
            <v>6003564.1321115829</v>
          </cell>
          <cell r="U42">
            <v>6172221.3336294377</v>
          </cell>
          <cell r="V42">
            <v>6494861.0103826784</v>
          </cell>
          <cell r="W42">
            <v>8715966.6125069987</v>
          </cell>
          <cell r="X42">
            <v>0</v>
          </cell>
          <cell r="Y42">
            <v>72022179.929579899</v>
          </cell>
          <cell r="Z42" t="str">
            <v xml:space="preserve"> </v>
          </cell>
          <cell r="AA42">
            <v>112.80030299999997</v>
          </cell>
          <cell r="AB42">
            <v>4.638499999999965</v>
          </cell>
        </row>
        <row r="43">
          <cell r="A43">
            <v>7021</v>
          </cell>
          <cell r="C43" t="str">
            <v>Posebni davek na določene prejemke</v>
          </cell>
          <cell r="D43">
            <v>4221345.4516700003</v>
          </cell>
          <cell r="E43">
            <v>4219999.585</v>
          </cell>
          <cell r="F43">
            <v>1345.8666700003669</v>
          </cell>
          <cell r="G43">
            <v>106.55370151477635</v>
          </cell>
          <cell r="H43">
            <v>-2.1545440635662487</v>
          </cell>
          <cell r="I43">
            <v>368635.43844974006</v>
          </cell>
          <cell r="J43">
            <v>359223.51613301999</v>
          </cell>
          <cell r="K43">
            <v>388561.99009936</v>
          </cell>
          <cell r="L43">
            <v>1116420.9446821201</v>
          </cell>
          <cell r="M43">
            <v>107.8</v>
          </cell>
          <cell r="N43">
            <v>382330.27378237987</v>
          </cell>
          <cell r="O43">
            <v>361706.70294220006</v>
          </cell>
          <cell r="P43">
            <v>412329.24142102007</v>
          </cell>
          <cell r="Q43">
            <v>2272787.1628277199</v>
          </cell>
          <cell r="R43">
            <v>411507.31604136003</v>
          </cell>
          <cell r="S43">
            <v>360268.57207572</v>
          </cell>
          <cell r="T43">
            <v>311573.16720068001</v>
          </cell>
          <cell r="U43">
            <v>360326.06040353997</v>
          </cell>
          <cell r="V43">
            <v>365098.46035124012</v>
          </cell>
          <cell r="W43">
            <v>469049.65800000005</v>
          </cell>
          <cell r="X43">
            <v>0</v>
          </cell>
          <cell r="Y43">
            <v>4550610.3969002599</v>
          </cell>
          <cell r="Z43" t="str">
            <v xml:space="preserve"> </v>
          </cell>
          <cell r="AA43">
            <v>107.8</v>
          </cell>
          <cell r="AB43">
            <v>0</v>
          </cell>
        </row>
        <row r="44">
          <cell r="D44" t="str">
            <v xml:space="preserve"> </v>
          </cell>
          <cell r="Y44" t="str">
            <v xml:space="preserve"> </v>
          </cell>
        </row>
        <row r="45">
          <cell r="A45">
            <v>703</v>
          </cell>
          <cell r="C45" t="str">
            <v>DAVKI NA PREMOŽENJE</v>
          </cell>
          <cell r="D45">
            <v>1042715.6938100002</v>
          </cell>
          <cell r="E45">
            <v>5012800</v>
          </cell>
          <cell r="F45">
            <v>-3970084.3061899999</v>
          </cell>
          <cell r="G45">
            <v>50.167367684657115</v>
          </cell>
          <cell r="H45">
            <v>-53.932628388744618</v>
          </cell>
          <cell r="I45">
            <v>0</v>
          </cell>
          <cell r="J45">
            <v>0</v>
          </cell>
          <cell r="K45">
            <v>0</v>
          </cell>
          <cell r="L45">
            <v>0</v>
          </cell>
          <cell r="N45">
            <v>0</v>
          </cell>
          <cell r="O45">
            <v>0</v>
          </cell>
          <cell r="P45">
            <v>500000</v>
          </cell>
          <cell r="Q45">
            <v>500000</v>
          </cell>
          <cell r="R45">
            <v>0</v>
          </cell>
          <cell r="S45">
            <v>0</v>
          </cell>
          <cell r="T45">
            <v>0</v>
          </cell>
          <cell r="U45">
            <v>0</v>
          </cell>
          <cell r="V45">
            <v>550000</v>
          </cell>
          <cell r="W45">
            <v>0</v>
          </cell>
          <cell r="X45">
            <v>0</v>
          </cell>
          <cell r="Y45">
            <v>1050000</v>
          </cell>
          <cell r="Z45">
            <v>0</v>
          </cell>
          <cell r="AA45">
            <v>100.69858986809564</v>
          </cell>
          <cell r="AB45">
            <v>-6.5875789720819711</v>
          </cell>
        </row>
        <row r="46">
          <cell r="C46" t="str">
            <v xml:space="preserve">                                 - dinamizirani sprejeti proračun</v>
          </cell>
          <cell r="D46">
            <v>0</v>
          </cell>
          <cell r="E46" t="str">
            <v xml:space="preserve"> </v>
          </cell>
          <cell r="I46">
            <v>0</v>
          </cell>
          <cell r="J46">
            <v>0</v>
          </cell>
          <cell r="K46">
            <v>0</v>
          </cell>
          <cell r="L46">
            <v>0</v>
          </cell>
          <cell r="N46">
            <v>0</v>
          </cell>
          <cell r="O46">
            <v>0</v>
          </cell>
          <cell r="P46">
            <v>0</v>
          </cell>
          <cell r="Q46">
            <v>0</v>
          </cell>
          <cell r="R46">
            <v>0</v>
          </cell>
          <cell r="S46">
            <v>0</v>
          </cell>
          <cell r="T46">
            <v>0</v>
          </cell>
          <cell r="U46">
            <v>0</v>
          </cell>
          <cell r="V46">
            <v>0</v>
          </cell>
          <cell r="W46">
            <v>0</v>
          </cell>
          <cell r="X46">
            <v>0</v>
          </cell>
          <cell r="Y46">
            <v>0</v>
          </cell>
          <cell r="Z46" t="str">
            <v xml:space="preserve"> </v>
          </cell>
        </row>
        <row r="47">
          <cell r="A47">
            <v>7030</v>
          </cell>
          <cell r="C47" t="str">
            <v>Davki na nepremičnine</v>
          </cell>
          <cell r="I47">
            <v>0</v>
          </cell>
          <cell r="J47">
            <v>0</v>
          </cell>
          <cell r="K47">
            <v>0</v>
          </cell>
          <cell r="L47">
            <v>0</v>
          </cell>
          <cell r="N47">
            <v>0</v>
          </cell>
          <cell r="O47">
            <v>0</v>
          </cell>
          <cell r="P47">
            <v>0</v>
          </cell>
          <cell r="Q47">
            <v>0</v>
          </cell>
          <cell r="R47">
            <v>0</v>
          </cell>
          <cell r="S47">
            <v>0</v>
          </cell>
          <cell r="T47">
            <v>0</v>
          </cell>
          <cell r="U47">
            <v>0</v>
          </cell>
        </row>
        <row r="48">
          <cell r="A48">
            <v>7031</v>
          </cell>
          <cell r="C48" t="str">
            <v>Davki na premičnine</v>
          </cell>
          <cell r="I48">
            <v>0</v>
          </cell>
          <cell r="J48">
            <v>0</v>
          </cell>
          <cell r="K48">
            <v>0</v>
          </cell>
          <cell r="L48">
            <v>0</v>
          </cell>
          <cell r="N48">
            <v>0</v>
          </cell>
          <cell r="O48">
            <v>0</v>
          </cell>
          <cell r="P48">
            <v>0</v>
          </cell>
          <cell r="Q48">
            <v>0</v>
          </cell>
          <cell r="R48">
            <v>0</v>
          </cell>
          <cell r="S48">
            <v>0</v>
          </cell>
          <cell r="T48">
            <v>0</v>
          </cell>
          <cell r="U48">
            <v>0</v>
          </cell>
        </row>
        <row r="49">
          <cell r="A49">
            <v>7032</v>
          </cell>
          <cell r="C49" t="str">
            <v>Davki na dediščine in darila</v>
          </cell>
          <cell r="I49">
            <v>0</v>
          </cell>
          <cell r="J49">
            <v>0</v>
          </cell>
          <cell r="K49">
            <v>0</v>
          </cell>
          <cell r="L49">
            <v>0</v>
          </cell>
          <cell r="N49">
            <v>0</v>
          </cell>
          <cell r="O49">
            <v>0</v>
          </cell>
          <cell r="P49">
            <v>0</v>
          </cell>
          <cell r="Q49">
            <v>0</v>
          </cell>
          <cell r="R49">
            <v>0</v>
          </cell>
          <cell r="S49">
            <v>0</v>
          </cell>
          <cell r="T49">
            <v>0</v>
          </cell>
          <cell r="U49">
            <v>0</v>
          </cell>
        </row>
        <row r="50">
          <cell r="A50">
            <v>7033</v>
          </cell>
          <cell r="C50" t="str">
            <v>Davki na promet nepremičnin in na finančno premoženje</v>
          </cell>
          <cell r="D50">
            <v>1042715.6938100002</v>
          </cell>
          <cell r="E50">
            <v>5012800</v>
          </cell>
          <cell r="F50">
            <v>-3970084.3061899999</v>
          </cell>
          <cell r="G50">
            <v>50.167367684657115</v>
          </cell>
          <cell r="H50">
            <v>-53.932628388744618</v>
          </cell>
          <cell r="I50">
            <v>0</v>
          </cell>
          <cell r="J50">
            <v>0</v>
          </cell>
          <cell r="K50">
            <v>0</v>
          </cell>
          <cell r="L50">
            <v>0</v>
          </cell>
          <cell r="N50">
            <v>0</v>
          </cell>
          <cell r="O50">
            <v>0</v>
          </cell>
          <cell r="P50">
            <v>500000</v>
          </cell>
          <cell r="Q50">
            <v>500000</v>
          </cell>
          <cell r="R50">
            <v>0</v>
          </cell>
          <cell r="S50">
            <v>0</v>
          </cell>
          <cell r="T50">
            <v>0</v>
          </cell>
          <cell r="U50">
            <v>0</v>
          </cell>
          <cell r="V50">
            <v>550000</v>
          </cell>
          <cell r="W50">
            <v>0</v>
          </cell>
          <cell r="X50">
            <v>0</v>
          </cell>
          <cell r="Y50">
            <v>1050000</v>
          </cell>
          <cell r="Z50" t="str">
            <v xml:space="preserve"> </v>
          </cell>
          <cell r="AA50">
            <v>100.69858986809564</v>
          </cell>
          <cell r="AB50">
            <v>-6.5875789720819711</v>
          </cell>
        </row>
        <row r="51">
          <cell r="C51" t="str">
            <v>(davek na bilančno vsoto bank in hranilnic)</v>
          </cell>
          <cell r="D51" t="str">
            <v xml:space="preserve"> </v>
          </cell>
          <cell r="Q51">
            <v>0</v>
          </cell>
          <cell r="V51" t="str">
            <v xml:space="preserve"> </v>
          </cell>
          <cell r="Y51" t="str">
            <v xml:space="preserve"> </v>
          </cell>
        </row>
        <row r="52">
          <cell r="D52" t="str">
            <v xml:space="preserve"> </v>
          </cell>
          <cell r="Y52" t="str">
            <v xml:space="preserve"> </v>
          </cell>
        </row>
        <row r="53">
          <cell r="A53">
            <v>704</v>
          </cell>
          <cell r="C53" t="str">
            <v>DOMAČI DAVKI NA BLAGO IN STORITVE</v>
          </cell>
          <cell r="D53">
            <v>593927877.41895008</v>
          </cell>
          <cell r="E53">
            <v>630202999.626176</v>
          </cell>
          <cell r="F53">
            <v>-36275122.207225919</v>
          </cell>
          <cell r="G53">
            <v>100.10801270932677</v>
          </cell>
          <cell r="H53">
            <v>-8.0734502210038812</v>
          </cell>
          <cell r="I53">
            <v>4326937.6669651298</v>
          </cell>
          <cell r="J53">
            <v>32345368.615871631</v>
          </cell>
          <cell r="K53">
            <v>49628140.525387578</v>
          </cell>
          <cell r="L53">
            <v>86300446.808224335</v>
          </cell>
          <cell r="M53">
            <v>83.84283990657552</v>
          </cell>
          <cell r="N53">
            <v>62917534.795719907</v>
          </cell>
          <cell r="O53">
            <v>52326908.514493138</v>
          </cell>
          <cell r="P53">
            <v>32558599.429167844</v>
          </cell>
          <cell r="Q53">
            <v>234103489.54760522</v>
          </cell>
          <cell r="R53">
            <v>80654256.638333142</v>
          </cell>
          <cell r="S53">
            <v>54076810.954486705</v>
          </cell>
          <cell r="T53">
            <v>23532814.718358696</v>
          </cell>
          <cell r="U53">
            <v>64337705.61983411</v>
          </cell>
          <cell r="V53">
            <v>68778743.986749932</v>
          </cell>
          <cell r="W53">
            <v>54562512.023384005</v>
          </cell>
          <cell r="X53">
            <v>60072807.423999995</v>
          </cell>
          <cell r="Y53">
            <v>640119140.91275191</v>
          </cell>
          <cell r="Z53" t="e">
            <v>#VALUE!</v>
          </cell>
          <cell r="AA53">
            <v>107.7772512875699</v>
          </cell>
          <cell r="AB53">
            <v>-2.1102701697685688E-2</v>
          </cell>
        </row>
        <row r="55">
          <cell r="C55" t="str">
            <v xml:space="preserve">                                 - dinamizirani sprejeti proračun</v>
          </cell>
          <cell r="D55">
            <v>164345862</v>
          </cell>
          <cell r="E55" t="str">
            <v xml:space="preserve"> </v>
          </cell>
          <cell r="I55">
            <v>5334587</v>
          </cell>
          <cell r="J55">
            <v>5334587</v>
          </cell>
          <cell r="K55">
            <v>5334587</v>
          </cell>
          <cell r="L55">
            <v>16003761</v>
          </cell>
          <cell r="N55">
            <v>5334587</v>
          </cell>
          <cell r="O55">
            <v>5334587</v>
          </cell>
          <cell r="P55">
            <v>5334587</v>
          </cell>
          <cell r="Q55">
            <v>32007522</v>
          </cell>
          <cell r="R55">
            <v>5334587</v>
          </cell>
          <cell r="S55">
            <v>5334587</v>
          </cell>
          <cell r="T55">
            <v>5334587</v>
          </cell>
          <cell r="U55">
            <v>5334587</v>
          </cell>
          <cell r="V55">
            <v>72672985</v>
          </cell>
          <cell r="W55">
            <v>28005405</v>
          </cell>
          <cell r="X55">
            <v>77660000</v>
          </cell>
          <cell r="Y55">
            <v>231684260</v>
          </cell>
          <cell r="Z55" t="str">
            <v xml:space="preserve"> </v>
          </cell>
        </row>
        <row r="56">
          <cell r="A56">
            <v>7040</v>
          </cell>
          <cell r="C56" t="str">
            <v>Splošni prometni davki, davki na dodano vrednost</v>
          </cell>
          <cell r="D56">
            <v>411072285.48887002</v>
          </cell>
          <cell r="E56">
            <v>436425000</v>
          </cell>
          <cell r="F56">
            <v>-25352714.511129975</v>
          </cell>
          <cell r="G56">
            <v>86.956302903498965</v>
          </cell>
          <cell r="H56">
            <v>-20.150318729569364</v>
          </cell>
          <cell r="I56">
            <v>200000</v>
          </cell>
          <cell r="J56">
            <v>27116029.226837486</v>
          </cell>
          <cell r="K56">
            <v>24404111.340663455</v>
          </cell>
          <cell r="L56">
            <v>51720140.567500941</v>
          </cell>
          <cell r="M56">
            <v>73.604464421690039</v>
          </cell>
          <cell r="N56">
            <v>46599472.648850836</v>
          </cell>
          <cell r="O56">
            <v>35684259.585644335</v>
          </cell>
          <cell r="P56">
            <v>26651426.958430678</v>
          </cell>
          <cell r="Q56">
            <v>160655299.76042679</v>
          </cell>
          <cell r="R56">
            <v>53111141.36225377</v>
          </cell>
          <cell r="S56">
            <v>37997434.138323173</v>
          </cell>
          <cell r="T56">
            <v>18680817.258478794</v>
          </cell>
          <cell r="U56">
            <v>35986846.484209791</v>
          </cell>
          <cell r="V56">
            <v>53089492.598139234</v>
          </cell>
          <cell r="W56">
            <v>39422220.157384001</v>
          </cell>
          <cell r="X56">
            <v>47772807.423999995</v>
          </cell>
          <cell r="Y56">
            <v>446716059.1832155</v>
          </cell>
          <cell r="Z56" t="e">
            <v>#VALUE!</v>
          </cell>
          <cell r="AA56">
            <v>108.67092600318603</v>
          </cell>
          <cell r="AB56">
            <v>0.80790909386459475</v>
          </cell>
        </row>
        <row r="57">
          <cell r="M57" t="str">
            <v xml:space="preserve"> </v>
          </cell>
        </row>
        <row r="58">
          <cell r="C58" t="str">
            <v xml:space="preserve">                                 - dinamizirani sprejeti proračun</v>
          </cell>
          <cell r="D58">
            <v>93393366</v>
          </cell>
          <cell r="E58" t="str">
            <v xml:space="preserve"> </v>
          </cell>
          <cell r="I58">
            <v>1490306</v>
          </cell>
          <cell r="J58">
            <v>1490306</v>
          </cell>
          <cell r="K58">
            <v>1490306</v>
          </cell>
          <cell r="L58">
            <v>4470918</v>
          </cell>
          <cell r="N58">
            <v>1490306</v>
          </cell>
          <cell r="O58">
            <v>1490306</v>
          </cell>
          <cell r="P58">
            <v>1490306</v>
          </cell>
          <cell r="Q58">
            <v>8941836</v>
          </cell>
          <cell r="R58">
            <v>1490306</v>
          </cell>
          <cell r="S58">
            <v>1490306</v>
          </cell>
          <cell r="T58">
            <v>1490306</v>
          </cell>
          <cell r="U58">
            <v>1490306</v>
          </cell>
          <cell r="V58">
            <v>55500000</v>
          </cell>
          <cell r="W58">
            <v>20000000</v>
          </cell>
          <cell r="X58">
            <v>57000000</v>
          </cell>
          <cell r="Y58">
            <v>147403060</v>
          </cell>
          <cell r="Z58" t="str">
            <v xml:space="preserve"> </v>
          </cell>
        </row>
        <row r="59">
          <cell r="C59" t="str">
            <v xml:space="preserve">1.    Davek od prometa proizvodov in storitev </v>
          </cell>
          <cell r="D59">
            <v>11203092.30036</v>
          </cell>
          <cell r="E59">
            <v>5000000</v>
          </cell>
          <cell r="F59">
            <v>6203092.3003599998</v>
          </cell>
          <cell r="G59">
            <v>4.2133787163824659</v>
          </cell>
          <cell r="H59">
            <v>-96.130965366039973</v>
          </cell>
          <cell r="I59">
            <v>200000</v>
          </cell>
          <cell r="J59">
            <v>200000</v>
          </cell>
          <cell r="K59">
            <v>200000</v>
          </cell>
          <cell r="L59">
            <v>600000</v>
          </cell>
          <cell r="M59">
            <v>21.577241894640011</v>
          </cell>
          <cell r="N59">
            <v>100000</v>
          </cell>
          <cell r="O59">
            <v>100000</v>
          </cell>
          <cell r="P59">
            <v>100000</v>
          </cell>
          <cell r="Q59">
            <v>900000</v>
          </cell>
          <cell r="R59">
            <v>100000</v>
          </cell>
          <cell r="S59">
            <v>0</v>
          </cell>
          <cell r="T59">
            <v>0</v>
          </cell>
          <cell r="U59">
            <v>0</v>
          </cell>
          <cell r="V59">
            <v>0</v>
          </cell>
          <cell r="W59">
            <v>0</v>
          </cell>
          <cell r="X59">
            <v>0</v>
          </cell>
          <cell r="Y59">
            <v>1000000</v>
          </cell>
          <cell r="Z59" t="e">
            <v>#VALUE!</v>
          </cell>
          <cell r="AA59">
            <v>8.9261069460961782</v>
          </cell>
          <cell r="AB59">
            <v>-91.71975236911301</v>
          </cell>
        </row>
        <row r="60">
          <cell r="C60" t="str">
            <v xml:space="preserve">                                 - dinamizirani sprejeti proračun</v>
          </cell>
          <cell r="D60">
            <v>16393366</v>
          </cell>
          <cell r="I60">
            <v>1490306</v>
          </cell>
          <cell r="J60">
            <v>1490306</v>
          </cell>
          <cell r="K60">
            <v>1490306</v>
          </cell>
          <cell r="L60">
            <v>4470918</v>
          </cell>
          <cell r="N60">
            <v>1490306</v>
          </cell>
          <cell r="O60">
            <v>1490306</v>
          </cell>
          <cell r="P60">
            <v>1490306</v>
          </cell>
          <cell r="Q60">
            <v>8941836</v>
          </cell>
          <cell r="R60">
            <v>1490306</v>
          </cell>
          <cell r="S60">
            <v>1490306</v>
          </cell>
          <cell r="T60">
            <v>1490306</v>
          </cell>
          <cell r="U60">
            <v>1490306</v>
          </cell>
          <cell r="V60">
            <v>0</v>
          </cell>
          <cell r="W60">
            <v>0</v>
          </cell>
          <cell r="X60">
            <v>0</v>
          </cell>
          <cell r="Y60">
            <v>14903060</v>
          </cell>
        </row>
        <row r="61">
          <cell r="C61" t="str">
            <v>1.1. Davek od prometa proizvodov</v>
          </cell>
          <cell r="D61">
            <v>5606637.4071800001</v>
          </cell>
          <cell r="E61">
            <v>3500000</v>
          </cell>
          <cell r="F61">
            <v>2106637.4071800001</v>
          </cell>
          <cell r="G61" t="str">
            <v>…</v>
          </cell>
          <cell r="H61" t="str">
            <v>…</v>
          </cell>
          <cell r="I61">
            <v>100000</v>
          </cell>
          <cell r="J61">
            <v>100000</v>
          </cell>
          <cell r="K61">
            <v>100000</v>
          </cell>
          <cell r="L61">
            <v>300000</v>
          </cell>
          <cell r="N61">
            <v>50000</v>
          </cell>
          <cell r="O61">
            <v>50000</v>
          </cell>
          <cell r="P61">
            <v>50000</v>
          </cell>
          <cell r="Q61">
            <v>450000</v>
          </cell>
          <cell r="R61">
            <v>50000</v>
          </cell>
          <cell r="S61">
            <v>0</v>
          </cell>
          <cell r="T61">
            <v>0</v>
          </cell>
          <cell r="U61">
            <v>0</v>
          </cell>
          <cell r="V61">
            <v>0</v>
          </cell>
          <cell r="W61">
            <v>0</v>
          </cell>
          <cell r="X61">
            <v>0</v>
          </cell>
          <cell r="Y61">
            <v>500000</v>
          </cell>
          <cell r="Z61" t="str">
            <v xml:space="preserve"> </v>
          </cell>
          <cell r="AA61" t="str">
            <v>…</v>
          </cell>
          <cell r="AB61" t="str">
            <v>…</v>
          </cell>
        </row>
        <row r="62">
          <cell r="C62" t="str">
            <v xml:space="preserve">       v tem:</v>
          </cell>
          <cell r="D62" t="str">
            <v xml:space="preserve"> </v>
          </cell>
          <cell r="I62" t="str">
            <v xml:space="preserve"> </v>
          </cell>
          <cell r="J62" t="str">
            <v xml:space="preserve"> </v>
          </cell>
          <cell r="K62" t="str">
            <v xml:space="preserve"> </v>
          </cell>
          <cell r="N62" t="str">
            <v xml:space="preserve"> </v>
          </cell>
          <cell r="O62" t="str">
            <v xml:space="preserve"> </v>
          </cell>
          <cell r="P62" t="str">
            <v xml:space="preserve"> </v>
          </cell>
          <cell r="R62" t="str">
            <v xml:space="preserve"> </v>
          </cell>
          <cell r="S62" t="str">
            <v xml:space="preserve"> </v>
          </cell>
          <cell r="T62" t="str">
            <v xml:space="preserve"> </v>
          </cell>
          <cell r="U62" t="str">
            <v xml:space="preserve"> </v>
          </cell>
          <cell r="Y62" t="str">
            <v xml:space="preserve"> </v>
          </cell>
        </row>
        <row r="63">
          <cell r="C63" t="str">
            <v xml:space="preserve">      - naftni derivati</v>
          </cell>
          <cell r="D63" t="str">
            <v xml:space="preserve"> </v>
          </cell>
          <cell r="G63" t="str">
            <v>…</v>
          </cell>
          <cell r="H63" t="str">
            <v>…</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Y63" t="str">
            <v xml:space="preserve"> </v>
          </cell>
          <cell r="AA63" t="str">
            <v>…</v>
          </cell>
          <cell r="AB63" t="str">
            <v>…</v>
          </cell>
        </row>
        <row r="64">
          <cell r="C64" t="str">
            <v xml:space="preserve">      - tobak</v>
          </cell>
          <cell r="D64" t="str">
            <v xml:space="preserve"> </v>
          </cell>
          <cell r="G64" t="str">
            <v>…</v>
          </cell>
          <cell r="H64" t="str">
            <v>…</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Y64" t="str">
            <v xml:space="preserve"> </v>
          </cell>
          <cell r="AA64" t="str">
            <v>…</v>
          </cell>
          <cell r="AB64" t="str">
            <v>…</v>
          </cell>
        </row>
        <row r="65">
          <cell r="C65" t="str">
            <v xml:space="preserve">      - alkohol</v>
          </cell>
          <cell r="D65" t="str">
            <v xml:space="preserve"> </v>
          </cell>
          <cell r="G65" t="str">
            <v>…</v>
          </cell>
          <cell r="H65" t="str">
            <v>…</v>
          </cell>
          <cell r="I65">
            <v>0</v>
          </cell>
          <cell r="J65">
            <v>0</v>
          </cell>
          <cell r="K65">
            <v>0</v>
          </cell>
          <cell r="L65">
            <v>0</v>
          </cell>
          <cell r="N65">
            <v>0</v>
          </cell>
          <cell r="O65">
            <v>0</v>
          </cell>
          <cell r="P65">
            <v>0</v>
          </cell>
          <cell r="Q65">
            <v>0</v>
          </cell>
          <cell r="R65">
            <v>0</v>
          </cell>
          <cell r="S65">
            <v>0</v>
          </cell>
          <cell r="T65">
            <v>0</v>
          </cell>
          <cell r="U65">
            <v>0</v>
          </cell>
          <cell r="V65">
            <v>0</v>
          </cell>
          <cell r="W65">
            <v>0</v>
          </cell>
          <cell r="X65">
            <v>0</v>
          </cell>
          <cell r="Y65" t="str">
            <v xml:space="preserve"> </v>
          </cell>
          <cell r="AA65" t="str">
            <v>…</v>
          </cell>
          <cell r="AB65" t="str">
            <v>…</v>
          </cell>
        </row>
        <row r="66">
          <cell r="C66" t="str">
            <v xml:space="preserve">      - ostali davki od prometa proizvodov</v>
          </cell>
          <cell r="D66" t="str">
            <v xml:space="preserve"> </v>
          </cell>
          <cell r="G66" t="str">
            <v>…</v>
          </cell>
          <cell r="H66" t="str">
            <v>…</v>
          </cell>
          <cell r="I66">
            <v>100000</v>
          </cell>
          <cell r="J66">
            <v>100000</v>
          </cell>
          <cell r="K66">
            <v>100000</v>
          </cell>
          <cell r="L66">
            <v>300000</v>
          </cell>
          <cell r="N66">
            <v>50000</v>
          </cell>
          <cell r="O66">
            <v>50000</v>
          </cell>
          <cell r="P66">
            <v>50000</v>
          </cell>
          <cell r="Q66">
            <v>450000</v>
          </cell>
          <cell r="R66">
            <v>50000</v>
          </cell>
          <cell r="S66">
            <v>0</v>
          </cell>
          <cell r="T66">
            <v>0</v>
          </cell>
          <cell r="U66">
            <v>0</v>
          </cell>
          <cell r="V66">
            <v>0</v>
          </cell>
          <cell r="W66">
            <v>0</v>
          </cell>
          <cell r="X66">
            <v>0</v>
          </cell>
          <cell r="Y66" t="str">
            <v xml:space="preserve"> </v>
          </cell>
          <cell r="AA66" t="str">
            <v>…</v>
          </cell>
          <cell r="AB66" t="str">
            <v>…</v>
          </cell>
        </row>
        <row r="67">
          <cell r="C67" t="str">
            <v>1.2. Davek od prometa storitev (brez pos.d.od iger na srečo)</v>
          </cell>
          <cell r="D67">
            <v>5596454.8931799997</v>
          </cell>
          <cell r="E67">
            <v>1500000</v>
          </cell>
          <cell r="F67">
            <v>4096454.8931799997</v>
          </cell>
          <cell r="G67" t="str">
            <v>…</v>
          </cell>
          <cell r="H67" t="str">
            <v>…</v>
          </cell>
          <cell r="I67">
            <v>100000</v>
          </cell>
          <cell r="J67">
            <v>100000</v>
          </cell>
          <cell r="K67">
            <v>100000</v>
          </cell>
          <cell r="L67">
            <v>300000</v>
          </cell>
          <cell r="N67">
            <v>50000</v>
          </cell>
          <cell r="O67">
            <v>50000</v>
          </cell>
          <cell r="P67">
            <v>50000</v>
          </cell>
          <cell r="Q67">
            <v>450000</v>
          </cell>
          <cell r="R67">
            <v>50000</v>
          </cell>
          <cell r="S67">
            <v>0</v>
          </cell>
          <cell r="T67">
            <v>0</v>
          </cell>
          <cell r="U67">
            <v>0</v>
          </cell>
          <cell r="V67">
            <v>0</v>
          </cell>
          <cell r="W67">
            <v>0</v>
          </cell>
          <cell r="X67">
            <v>0</v>
          </cell>
          <cell r="Y67">
            <v>500000</v>
          </cell>
          <cell r="Z67" t="str">
            <v xml:space="preserve"> </v>
          </cell>
          <cell r="AA67" t="str">
            <v>…</v>
          </cell>
          <cell r="AB67" t="str">
            <v>…</v>
          </cell>
        </row>
        <row r="68">
          <cell r="A68" t="str">
            <v xml:space="preserve"> *) ZARADI KOREKTNE PRIMERJAVE PRIHODKOV IZ NASLOVA DOMAČIH DAVKOV NA BLAGO IN STORITVE ME LETOMA 1999 IN 2000 JE POTREBNO V LETU 1999 IZLOČITI VPLIV ENKRATNIH UČINKOV PREHODA OBDAVČITVE PROMETA</v>
          </cell>
        </row>
        <row r="69">
          <cell r="A69" t="str">
            <v xml:space="preserve">     BLAGA IN STORITEV IZ PLAČANE NA FAKTURIRANO REALIZACIJO, KI SO BILI REALIZIRANI OB UVEDBI DAVKA NA DODANO VREDNOST. V PRIKAZU PRIMERLJIVE RASTI MED LETOMA 1999 IN 2000 JE ZATO V LETU 1999 IZLOČENO </v>
          </cell>
        </row>
        <row r="70">
          <cell r="A70" t="str">
            <v xml:space="preserve">     25 MLRD SIT PROMETNIH DAVKOV V NEPLAČANIH TERJATVAH, KI BODO PO OCENAH DO KONCA LETA VPLAČANI V PRORAČUN NA PODLAGI DOKONČNEGA OBRAČUNA PROMETNIH DAVKOV.</v>
          </cell>
        </row>
        <row r="72">
          <cell r="D72" t="str">
            <v xml:space="preserve"> </v>
          </cell>
          <cell r="J72" t="str">
            <v xml:space="preserve"> </v>
          </cell>
          <cell r="K72" t="str">
            <v xml:space="preserve"> </v>
          </cell>
          <cell r="N72" t="str">
            <v xml:space="preserve"> </v>
          </cell>
          <cell r="O72" t="str">
            <v xml:space="preserve"> </v>
          </cell>
          <cell r="P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row>
        <row r="73">
          <cell r="C73" t="str">
            <v>2.    Davek na dodano vrednost (od 1.7. 1999 dalje)</v>
          </cell>
          <cell r="D73">
            <v>399869193.18851006</v>
          </cell>
          <cell r="E73">
            <v>431425000</v>
          </cell>
          <cell r="F73">
            <v>-31555806.81148994</v>
          </cell>
          <cell r="G73">
            <v>193.3220132641157</v>
          </cell>
          <cell r="H73">
            <v>77.522509884403746</v>
          </cell>
          <cell r="I73">
            <v>0</v>
          </cell>
          <cell r="J73">
            <v>26916029.226837486</v>
          </cell>
          <cell r="K73">
            <v>24204111.340663455</v>
          </cell>
          <cell r="L73">
            <v>51120140.567500941</v>
          </cell>
          <cell r="M73">
            <v>75.748174721898167</v>
          </cell>
          <cell r="N73">
            <v>46499472.648850836</v>
          </cell>
          <cell r="O73">
            <v>35584259.585644335</v>
          </cell>
          <cell r="P73">
            <v>26551426.958430678</v>
          </cell>
          <cell r="Q73">
            <v>159755299.76042679</v>
          </cell>
          <cell r="R73">
            <v>53011141.36225377</v>
          </cell>
          <cell r="S73">
            <v>37997434.138323173</v>
          </cell>
          <cell r="T73">
            <v>18680817.258478794</v>
          </cell>
          <cell r="U73">
            <v>35986846.484209791</v>
          </cell>
          <cell r="V73">
            <v>53089492.598139234</v>
          </cell>
          <cell r="W73">
            <v>39422220.157384001</v>
          </cell>
          <cell r="X73">
            <v>47772807.423999995</v>
          </cell>
          <cell r="Y73">
            <v>445716059.1832155</v>
          </cell>
          <cell r="Z73" t="e">
            <v>#VALUE!</v>
          </cell>
          <cell r="AA73">
            <v>111.46546590126833</v>
          </cell>
          <cell r="AB73">
            <v>3.4002466616589402</v>
          </cell>
        </row>
        <row r="74">
          <cell r="C74" t="str">
            <v xml:space="preserve">                                 - dinamizirani sprejeti proračun</v>
          </cell>
          <cell r="D74">
            <v>77000000</v>
          </cell>
          <cell r="E74" t="str">
            <v xml:space="preserve"> </v>
          </cell>
          <cell r="I74">
            <v>0</v>
          </cell>
          <cell r="J74">
            <v>0</v>
          </cell>
          <cell r="K74">
            <v>0</v>
          </cell>
          <cell r="L74">
            <v>0</v>
          </cell>
          <cell r="N74">
            <v>0</v>
          </cell>
          <cell r="O74">
            <v>0</v>
          </cell>
          <cell r="P74">
            <v>0</v>
          </cell>
          <cell r="Q74">
            <v>0</v>
          </cell>
          <cell r="R74">
            <v>0</v>
          </cell>
          <cell r="S74">
            <v>0</v>
          </cell>
          <cell r="T74">
            <v>0</v>
          </cell>
          <cell r="U74">
            <v>0</v>
          </cell>
          <cell r="V74">
            <v>55500000</v>
          </cell>
          <cell r="W74">
            <v>20000000</v>
          </cell>
          <cell r="X74">
            <v>57000000</v>
          </cell>
          <cell r="Y74">
            <v>132500000</v>
          </cell>
          <cell r="Z74" t="str">
            <v xml:space="preserve"> </v>
          </cell>
        </row>
        <row r="76">
          <cell r="C76" t="str">
            <v>2.1. Davek na dodano vrednost po obračunu - neto vplačila</v>
          </cell>
          <cell r="D76">
            <v>117720344.26443002</v>
          </cell>
          <cell r="E76">
            <v>216225000</v>
          </cell>
          <cell r="F76" t="str">
            <v xml:space="preserve"> </v>
          </cell>
          <cell r="G76">
            <v>127.37532650455201</v>
          </cell>
          <cell r="H76">
            <v>16.96540542199449</v>
          </cell>
          <cell r="I76">
            <v>0</v>
          </cell>
          <cell r="J76">
            <v>8250000</v>
          </cell>
          <cell r="K76">
            <v>-4313042.8646600004</v>
          </cell>
          <cell r="L76">
            <v>3936957.1353399996</v>
          </cell>
          <cell r="M76">
            <v>15.119541068893996</v>
          </cell>
          <cell r="N76">
            <v>21768767.291097999</v>
          </cell>
          <cell r="O76">
            <v>9275453.1713979952</v>
          </cell>
          <cell r="P76">
            <v>-3291783.1824760027</v>
          </cell>
          <cell r="Q76">
            <v>31689394.415359985</v>
          </cell>
          <cell r="R76">
            <v>26986779.153541997</v>
          </cell>
          <cell r="S76">
            <v>9581245.6536299959</v>
          </cell>
          <cell r="T76">
            <v>-3922877.6828880012</v>
          </cell>
          <cell r="U76">
            <v>8746394.5228204355</v>
          </cell>
          <cell r="V76">
            <v>23147958.624127999</v>
          </cell>
          <cell r="W76">
            <v>8549479.6446159966</v>
          </cell>
          <cell r="X76">
            <v>19748463.999999993</v>
          </cell>
          <cell r="Y76">
            <v>124526838.33120841</v>
          </cell>
          <cell r="Z76" t="str">
            <v xml:space="preserve"> </v>
          </cell>
          <cell r="AA76">
            <v>105.78191824812309</v>
          </cell>
          <cell r="AB76">
            <v>-1.872060994319952</v>
          </cell>
        </row>
        <row r="77">
          <cell r="C77" t="str">
            <v xml:space="preserve">      -  Vplačila DDV</v>
          </cell>
          <cell r="D77">
            <v>279591442.16850996</v>
          </cell>
          <cell r="G77" t="str">
            <v>…</v>
          </cell>
          <cell r="H77" t="str">
            <v>…</v>
          </cell>
          <cell r="I77">
            <v>0</v>
          </cell>
          <cell r="J77">
            <v>22000000</v>
          </cell>
          <cell r="K77">
            <v>9500000</v>
          </cell>
          <cell r="L77">
            <v>31500000</v>
          </cell>
          <cell r="M77">
            <v>78.083394254906437</v>
          </cell>
          <cell r="N77">
            <v>36000000</v>
          </cell>
          <cell r="O77">
            <v>23829881.219133995</v>
          </cell>
          <cell r="P77">
            <v>11564686.997851998</v>
          </cell>
          <cell r="Q77">
            <v>102894568.216986</v>
          </cell>
          <cell r="R77">
            <v>42057257.689461999</v>
          </cell>
          <cell r="S77">
            <v>24463017.162583999</v>
          </cell>
          <cell r="T77">
            <v>10914386.640149999</v>
          </cell>
          <cell r="U77">
            <v>24347409.882168435</v>
          </cell>
          <cell r="V77">
            <v>39127754.309643999</v>
          </cell>
          <cell r="W77">
            <v>25955790.566615999</v>
          </cell>
          <cell r="X77">
            <v>39842857.999999993</v>
          </cell>
          <cell r="Y77">
            <v>309603042.46761048</v>
          </cell>
          <cell r="AA77">
            <v>110.73409116757318</v>
          </cell>
          <cell r="AB77">
            <v>2.721791435596657</v>
          </cell>
        </row>
        <row r="78">
          <cell r="C78" t="str">
            <v xml:space="preserve">      -  Vračila DDV</v>
          </cell>
          <cell r="D78">
            <v>161871099</v>
          </cell>
          <cell r="G78" t="str">
            <v>…</v>
          </cell>
          <cell r="H78" t="str">
            <v>…</v>
          </cell>
          <cell r="I78">
            <v>0</v>
          </cell>
          <cell r="J78">
            <v>13750000</v>
          </cell>
          <cell r="K78">
            <v>13813042.86466</v>
          </cell>
          <cell r="L78">
            <v>27563042.864660002</v>
          </cell>
          <cell r="M78">
            <v>192.713270148584</v>
          </cell>
          <cell r="N78">
            <v>14231232.708902001</v>
          </cell>
          <cell r="O78">
            <v>14554428.047736</v>
          </cell>
          <cell r="P78">
            <v>14856470.180328</v>
          </cell>
          <cell r="Q78">
            <v>71205173.801625997</v>
          </cell>
          <cell r="R78">
            <v>15070478.53592</v>
          </cell>
          <cell r="S78">
            <v>14881771.508954003</v>
          </cell>
          <cell r="T78">
            <v>14837264.323038001</v>
          </cell>
          <cell r="U78">
            <v>15601015.359347999</v>
          </cell>
          <cell r="V78">
            <v>15979795.685516</v>
          </cell>
          <cell r="W78">
            <v>17406310.922000002</v>
          </cell>
          <cell r="X78">
            <v>20094394</v>
          </cell>
          <cell r="Y78">
            <v>185076204.13640198</v>
          </cell>
          <cell r="AA78">
            <v>114.33554555430676</v>
          </cell>
          <cell r="AB78">
            <v>6.0626582136426492</v>
          </cell>
        </row>
        <row r="79">
          <cell r="C79" t="str">
            <v>2.2. Davek na dodano vrednost od uvoza</v>
          </cell>
          <cell r="D79">
            <v>282148848.92408001</v>
          </cell>
          <cell r="E79">
            <v>215200000</v>
          </cell>
          <cell r="F79" t="str">
            <v xml:space="preserve"> </v>
          </cell>
          <cell r="G79">
            <v>246.58844945632379</v>
          </cell>
          <cell r="H79">
            <v>126.43567443188593</v>
          </cell>
          <cell r="I79">
            <v>0</v>
          </cell>
          <cell r="J79">
            <v>18666029.226837486</v>
          </cell>
          <cell r="K79">
            <v>28517154.205323458</v>
          </cell>
          <cell r="L79">
            <v>47183183.432160944</v>
          </cell>
          <cell r="M79">
            <v>113.83680000000001</v>
          </cell>
          <cell r="N79">
            <v>24730705.357752837</v>
          </cell>
          <cell r="O79">
            <v>26308806.414246343</v>
          </cell>
          <cell r="P79">
            <v>29843210.14090668</v>
          </cell>
          <cell r="Q79">
            <v>128065905.3450668</v>
          </cell>
          <cell r="R79">
            <v>26024362.208711777</v>
          </cell>
          <cell r="S79">
            <v>28416188.484693173</v>
          </cell>
          <cell r="T79">
            <v>22603694.941366795</v>
          </cell>
          <cell r="U79">
            <v>27240451.961389352</v>
          </cell>
          <cell r="V79">
            <v>29941533.974011235</v>
          </cell>
          <cell r="W79">
            <v>30872740.512768004</v>
          </cell>
          <cell r="X79">
            <v>28024343.424000002</v>
          </cell>
          <cell r="Y79">
            <v>321189220.85200721</v>
          </cell>
          <cell r="Z79" t="str">
            <v xml:space="preserve"> </v>
          </cell>
          <cell r="AA79">
            <v>113.83680000000003</v>
          </cell>
          <cell r="AB79">
            <v>5.6000000000000227</v>
          </cell>
        </row>
        <row r="80">
          <cell r="C80" t="str">
            <v xml:space="preserve"> od tega:  -  Vračila DDV od uvoza</v>
          </cell>
          <cell r="D80">
            <v>0</v>
          </cell>
          <cell r="E80" t="str">
            <v xml:space="preserve"> </v>
          </cell>
          <cell r="I80">
            <v>0</v>
          </cell>
          <cell r="J80">
            <v>0</v>
          </cell>
          <cell r="K80">
            <v>0</v>
          </cell>
          <cell r="N80">
            <v>0</v>
          </cell>
          <cell r="O80">
            <v>0</v>
          </cell>
          <cell r="P80">
            <v>0</v>
          </cell>
          <cell r="R80">
            <v>0</v>
          </cell>
          <cell r="S80">
            <v>0</v>
          </cell>
          <cell r="T80">
            <v>0</v>
          </cell>
          <cell r="U80">
            <v>0</v>
          </cell>
          <cell r="Y80">
            <v>0</v>
          </cell>
          <cell r="Z80" t="str">
            <v xml:space="preserve"> </v>
          </cell>
        </row>
        <row r="81">
          <cell r="D81" t="str">
            <v xml:space="preserve"> </v>
          </cell>
          <cell r="T81" t="str">
            <v xml:space="preserve"> </v>
          </cell>
          <cell r="U81" t="str">
            <v xml:space="preserve"> </v>
          </cell>
          <cell r="Y81" t="str">
            <v xml:space="preserve"> </v>
          </cell>
        </row>
        <row r="82">
          <cell r="A82">
            <v>7041</v>
          </cell>
          <cell r="C82" t="str">
            <v xml:space="preserve">Drugi davki na blago in storitve </v>
          </cell>
          <cell r="D82">
            <v>7761896.0202599987</v>
          </cell>
          <cell r="E82">
            <v>6000000</v>
          </cell>
          <cell r="F82">
            <v>1761896.0202599987</v>
          </cell>
          <cell r="G82">
            <v>41.603402349846526</v>
          </cell>
          <cell r="H82">
            <v>-61.796692057073898</v>
          </cell>
          <cell r="I82">
            <v>1084960.0259541799</v>
          </cell>
          <cell r="J82">
            <v>181712.44952114995</v>
          </cell>
          <cell r="K82">
            <v>1253690.6414248599</v>
          </cell>
          <cell r="L82">
            <v>2520363.1169001898</v>
          </cell>
          <cell r="M82">
            <v>102.76417451389244</v>
          </cell>
          <cell r="N82">
            <v>1005202.32289052</v>
          </cell>
          <cell r="O82">
            <v>1101338.3200356695</v>
          </cell>
          <cell r="P82">
            <v>218443.88518832001</v>
          </cell>
          <cell r="Q82">
            <v>4845347.6450146986</v>
          </cell>
          <cell r="R82">
            <v>430774.84707125998</v>
          </cell>
          <cell r="S82">
            <v>499004.44080524985</v>
          </cell>
          <cell r="T82">
            <v>177195.65548468</v>
          </cell>
          <cell r="U82">
            <v>950514.19154398993</v>
          </cell>
          <cell r="V82">
            <v>795089.25248443987</v>
          </cell>
          <cell r="W82">
            <v>303377.58</v>
          </cell>
          <cell r="X82">
            <v>0</v>
          </cell>
          <cell r="Y82">
            <v>8001303.6124043185</v>
          </cell>
          <cell r="Z82" t="e">
            <v>#VALUE!</v>
          </cell>
          <cell r="AA82">
            <v>103.08439576515096</v>
          </cell>
          <cell r="AB82">
            <v>-4.3744009599712825</v>
          </cell>
        </row>
        <row r="83">
          <cell r="C83" t="str">
            <v xml:space="preserve">                                 - dinamizirani sprejeti proračun</v>
          </cell>
          <cell r="D83">
            <v>11826945</v>
          </cell>
          <cell r="E83" t="str">
            <v xml:space="preserve"> </v>
          </cell>
          <cell r="I83">
            <v>1052764</v>
          </cell>
          <cell r="J83">
            <v>1052764</v>
          </cell>
          <cell r="K83">
            <v>1052764</v>
          </cell>
          <cell r="L83">
            <v>3158292</v>
          </cell>
          <cell r="N83">
            <v>1052764</v>
          </cell>
          <cell r="O83">
            <v>1052764</v>
          </cell>
          <cell r="P83">
            <v>1052764</v>
          </cell>
          <cell r="Q83">
            <v>6316584</v>
          </cell>
          <cell r="R83">
            <v>1052764</v>
          </cell>
          <cell r="S83">
            <v>1052764</v>
          </cell>
          <cell r="T83">
            <v>1052764</v>
          </cell>
          <cell r="U83">
            <v>1052764</v>
          </cell>
          <cell r="V83">
            <v>824000</v>
          </cell>
          <cell r="W83">
            <v>246541</v>
          </cell>
          <cell r="X83">
            <v>0</v>
          </cell>
          <cell r="Y83">
            <v>11598181</v>
          </cell>
          <cell r="Z83" t="str">
            <v xml:space="preserve"> </v>
          </cell>
        </row>
        <row r="84">
          <cell r="C84" t="str">
            <v xml:space="preserve"> - posebni prometni davek od alkoholnih pijač</v>
          </cell>
          <cell r="D84">
            <v>151737.99482000002</v>
          </cell>
          <cell r="E84">
            <v>0</v>
          </cell>
          <cell r="F84">
            <v>151737.99482000002</v>
          </cell>
          <cell r="G84" t="str">
            <v>…</v>
          </cell>
          <cell r="H84" t="str">
            <v>…</v>
          </cell>
          <cell r="I84">
            <v>119521.65462468</v>
          </cell>
          <cell r="J84">
            <v>6545.4158154000006</v>
          </cell>
          <cell r="K84">
            <v>5714.6538433599999</v>
          </cell>
          <cell r="L84">
            <v>131781.72428344001</v>
          </cell>
          <cell r="M84">
            <v>107.8</v>
          </cell>
          <cell r="N84">
            <v>8868.0994525200003</v>
          </cell>
          <cell r="O84">
            <v>7877.0647309200012</v>
          </cell>
          <cell r="P84">
            <v>6471.1665603200008</v>
          </cell>
          <cell r="Q84">
            <v>154998.05502720003</v>
          </cell>
          <cell r="R84">
            <v>5049.3219992600007</v>
          </cell>
          <cell r="S84">
            <v>100</v>
          </cell>
          <cell r="T84">
            <v>380.85476968000006</v>
          </cell>
          <cell r="U84">
            <v>2003.35043524</v>
          </cell>
          <cell r="V84">
            <v>1052.8240969400003</v>
          </cell>
          <cell r="W84">
            <v>307.23</v>
          </cell>
          <cell r="X84">
            <v>0</v>
          </cell>
          <cell r="Y84">
            <v>163891.63632832002</v>
          </cell>
          <cell r="Z84" t="str">
            <v xml:space="preserve"> </v>
          </cell>
          <cell r="AA84" t="str">
            <v>…</v>
          </cell>
          <cell r="AB84" t="str">
            <v>…</v>
          </cell>
        </row>
        <row r="85">
          <cell r="C85" t="str">
            <v xml:space="preserve"> - Taksa za obremenjevanje zraka (CO2 taksa)</v>
          </cell>
          <cell r="D85">
            <v>7610158.02544</v>
          </cell>
          <cell r="E85">
            <v>6000000</v>
          </cell>
          <cell r="F85">
            <v>1610158.02544</v>
          </cell>
          <cell r="G85">
            <v>50.530214451752911</v>
          </cell>
          <cell r="H85">
            <v>-53.599435765148847</v>
          </cell>
          <cell r="I85">
            <v>965438.37132949999</v>
          </cell>
          <cell r="J85">
            <v>175167.03370574996</v>
          </cell>
          <cell r="K85">
            <v>1247975.9875814999</v>
          </cell>
          <cell r="L85">
            <v>2388581.3926167497</v>
          </cell>
          <cell r="M85">
            <v>102.5</v>
          </cell>
          <cell r="N85">
            <v>996334.22343799996</v>
          </cell>
          <cell r="O85">
            <v>1093461.2553047496</v>
          </cell>
          <cell r="P85">
            <v>211972.718628</v>
          </cell>
          <cell r="Q85">
            <v>4690349.5899874996</v>
          </cell>
          <cell r="R85">
            <v>425725.52507199999</v>
          </cell>
          <cell r="S85">
            <v>498904.44080524985</v>
          </cell>
          <cell r="T85">
            <v>176814.80071499999</v>
          </cell>
          <cell r="U85">
            <v>948510.84110874997</v>
          </cell>
          <cell r="V85">
            <v>794036.42838749988</v>
          </cell>
          <cell r="W85">
            <v>303070.34999999998</v>
          </cell>
          <cell r="X85">
            <v>0</v>
          </cell>
          <cell r="Y85">
            <v>7837411.9760759994</v>
          </cell>
          <cell r="Z85" t="str">
            <v xml:space="preserve"> </v>
          </cell>
          <cell r="AA85">
            <v>102.98619226928419</v>
          </cell>
          <cell r="AB85">
            <v>-4.4654988225564125</v>
          </cell>
        </row>
        <row r="86">
          <cell r="D86" t="str">
            <v xml:space="preserve"> </v>
          </cell>
          <cell r="W86" t="str">
            <v xml:space="preserve"> </v>
          </cell>
          <cell r="X86" t="str">
            <v xml:space="preserve"> </v>
          </cell>
          <cell r="Y86" t="str">
            <v xml:space="preserve"> </v>
          </cell>
        </row>
        <row r="87">
          <cell r="A87">
            <v>7042</v>
          </cell>
          <cell r="C87" t="str">
            <v>Trošarine (akcize) - neto vplačila</v>
          </cell>
          <cell r="D87">
            <v>134033250.11741999</v>
          </cell>
          <cell r="E87">
            <v>147000000</v>
          </cell>
          <cell r="F87">
            <v>-12966749.882580012</v>
          </cell>
          <cell r="G87">
            <v>191.28837397838456</v>
          </cell>
          <cell r="H87">
            <v>75.655072523769093</v>
          </cell>
          <cell r="I87">
            <v>0</v>
          </cell>
          <cell r="J87">
            <v>1350000</v>
          </cell>
          <cell r="K87">
            <v>19450000</v>
          </cell>
          <cell r="L87">
            <v>20800000</v>
          </cell>
          <cell r="M87">
            <v>104.98665030468601</v>
          </cell>
          <cell r="N87">
            <v>11350000</v>
          </cell>
          <cell r="O87">
            <v>11600000</v>
          </cell>
          <cell r="P87">
            <v>1550000</v>
          </cell>
          <cell r="Q87">
            <v>45300000</v>
          </cell>
          <cell r="R87">
            <v>23350000</v>
          </cell>
          <cell r="S87">
            <v>11950000</v>
          </cell>
          <cell r="T87">
            <v>1350000</v>
          </cell>
          <cell r="U87">
            <v>23750000</v>
          </cell>
          <cell r="V87">
            <v>11500000</v>
          </cell>
          <cell r="W87">
            <v>11500000</v>
          </cell>
          <cell r="X87">
            <v>12300000</v>
          </cell>
          <cell r="Y87">
            <v>141000000</v>
          </cell>
          <cell r="Z87" t="e">
            <v>#VALUE!</v>
          </cell>
          <cell r="AA87">
            <v>105.1977773250121</v>
          </cell>
          <cell r="AB87">
            <v>-2.4139356910833953</v>
          </cell>
        </row>
        <row r="88">
          <cell r="C88" t="str">
            <v xml:space="preserve">                                 - dinamizirani sprejeti proračun</v>
          </cell>
          <cell r="D88">
            <v>24910000</v>
          </cell>
          <cell r="E88" t="str">
            <v xml:space="preserve"> </v>
          </cell>
          <cell r="I88">
            <v>0</v>
          </cell>
          <cell r="J88">
            <v>0</v>
          </cell>
          <cell r="K88">
            <v>0</v>
          </cell>
          <cell r="L88">
            <v>0</v>
          </cell>
          <cell r="N88">
            <v>0</v>
          </cell>
          <cell r="O88">
            <v>0</v>
          </cell>
          <cell r="P88">
            <v>0</v>
          </cell>
          <cell r="Q88">
            <v>0</v>
          </cell>
          <cell r="R88">
            <v>0</v>
          </cell>
          <cell r="S88">
            <v>0</v>
          </cell>
          <cell r="T88">
            <v>0</v>
          </cell>
          <cell r="U88">
            <v>0</v>
          </cell>
          <cell r="V88">
            <v>12590000</v>
          </cell>
          <cell r="W88">
            <v>4250000</v>
          </cell>
          <cell r="X88">
            <v>20660000</v>
          </cell>
          <cell r="Y88">
            <v>37500000</v>
          </cell>
          <cell r="Z88" t="str">
            <v xml:space="preserve"> </v>
          </cell>
        </row>
        <row r="89">
          <cell r="C89" t="str">
            <v xml:space="preserve">   - trošarine od mineralnih olj in plina</v>
          </cell>
          <cell r="D89">
            <v>94542183.249629989</v>
          </cell>
          <cell r="E89">
            <v>111200000</v>
          </cell>
          <cell r="F89">
            <v>-16657816.750370011</v>
          </cell>
          <cell r="G89" t="str">
            <v>…</v>
          </cell>
          <cell r="H89" t="str">
            <v>…</v>
          </cell>
          <cell r="I89">
            <v>0</v>
          </cell>
          <cell r="J89">
            <v>950000</v>
          </cell>
          <cell r="K89">
            <v>14800000</v>
          </cell>
          <cell r="L89">
            <v>15750000</v>
          </cell>
          <cell r="M89">
            <v>105.59319683287714</v>
          </cell>
          <cell r="N89">
            <v>8200000</v>
          </cell>
          <cell r="O89">
            <v>8200000</v>
          </cell>
          <cell r="P89">
            <v>1150000</v>
          </cell>
          <cell r="Q89">
            <v>33300000</v>
          </cell>
          <cell r="R89">
            <v>16200000</v>
          </cell>
          <cell r="S89">
            <v>8450000</v>
          </cell>
          <cell r="T89">
            <v>1050000</v>
          </cell>
          <cell r="U89">
            <v>16600000</v>
          </cell>
          <cell r="V89">
            <v>8700000</v>
          </cell>
          <cell r="W89">
            <v>8500000</v>
          </cell>
          <cell r="X89">
            <v>8800000</v>
          </cell>
          <cell r="Y89">
            <v>101600000</v>
          </cell>
          <cell r="Z89" t="str">
            <v xml:space="preserve"> </v>
          </cell>
          <cell r="AA89">
            <v>107.46525678567681</v>
          </cell>
          <cell r="AB89">
            <v>-0.31052246226640534</v>
          </cell>
        </row>
        <row r="90">
          <cell r="C90" t="str">
            <v xml:space="preserve">   - trošarine od alkohola in alkoholnih pijač</v>
          </cell>
          <cell r="D90">
            <v>10773410.242090002</v>
          </cell>
          <cell r="E90">
            <v>10460000</v>
          </cell>
          <cell r="F90">
            <v>313410.2420900017</v>
          </cell>
          <cell r="G90" t="str">
            <v>…</v>
          </cell>
          <cell r="H90" t="str">
            <v>…</v>
          </cell>
          <cell r="I90">
            <v>0</v>
          </cell>
          <cell r="J90">
            <v>150000</v>
          </cell>
          <cell r="K90">
            <v>1150000</v>
          </cell>
          <cell r="L90">
            <v>1300000</v>
          </cell>
          <cell r="M90">
            <v>102.21063082638378</v>
          </cell>
          <cell r="N90">
            <v>800000</v>
          </cell>
          <cell r="O90">
            <v>900000</v>
          </cell>
          <cell r="P90">
            <v>150000</v>
          </cell>
          <cell r="Q90">
            <v>3150000</v>
          </cell>
          <cell r="R90">
            <v>2250000</v>
          </cell>
          <cell r="S90">
            <v>1000000</v>
          </cell>
          <cell r="T90">
            <v>100000</v>
          </cell>
          <cell r="U90">
            <v>2250000</v>
          </cell>
          <cell r="V90">
            <v>800000</v>
          </cell>
          <cell r="W90">
            <v>800000</v>
          </cell>
          <cell r="X90">
            <v>1000000</v>
          </cell>
          <cell r="Y90">
            <v>11350000</v>
          </cell>
          <cell r="Z90" t="str">
            <v xml:space="preserve"> </v>
          </cell>
          <cell r="AA90">
            <v>105.35197068480093</v>
          </cell>
          <cell r="AB90">
            <v>-2.27089917921991</v>
          </cell>
        </row>
        <row r="91">
          <cell r="C91" t="str">
            <v xml:space="preserve">   - trošarine od tobačnih izdelkov</v>
          </cell>
          <cell r="D91">
            <v>28681722.984149996</v>
          </cell>
          <cell r="E91">
            <v>25340000</v>
          </cell>
          <cell r="F91">
            <v>3341722.9841499962</v>
          </cell>
          <cell r="G91" t="str">
            <v>…</v>
          </cell>
          <cell r="H91" t="str">
            <v>…</v>
          </cell>
          <cell r="I91">
            <v>0</v>
          </cell>
          <cell r="J91">
            <v>250000</v>
          </cell>
          <cell r="K91">
            <v>3500000</v>
          </cell>
          <cell r="L91">
            <v>3800000</v>
          </cell>
          <cell r="M91">
            <v>105.06362478524751</v>
          </cell>
          <cell r="N91">
            <v>2350000</v>
          </cell>
          <cell r="O91">
            <v>2500000</v>
          </cell>
          <cell r="P91">
            <v>250000</v>
          </cell>
          <cell r="Q91">
            <v>8850000</v>
          </cell>
          <cell r="R91">
            <v>4900000</v>
          </cell>
          <cell r="S91">
            <v>2500000</v>
          </cell>
          <cell r="T91">
            <v>200000</v>
          </cell>
          <cell r="U91">
            <v>4900000</v>
          </cell>
          <cell r="V91">
            <v>2000000</v>
          </cell>
          <cell r="W91">
            <v>2200000</v>
          </cell>
          <cell r="X91">
            <v>2500000</v>
          </cell>
          <cell r="Y91">
            <v>28050000</v>
          </cell>
          <cell r="Z91" t="str">
            <v xml:space="preserve"> </v>
          </cell>
          <cell r="AA91">
            <v>97.797471984165327</v>
          </cell>
          <cell r="AB91">
            <v>-9.2787829460432931</v>
          </cell>
        </row>
        <row r="92">
          <cell r="C92" t="str">
            <v xml:space="preserve">   - zamudne obresti</v>
          </cell>
          <cell r="D92">
            <v>35933.64155</v>
          </cell>
          <cell r="I92">
            <v>0</v>
          </cell>
          <cell r="J92">
            <v>0</v>
          </cell>
          <cell r="K92">
            <v>0</v>
          </cell>
          <cell r="L92">
            <v>0</v>
          </cell>
          <cell r="M92" t="str">
            <v xml:space="preserve"> </v>
          </cell>
          <cell r="N92">
            <v>0</v>
          </cell>
          <cell r="O92">
            <v>0</v>
          </cell>
          <cell r="P92">
            <v>0</v>
          </cell>
          <cell r="R92">
            <v>0</v>
          </cell>
          <cell r="S92">
            <v>0</v>
          </cell>
          <cell r="T92">
            <v>0</v>
          </cell>
          <cell r="U92">
            <v>0</v>
          </cell>
          <cell r="V92">
            <v>0</v>
          </cell>
          <cell r="W92">
            <v>0</v>
          </cell>
          <cell r="X92">
            <v>0</v>
          </cell>
          <cell r="Y92">
            <v>0</v>
          </cell>
          <cell r="Z92" t="str">
            <v xml:space="preserve"> </v>
          </cell>
          <cell r="AA92" t="str">
            <v xml:space="preserve"> </v>
          </cell>
          <cell r="AB92" t="str">
            <v xml:space="preserve"> </v>
          </cell>
        </row>
        <row r="93">
          <cell r="C93" t="str">
            <v xml:space="preserve"> Vračila (so že upoštevana v neto vplačilih)</v>
          </cell>
          <cell r="I93">
            <v>0</v>
          </cell>
          <cell r="J93">
            <v>0</v>
          </cell>
          <cell r="K93">
            <v>0</v>
          </cell>
          <cell r="L93">
            <v>0</v>
          </cell>
          <cell r="N93">
            <v>0</v>
          </cell>
          <cell r="O93">
            <v>0</v>
          </cell>
          <cell r="P93">
            <v>0</v>
          </cell>
          <cell r="Q93">
            <v>0</v>
          </cell>
          <cell r="R93">
            <v>0</v>
          </cell>
          <cell r="S93">
            <v>0</v>
          </cell>
          <cell r="T93">
            <v>0</v>
          </cell>
          <cell r="U93">
            <v>0</v>
          </cell>
        </row>
        <row r="95">
          <cell r="A95">
            <v>7043</v>
          </cell>
          <cell r="C95" t="str">
            <v>Dobički fiskalnih monopolov</v>
          </cell>
          <cell r="D95">
            <v>0</v>
          </cell>
          <cell r="E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X95">
            <v>0</v>
          </cell>
          <cell r="Y95">
            <v>0</v>
          </cell>
          <cell r="Z95">
            <v>0</v>
          </cell>
        </row>
        <row r="96">
          <cell r="C96" t="str">
            <v xml:space="preserve"> </v>
          </cell>
          <cell r="D96">
            <v>0</v>
          </cell>
          <cell r="E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7044</v>
          </cell>
          <cell r="C97" t="str">
            <v>Davki na posebne storitve</v>
          </cell>
          <cell r="D97">
            <v>15312319.317160001</v>
          </cell>
          <cell r="E97">
            <v>15878000</v>
          </cell>
          <cell r="F97">
            <v>-565680.68283999898</v>
          </cell>
          <cell r="G97">
            <v>156.1601648250853</v>
          </cell>
          <cell r="H97">
            <v>43.397763843053525</v>
          </cell>
          <cell r="I97">
            <v>1403439.7147256793</v>
          </cell>
          <cell r="J97">
            <v>1855734.0349427729</v>
          </cell>
          <cell r="K97">
            <v>1539822.3391403444</v>
          </cell>
          <cell r="L97">
            <v>4798996.0888087964</v>
          </cell>
          <cell r="M97">
            <v>109.38539842260495</v>
          </cell>
          <cell r="N97">
            <v>1559125.6971198674</v>
          </cell>
          <cell r="O97">
            <v>1296977.7661862778</v>
          </cell>
          <cell r="P97">
            <v>1462836.4461637642</v>
          </cell>
          <cell r="Q97">
            <v>9117935.9982787054</v>
          </cell>
          <cell r="R97">
            <v>1410623.1199854938</v>
          </cell>
          <cell r="S97">
            <v>1317874.2498376223</v>
          </cell>
          <cell r="T97">
            <v>1261261.439566198</v>
          </cell>
          <cell r="U97">
            <v>1155393.54839743</v>
          </cell>
          <cell r="V97">
            <v>1205882.5391504802</v>
          </cell>
          <cell r="W97">
            <v>1176281.4920000001</v>
          </cell>
          <cell r="X97">
            <v>0</v>
          </cell>
          <cell r="Y97">
            <v>16645252.387215929</v>
          </cell>
          <cell r="Z97" t="e">
            <v>#VALUE!</v>
          </cell>
          <cell r="AA97">
            <v>108.70497174495411</v>
          </cell>
          <cell r="AB97">
            <v>0.83949141461421561</v>
          </cell>
        </row>
        <row r="98">
          <cell r="C98" t="str">
            <v xml:space="preserve">                                 - dinamizirani sprejeti proračun</v>
          </cell>
          <cell r="D98">
            <v>15284415</v>
          </cell>
          <cell r="E98" t="str">
            <v xml:space="preserve"> </v>
          </cell>
          <cell r="I98">
            <v>1266765</v>
          </cell>
          <cell r="J98">
            <v>1266765</v>
          </cell>
          <cell r="K98">
            <v>1266765</v>
          </cell>
          <cell r="L98">
            <v>3800295</v>
          </cell>
          <cell r="N98">
            <v>1266765</v>
          </cell>
          <cell r="O98">
            <v>1266765</v>
          </cell>
          <cell r="P98">
            <v>1266765</v>
          </cell>
          <cell r="Q98">
            <v>7600590</v>
          </cell>
          <cell r="R98">
            <v>1266765</v>
          </cell>
          <cell r="S98">
            <v>1266765</v>
          </cell>
          <cell r="T98">
            <v>1266765</v>
          </cell>
          <cell r="U98">
            <v>1266765</v>
          </cell>
          <cell r="V98">
            <v>1350000</v>
          </cell>
          <cell r="W98">
            <v>1350000</v>
          </cell>
          <cell r="X98">
            <v>0</v>
          </cell>
          <cell r="Y98">
            <v>15367650</v>
          </cell>
          <cell r="Z98" t="str">
            <v xml:space="preserve"> </v>
          </cell>
        </row>
        <row r="99">
          <cell r="C99" t="str">
            <v xml:space="preserve"> - posebni prometni davek od posebnih iger na srečo</v>
          </cell>
          <cell r="D99">
            <v>45088.657930000001</v>
          </cell>
          <cell r="E99">
            <v>0</v>
          </cell>
          <cell r="F99">
            <v>45088.657930000001</v>
          </cell>
          <cell r="G99" t="str">
            <v>…</v>
          </cell>
          <cell r="H99" t="str">
            <v>…</v>
          </cell>
          <cell r="I99">
            <v>7000</v>
          </cell>
          <cell r="J99">
            <v>5357.8728618800005</v>
          </cell>
          <cell r="K99">
            <v>5300</v>
          </cell>
          <cell r="L99">
            <v>17657.872861880001</v>
          </cell>
          <cell r="M99">
            <v>96.954059240563595</v>
          </cell>
          <cell r="N99">
            <v>400</v>
          </cell>
          <cell r="O99">
            <v>387.09500983999999</v>
          </cell>
          <cell r="P99">
            <v>204.80917688</v>
          </cell>
          <cell r="Q99">
            <v>18649.777048600001</v>
          </cell>
          <cell r="R99">
            <v>107.72877654</v>
          </cell>
          <cell r="S99">
            <v>145.48691234</v>
          </cell>
          <cell r="T99">
            <v>179.33743828000001</v>
          </cell>
          <cell r="U99">
            <v>50</v>
          </cell>
          <cell r="V99">
            <v>0</v>
          </cell>
          <cell r="W99">
            <v>0</v>
          </cell>
          <cell r="X99">
            <v>0</v>
          </cell>
          <cell r="Y99">
            <v>19132.330175759998</v>
          </cell>
          <cell r="Z99" t="str">
            <v xml:space="preserve"> </v>
          </cell>
          <cell r="AA99" t="str">
            <v>…</v>
          </cell>
          <cell r="AB99" t="str">
            <v>…</v>
          </cell>
        </row>
        <row r="100">
          <cell r="C100" t="str">
            <v xml:space="preserve"> - davek od iger na srečo (nov v letu 1999)</v>
          </cell>
          <cell r="D100">
            <v>6086713.6574300006</v>
          </cell>
          <cell r="E100">
            <v>6278000</v>
          </cell>
          <cell r="F100">
            <v>-191286.3425699994</v>
          </cell>
          <cell r="G100">
            <v>281.00781879429189</v>
          </cell>
          <cell r="H100">
            <v>158.04207419126891</v>
          </cell>
          <cell r="I100">
            <v>565901.78360893927</v>
          </cell>
          <cell r="J100">
            <v>602916.95103669271</v>
          </cell>
          <cell r="K100">
            <v>497587.59289910446</v>
          </cell>
          <cell r="L100">
            <v>1666406.3275447367</v>
          </cell>
          <cell r="M100">
            <v>112.63485210357116</v>
          </cell>
          <cell r="N100">
            <v>565232.96088776737</v>
          </cell>
          <cell r="O100">
            <v>527490.72233250795</v>
          </cell>
          <cell r="P100">
            <v>575997.32021253416</v>
          </cell>
          <cell r="Q100">
            <v>3352407.250583922</v>
          </cell>
          <cell r="R100">
            <v>514785.76001936395</v>
          </cell>
          <cell r="S100">
            <v>512323.58585263253</v>
          </cell>
          <cell r="T100">
            <v>676635.10111947812</v>
          </cell>
          <cell r="U100">
            <v>546107.41781288001</v>
          </cell>
          <cell r="V100">
            <v>547756.18429532007</v>
          </cell>
          <cell r="W100">
            <v>596242.19800000009</v>
          </cell>
          <cell r="X100">
            <v>0</v>
          </cell>
          <cell r="Y100">
            <v>6728977.5780772204</v>
          </cell>
          <cell r="Z100" t="str">
            <v xml:space="preserve"> </v>
          </cell>
          <cell r="AA100">
            <v>110.55189970803396</v>
          </cell>
          <cell r="AB100">
            <v>2.5527826605138841</v>
          </cell>
        </row>
        <row r="101">
          <cell r="C101" t="str">
            <v xml:space="preserve"> - davek od prometa zavarovalnih poslov (nov v letu 1999)</v>
          </cell>
          <cell r="D101">
            <v>9180517.0017999988</v>
          </cell>
          <cell r="E101">
            <v>9600000</v>
          </cell>
          <cell r="F101">
            <v>-419482.9982000012</v>
          </cell>
          <cell r="G101">
            <v>328.3891844352292</v>
          </cell>
          <cell r="H101">
            <v>201.55113354933809</v>
          </cell>
          <cell r="I101">
            <v>830537.9311167401</v>
          </cell>
          <cell r="J101">
            <v>1247459.2110442002</v>
          </cell>
          <cell r="K101">
            <v>1036934.7462412401</v>
          </cell>
          <cell r="L101">
            <v>3114931.8884021807</v>
          </cell>
          <cell r="M101">
            <v>107.8</v>
          </cell>
          <cell r="N101">
            <v>993492.73623210005</v>
          </cell>
          <cell r="O101">
            <v>769099.94884392992</v>
          </cell>
          <cell r="P101">
            <v>886634.31677434989</v>
          </cell>
          <cell r="Q101">
            <v>5764158.8902525604</v>
          </cell>
          <cell r="R101">
            <v>895729.63118958997</v>
          </cell>
          <cell r="S101">
            <v>805405.17707264982</v>
          </cell>
          <cell r="T101">
            <v>584447.00100843993</v>
          </cell>
          <cell r="U101">
            <v>609236.13058454997</v>
          </cell>
          <cell r="V101">
            <v>658126.35485516</v>
          </cell>
          <cell r="W101">
            <v>580039.29399999999</v>
          </cell>
          <cell r="X101">
            <v>0</v>
          </cell>
          <cell r="Y101">
            <v>9897142.4789629485</v>
          </cell>
          <cell r="Z101" t="str">
            <v xml:space="preserve"> </v>
          </cell>
          <cell r="AA101">
            <v>107.80593812987267</v>
          </cell>
          <cell r="AB101">
            <v>5.5084692696283355E-3</v>
          </cell>
        </row>
        <row r="103">
          <cell r="A103">
            <v>7045</v>
          </cell>
          <cell r="C103" t="str">
            <v>Dovoljenja za poslovanje in za opravljanje dejavnosti</v>
          </cell>
          <cell r="D103">
            <v>0</v>
          </cell>
          <cell r="E103">
            <v>0</v>
          </cell>
          <cell r="I103">
            <v>0</v>
          </cell>
          <cell r="J103">
            <v>0</v>
          </cell>
          <cell r="K103">
            <v>0</v>
          </cell>
          <cell r="L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C104" t="str">
            <v xml:space="preserve">                                 - dinamizirani sprejeti proračun</v>
          </cell>
          <cell r="D104">
            <v>0</v>
          </cell>
          <cell r="E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7046</v>
          </cell>
          <cell r="C105" t="str">
            <v>Pristojbine za motorna vozila</v>
          </cell>
          <cell r="D105">
            <v>16039347.605929997</v>
          </cell>
          <cell r="E105">
            <v>15900000.226176003</v>
          </cell>
          <cell r="F105">
            <v>139347.37975399382</v>
          </cell>
          <cell r="G105">
            <v>108.36209441053145</v>
          </cell>
          <cell r="H105">
            <v>-0.49394452660105514</v>
          </cell>
          <cell r="I105">
            <v>1104254.81119493</v>
          </cell>
          <cell r="J105">
            <v>1333185.7186448202</v>
          </cell>
          <cell r="K105">
            <v>1780438.8604336702</v>
          </cell>
          <cell r="L105">
            <v>4217879.3902734201</v>
          </cell>
          <cell r="M105">
            <v>107.3</v>
          </cell>
          <cell r="N105">
            <v>1520986.42055206</v>
          </cell>
          <cell r="O105">
            <v>1795692.0306679199</v>
          </cell>
          <cell r="P105">
            <v>1742521.2268325402</v>
          </cell>
          <cell r="Q105">
            <v>9277079.0683259405</v>
          </cell>
          <cell r="R105">
            <v>1454981.5210592197</v>
          </cell>
          <cell r="S105">
            <v>1252816.19041656</v>
          </cell>
          <cell r="T105">
            <v>1342415.8823275198</v>
          </cell>
          <cell r="U105">
            <v>1405931.3491654203</v>
          </cell>
          <cell r="V105">
            <v>1413856.7695051802</v>
          </cell>
          <cell r="W105">
            <v>1143381.328</v>
          </cell>
          <cell r="X105">
            <v>0</v>
          </cell>
          <cell r="Y105">
            <v>17290462.108799841</v>
          </cell>
          <cell r="Z105" t="str">
            <v xml:space="preserve"> </v>
          </cell>
          <cell r="AA105">
            <v>107.80028298911166</v>
          </cell>
          <cell r="AB105">
            <v>2.6251309060398853E-4</v>
          </cell>
        </row>
        <row r="106">
          <cell r="C106" t="str">
            <v xml:space="preserve">                                 - dinamizirani sprejeti proračun</v>
          </cell>
          <cell r="D106">
            <v>12479272</v>
          </cell>
          <cell r="E106" t="str">
            <v xml:space="preserve"> </v>
          </cell>
          <cell r="I106">
            <v>1029128</v>
          </cell>
          <cell r="J106">
            <v>1029128</v>
          </cell>
          <cell r="K106">
            <v>1029128</v>
          </cell>
          <cell r="L106">
            <v>3087384</v>
          </cell>
          <cell r="N106">
            <v>1029128</v>
          </cell>
          <cell r="O106">
            <v>1029128</v>
          </cell>
          <cell r="P106">
            <v>1029128</v>
          </cell>
          <cell r="Q106">
            <v>6174768</v>
          </cell>
          <cell r="R106">
            <v>1029128</v>
          </cell>
          <cell r="S106">
            <v>1029128</v>
          </cell>
          <cell r="T106">
            <v>1029128</v>
          </cell>
          <cell r="U106">
            <v>1029128</v>
          </cell>
          <cell r="V106">
            <v>1408985</v>
          </cell>
          <cell r="W106">
            <v>1158864</v>
          </cell>
          <cell r="X106">
            <v>0</v>
          </cell>
          <cell r="Y106">
            <v>12859129</v>
          </cell>
          <cell r="Z106" t="str">
            <v xml:space="preserve"> </v>
          </cell>
        </row>
        <row r="108">
          <cell r="A108">
            <v>7047</v>
          </cell>
          <cell r="C108" t="str">
            <v>Drugi davki na uporabo blaga ali opravljanje storitev</v>
          </cell>
          <cell r="D108">
            <v>5076377.7784500001</v>
          </cell>
          <cell r="E108">
            <v>4000000.4</v>
          </cell>
          <cell r="F108">
            <v>1076377.3784500002</v>
          </cell>
          <cell r="G108">
            <v>91.985578735770801</v>
          </cell>
          <cell r="H108">
            <v>-15.532067276610846</v>
          </cell>
          <cell r="I108">
            <v>269924.84329272003</v>
          </cell>
          <cell r="J108">
            <v>278632.63556436001</v>
          </cell>
          <cell r="K108">
            <v>511789.2556669201</v>
          </cell>
          <cell r="L108">
            <v>1060346.734524</v>
          </cell>
          <cell r="M108">
            <v>107.8</v>
          </cell>
          <cell r="N108">
            <v>370542.22445856</v>
          </cell>
          <cell r="O108">
            <v>393183.8209252801</v>
          </cell>
          <cell r="P108">
            <v>440135.81555328</v>
          </cell>
          <cell r="Q108">
            <v>2264208.5954611199</v>
          </cell>
          <cell r="R108">
            <v>483454.46275280009</v>
          </cell>
          <cell r="S108">
            <v>472259.17906706</v>
          </cell>
          <cell r="T108">
            <v>378694.42988915998</v>
          </cell>
          <cell r="U108">
            <v>721437.32896774018</v>
          </cell>
          <cell r="V108">
            <v>498162.70703122002</v>
          </cell>
          <cell r="W108">
            <v>654118.54200000002</v>
          </cell>
          <cell r="X108">
            <v>0</v>
          </cell>
          <cell r="Y108">
            <v>5472335.2451691004</v>
          </cell>
          <cell r="Z108" t="str">
            <v xml:space="preserve"> </v>
          </cell>
          <cell r="AA108">
            <v>107.8</v>
          </cell>
          <cell r="AB108">
            <v>0</v>
          </cell>
        </row>
        <row r="109">
          <cell r="C109" t="str">
            <v>(vodna povračila.prenoč.taksa,odškod.za spr.namemb.,požarna taksa)</v>
          </cell>
          <cell r="D109" t="str">
            <v xml:space="preserve"> </v>
          </cell>
          <cell r="Q109" t="str">
            <v xml:space="preserve"> </v>
          </cell>
          <cell r="Y109" t="str">
            <v xml:space="preserve"> </v>
          </cell>
        </row>
        <row r="110">
          <cell r="C110" t="str">
            <v xml:space="preserve"> v tem:  vplačilo DARS odškodnine za spremembo namembnosti </v>
          </cell>
          <cell r="D110" t="str">
            <v xml:space="preserve"> </v>
          </cell>
          <cell r="Q110">
            <v>0</v>
          </cell>
          <cell r="Y110" t="str">
            <v xml:space="preserve"> </v>
          </cell>
        </row>
        <row r="111">
          <cell r="C111" t="str">
            <v xml:space="preserve">              kmetijskih zemljišč  (70%)</v>
          </cell>
          <cell r="Q111">
            <v>0</v>
          </cell>
        </row>
        <row r="112">
          <cell r="C112" t="str">
            <v xml:space="preserve">                                 - dinamizirani sprejeti proračun</v>
          </cell>
          <cell r="D112">
            <v>3254334</v>
          </cell>
          <cell r="E112" t="str">
            <v xml:space="preserve"> </v>
          </cell>
          <cell r="I112">
            <v>250394</v>
          </cell>
          <cell r="J112">
            <v>250394</v>
          </cell>
          <cell r="K112">
            <v>250394</v>
          </cell>
          <cell r="L112">
            <v>751182</v>
          </cell>
          <cell r="N112">
            <v>250394</v>
          </cell>
          <cell r="O112">
            <v>250394</v>
          </cell>
          <cell r="P112">
            <v>250394</v>
          </cell>
          <cell r="Q112">
            <v>1502364</v>
          </cell>
          <cell r="R112">
            <v>250394</v>
          </cell>
          <cell r="S112">
            <v>250394</v>
          </cell>
          <cell r="T112">
            <v>250394</v>
          </cell>
          <cell r="U112">
            <v>250394</v>
          </cell>
          <cell r="V112">
            <v>500000</v>
          </cell>
          <cell r="W112">
            <v>500000</v>
          </cell>
          <cell r="X112">
            <v>0</v>
          </cell>
          <cell r="Y112">
            <v>3503940</v>
          </cell>
          <cell r="Z112" t="str">
            <v xml:space="preserve"> </v>
          </cell>
        </row>
        <row r="113">
          <cell r="C113" t="str">
            <v xml:space="preserve">  v tem: - odškodnine za spremembo namembnosti kmetijskega zemljišča in gozda</v>
          </cell>
          <cell r="D113">
            <v>1500304.8413</v>
          </cell>
          <cell r="E113">
            <v>1200000</v>
          </cell>
          <cell r="F113">
            <v>300304.84129999997</v>
          </cell>
          <cell r="I113">
            <v>26576.671599940004</v>
          </cell>
          <cell r="J113">
            <v>43836.032016699995</v>
          </cell>
          <cell r="K113">
            <v>134952.6324685</v>
          </cell>
          <cell r="L113">
            <v>205365.33608514001</v>
          </cell>
          <cell r="M113">
            <v>107.8</v>
          </cell>
          <cell r="N113">
            <v>54434.734429460004</v>
          </cell>
          <cell r="O113">
            <v>52555.792761780009</v>
          </cell>
          <cell r="P113">
            <v>103466.3358652</v>
          </cell>
          <cell r="Q113">
            <v>415822.19914158003</v>
          </cell>
          <cell r="R113">
            <v>151067.01329566</v>
          </cell>
          <cell r="S113">
            <v>222578.01055336004</v>
          </cell>
          <cell r="T113">
            <v>57213.801537200008</v>
          </cell>
          <cell r="U113">
            <v>366130.24927248008</v>
          </cell>
          <cell r="V113">
            <v>85271.957121120009</v>
          </cell>
          <cell r="W113">
            <v>319245.38800000004</v>
          </cell>
          <cell r="X113">
            <v>0</v>
          </cell>
          <cell r="Y113">
            <v>1617328.6189214003</v>
          </cell>
          <cell r="Z113" t="str">
            <v xml:space="preserve"> </v>
          </cell>
          <cell r="AA113">
            <v>107.8</v>
          </cell>
          <cell r="AB113">
            <v>0</v>
          </cell>
        </row>
        <row r="114">
          <cell r="C114" t="str">
            <v xml:space="preserve">            - požarna taksa</v>
          </cell>
          <cell r="D114">
            <v>857147.47787000006</v>
          </cell>
          <cell r="E114">
            <v>800000</v>
          </cell>
          <cell r="F114">
            <v>57147.477870000061</v>
          </cell>
          <cell r="I114">
            <v>23649.911603780001</v>
          </cell>
          <cell r="J114">
            <v>42925.85787028</v>
          </cell>
          <cell r="K114">
            <v>111443.62344192</v>
          </cell>
          <cell r="L114">
            <v>178019.39291598002</v>
          </cell>
          <cell r="M114">
            <v>107.8</v>
          </cell>
          <cell r="N114">
            <v>81769.144637180012</v>
          </cell>
          <cell r="O114">
            <v>105724.83587820001</v>
          </cell>
          <cell r="P114">
            <v>84629.704653340013</v>
          </cell>
          <cell r="Q114">
            <v>450143.07808470004</v>
          </cell>
          <cell r="R114">
            <v>90398.510328280012</v>
          </cell>
          <cell r="S114">
            <v>84021.854216299995</v>
          </cell>
          <cell r="T114">
            <v>86651.385659299995</v>
          </cell>
          <cell r="U114">
            <v>70264.523580020003</v>
          </cell>
          <cell r="V114">
            <v>73633.883275259999</v>
          </cell>
          <cell r="W114">
            <v>68891.745999999999</v>
          </cell>
          <cell r="X114">
            <v>0</v>
          </cell>
          <cell r="Y114">
            <v>924004.98114386015</v>
          </cell>
          <cell r="Z114" t="str">
            <v xml:space="preserve"> </v>
          </cell>
          <cell r="AA114">
            <v>107.8</v>
          </cell>
          <cell r="AB114">
            <v>0</v>
          </cell>
        </row>
        <row r="116">
          <cell r="A116">
            <v>7048</v>
          </cell>
          <cell r="C116" t="str">
            <v>Davek na promet motornih vozil (nov v letu 1999)</v>
          </cell>
          <cell r="D116">
            <v>4632401.0908599999</v>
          </cell>
          <cell r="E116">
            <v>5000000</v>
          </cell>
          <cell r="F116">
            <v>-367598.90914000012</v>
          </cell>
          <cell r="G116">
            <v>272.27652076134433</v>
          </cell>
          <cell r="H116">
            <v>150.02435331620231</v>
          </cell>
          <cell r="I116">
            <v>264358.27179761999</v>
          </cell>
          <cell r="J116">
            <v>230074.55036104005</v>
          </cell>
          <cell r="K116">
            <v>688288.08805834001</v>
          </cell>
          <cell r="L116">
            <v>1182720.9102170002</v>
          </cell>
          <cell r="M116">
            <v>107.8</v>
          </cell>
          <cell r="N116">
            <v>512205.48184805998</v>
          </cell>
          <cell r="O116">
            <v>455456.99103365996</v>
          </cell>
          <cell r="P116">
            <v>493235.09699926001</v>
          </cell>
          <cell r="Q116">
            <v>2643618.4800979802</v>
          </cell>
          <cell r="R116">
            <v>413281.32521059999</v>
          </cell>
          <cell r="S116">
            <v>587422.75603703992</v>
          </cell>
          <cell r="T116">
            <v>342430.05261234008</v>
          </cell>
          <cell r="U116">
            <v>367582.71754973999</v>
          </cell>
          <cell r="V116">
            <v>276260.12043938006</v>
          </cell>
          <cell r="W116">
            <v>363132.924</v>
          </cell>
          <cell r="X116">
            <v>0</v>
          </cell>
          <cell r="Y116">
            <v>4993728.3759470806</v>
          </cell>
          <cell r="Z116" t="str">
            <v xml:space="preserve"> </v>
          </cell>
          <cell r="AA116">
            <v>107.8</v>
          </cell>
          <cell r="AB116">
            <v>0</v>
          </cell>
        </row>
        <row r="117">
          <cell r="C117" t="str">
            <v xml:space="preserve">                                 - dinamizirani sprejeti proračun</v>
          </cell>
          <cell r="D117">
            <v>3197530</v>
          </cell>
          <cell r="E117" t="str">
            <v xml:space="preserve"> </v>
          </cell>
          <cell r="I117">
            <v>245230</v>
          </cell>
          <cell r="J117">
            <v>245230</v>
          </cell>
          <cell r="K117">
            <v>245230</v>
          </cell>
          <cell r="L117">
            <v>735690</v>
          </cell>
          <cell r="N117">
            <v>245230</v>
          </cell>
          <cell r="O117">
            <v>245230</v>
          </cell>
          <cell r="P117">
            <v>245230</v>
          </cell>
          <cell r="Q117">
            <v>1471380</v>
          </cell>
          <cell r="R117">
            <v>245230</v>
          </cell>
          <cell r="S117">
            <v>245230</v>
          </cell>
          <cell r="T117">
            <v>245230</v>
          </cell>
          <cell r="U117">
            <v>245230</v>
          </cell>
          <cell r="V117">
            <v>500000</v>
          </cell>
          <cell r="W117">
            <v>500000</v>
          </cell>
          <cell r="X117">
            <v>0</v>
          </cell>
          <cell r="Y117">
            <v>3452300</v>
          </cell>
          <cell r="Z117" t="str">
            <v xml:space="preserve"> </v>
          </cell>
        </row>
        <row r="118">
          <cell r="D118" t="str">
            <v xml:space="preserve"> </v>
          </cell>
          <cell r="Y118" t="str">
            <v xml:space="preserve"> </v>
          </cell>
        </row>
        <row r="119">
          <cell r="A119">
            <v>705</v>
          </cell>
          <cell r="B119" t="str">
            <v xml:space="preserve"> </v>
          </cell>
          <cell r="C119" t="str">
            <v>DAVKI NA MEDNARODNO TRGOVINO IN TRANSAKCIJE</v>
          </cell>
          <cell r="D119">
            <v>38089449.247639999</v>
          </cell>
          <cell r="E119">
            <v>40484100.299999997</v>
          </cell>
          <cell r="F119">
            <v>-2394651.0523599982</v>
          </cell>
          <cell r="G119">
            <v>83.424410308339887</v>
          </cell>
          <cell r="H119">
            <v>-23.393562618604335</v>
          </cell>
          <cell r="I119">
            <v>3460000</v>
          </cell>
          <cell r="J119">
            <v>2660000</v>
          </cell>
          <cell r="K119">
            <v>2790000</v>
          </cell>
          <cell r="L119">
            <v>8910000</v>
          </cell>
          <cell r="M119">
            <v>87.190008039588008</v>
          </cell>
          <cell r="N119">
            <v>2845000</v>
          </cell>
          <cell r="O119">
            <v>2920000</v>
          </cell>
          <cell r="P119">
            <v>3015000</v>
          </cell>
          <cell r="Q119">
            <v>17690000</v>
          </cell>
          <cell r="R119">
            <v>2730000</v>
          </cell>
          <cell r="S119">
            <v>2625000</v>
          </cell>
          <cell r="T119">
            <v>2720000</v>
          </cell>
          <cell r="U119">
            <v>2980000</v>
          </cell>
          <cell r="V119">
            <v>3280000</v>
          </cell>
          <cell r="W119">
            <v>3430000</v>
          </cell>
          <cell r="X119">
            <v>0</v>
          </cell>
          <cell r="Y119">
            <v>35455000</v>
          </cell>
          <cell r="Z119">
            <v>0</v>
          </cell>
          <cell r="AA119">
            <v>93.083519715625116</v>
          </cell>
          <cell r="AB119">
            <v>-13.651651469735512</v>
          </cell>
        </row>
        <row r="120">
          <cell r="C120" t="str">
            <v xml:space="preserve">                                 - dinamizirani sprejeti proračun</v>
          </cell>
          <cell r="D120">
            <v>47033570</v>
          </cell>
          <cell r="E120" t="str">
            <v xml:space="preserve"> </v>
          </cell>
          <cell r="I120">
            <v>3964624</v>
          </cell>
          <cell r="J120">
            <v>3964624</v>
          </cell>
          <cell r="K120">
            <v>3964624</v>
          </cell>
          <cell r="L120">
            <v>11893872</v>
          </cell>
          <cell r="N120">
            <v>3964624</v>
          </cell>
          <cell r="O120">
            <v>3964624</v>
          </cell>
          <cell r="P120">
            <v>3964624</v>
          </cell>
          <cell r="Q120">
            <v>23787744</v>
          </cell>
          <cell r="R120">
            <v>3964624</v>
          </cell>
          <cell r="S120">
            <v>3964624</v>
          </cell>
          <cell r="T120">
            <v>3964624</v>
          </cell>
          <cell r="U120">
            <v>3964624</v>
          </cell>
          <cell r="V120">
            <v>3588000</v>
          </cell>
          <cell r="W120">
            <v>3422706</v>
          </cell>
          <cell r="X120">
            <v>0</v>
          </cell>
          <cell r="Y120">
            <v>46656946</v>
          </cell>
          <cell r="Z120" t="str">
            <v xml:space="preserve"> </v>
          </cell>
        </row>
        <row r="121">
          <cell r="A121">
            <v>7050</v>
          </cell>
          <cell r="C121" t="str">
            <v>Carine</v>
          </cell>
          <cell r="D121">
            <v>36034569.703370005</v>
          </cell>
          <cell r="E121">
            <v>37952900.299999997</v>
          </cell>
          <cell r="F121">
            <v>-1918330.5966299921</v>
          </cell>
          <cell r="G121">
            <v>84.035341821116944</v>
          </cell>
          <cell r="H121">
            <v>-22.832560311187393</v>
          </cell>
          <cell r="I121">
            <v>3200000</v>
          </cell>
          <cell r="J121">
            <v>2500000</v>
          </cell>
          <cell r="K121">
            <v>2600000</v>
          </cell>
          <cell r="L121">
            <v>8300000</v>
          </cell>
          <cell r="M121">
            <v>88.625669625318437</v>
          </cell>
          <cell r="N121">
            <v>2665000</v>
          </cell>
          <cell r="O121">
            <v>2750000</v>
          </cell>
          <cell r="P121">
            <v>2850000</v>
          </cell>
          <cell r="Q121">
            <v>16565000</v>
          </cell>
          <cell r="R121">
            <v>2550000</v>
          </cell>
          <cell r="S121">
            <v>2450000</v>
          </cell>
          <cell r="T121">
            <v>2550000</v>
          </cell>
          <cell r="U121">
            <v>2800000</v>
          </cell>
          <cell r="V121">
            <v>3100000</v>
          </cell>
          <cell r="W121">
            <v>3200000</v>
          </cell>
          <cell r="X121">
            <v>0</v>
          </cell>
          <cell r="Y121">
            <v>33215000</v>
          </cell>
          <cell r="Z121" t="str">
            <v xml:space="preserve"> </v>
          </cell>
          <cell r="AA121">
            <v>92.175375683461226</v>
          </cell>
          <cell r="AB121">
            <v>-14.494085636863431</v>
          </cell>
        </row>
        <row r="122">
          <cell r="A122">
            <v>7051</v>
          </cell>
          <cell r="C122" t="str">
            <v>Druge uvozne dajatve</v>
          </cell>
          <cell r="D122">
            <v>2054879.54427</v>
          </cell>
          <cell r="E122">
            <v>2531200</v>
          </cell>
          <cell r="F122">
            <v>-476320.45573000005</v>
          </cell>
          <cell r="G122">
            <v>73.991506655124994</v>
          </cell>
          <cell r="H122">
            <v>-32.055549444329671</v>
          </cell>
          <cell r="I122">
            <v>260000</v>
          </cell>
          <cell r="J122">
            <v>160000</v>
          </cell>
          <cell r="K122">
            <v>190000</v>
          </cell>
          <cell r="L122">
            <v>610000</v>
          </cell>
          <cell r="M122">
            <v>71.442927460704567</v>
          </cell>
          <cell r="N122">
            <v>180000</v>
          </cell>
          <cell r="O122">
            <v>170000</v>
          </cell>
          <cell r="P122">
            <v>165000</v>
          </cell>
          <cell r="Q122">
            <v>1125000</v>
          </cell>
          <cell r="R122">
            <v>180000</v>
          </cell>
          <cell r="S122">
            <v>175000</v>
          </cell>
          <cell r="T122">
            <v>170000</v>
          </cell>
          <cell r="U122">
            <v>180000</v>
          </cell>
          <cell r="V122">
            <v>180000</v>
          </cell>
          <cell r="W122">
            <v>230000</v>
          </cell>
          <cell r="X122">
            <v>0</v>
          </cell>
          <cell r="Y122">
            <v>2240000</v>
          </cell>
          <cell r="Z122" t="str">
            <v xml:space="preserve"> </v>
          </cell>
          <cell r="AA122">
            <v>109.00882274322142</v>
          </cell>
          <cell r="AB122">
            <v>1.1213569046580858</v>
          </cell>
        </row>
        <row r="123">
          <cell r="A123">
            <v>7052</v>
          </cell>
          <cell r="C123" t="str">
            <v>Izvozne dajatve</v>
          </cell>
          <cell r="D123" t="str">
            <v xml:space="preserve"> </v>
          </cell>
          <cell r="Y123" t="str">
            <v xml:space="preserve"> </v>
          </cell>
        </row>
        <row r="124">
          <cell r="A124">
            <v>7053</v>
          </cell>
          <cell r="C124" t="str">
            <v>Dobički izvoznih in uvoznih monopolov</v>
          </cell>
          <cell r="E124" t="str">
            <v xml:space="preserve"> </v>
          </cell>
          <cell r="X124" t="str">
            <v xml:space="preserve"> </v>
          </cell>
          <cell r="Z124" t="str">
            <v xml:space="preserve"> </v>
          </cell>
        </row>
        <row r="125">
          <cell r="A125">
            <v>7054</v>
          </cell>
          <cell r="C125" t="str">
            <v>Dobički od menjave tujih valut</v>
          </cell>
        </row>
        <row r="126">
          <cell r="A126">
            <v>7055</v>
          </cell>
          <cell r="C126" t="str">
            <v>Davki na menjavo tujih valut</v>
          </cell>
        </row>
        <row r="127">
          <cell r="A127">
            <v>7056</v>
          </cell>
          <cell r="C127" t="str">
            <v>Drugi davki na mednarodno trgovino in transakcije</v>
          </cell>
        </row>
        <row r="129">
          <cell r="A129">
            <v>706</v>
          </cell>
          <cell r="C129" t="str">
            <v>DRUGI DAVKI</v>
          </cell>
          <cell r="D129">
            <v>238427.22389000002</v>
          </cell>
          <cell r="E129">
            <v>0</v>
          </cell>
          <cell r="F129">
            <v>238427.22389000002</v>
          </cell>
          <cell r="G129" t="str">
            <v>…</v>
          </cell>
          <cell r="H129" t="str">
            <v>…</v>
          </cell>
          <cell r="I129">
            <v>13452.896235239999</v>
          </cell>
          <cell r="J129">
            <v>11032.427972719999</v>
          </cell>
          <cell r="K129">
            <v>27095.01149278001</v>
          </cell>
          <cell r="L129">
            <v>51580.335700740005</v>
          </cell>
          <cell r="M129">
            <v>107.8</v>
          </cell>
          <cell r="N129">
            <v>14156.208789800001</v>
          </cell>
          <cell r="O129">
            <v>20532.675745120003</v>
          </cell>
          <cell r="P129">
            <v>28092.159584720008</v>
          </cell>
          <cell r="Q129">
            <v>114361.37982038001</v>
          </cell>
          <cell r="R129">
            <v>15218.264964979997</v>
          </cell>
          <cell r="S129">
            <v>16057.760731320001</v>
          </cell>
          <cell r="T129">
            <v>35370.565887580015</v>
          </cell>
          <cell r="U129">
            <v>17637.00899884</v>
          </cell>
          <cell r="V129">
            <v>31284.036950320002</v>
          </cell>
          <cell r="W129">
            <v>27095.53</v>
          </cell>
          <cell r="X129">
            <v>0</v>
          </cell>
          <cell r="Y129">
            <v>257024.54735342003</v>
          </cell>
          <cell r="Z129" t="str">
            <v xml:space="preserve"> </v>
          </cell>
          <cell r="AA129">
            <v>107.8</v>
          </cell>
          <cell r="AB129">
            <v>0</v>
          </cell>
        </row>
        <row r="130">
          <cell r="A130">
            <v>7060</v>
          </cell>
          <cell r="C130" t="str">
            <v>Drugi davki</v>
          </cell>
          <cell r="D130">
            <v>238427.22389000002</v>
          </cell>
          <cell r="E130">
            <v>0</v>
          </cell>
          <cell r="F130">
            <v>238427.22389000002</v>
          </cell>
          <cell r="I130">
            <v>13452.896235239999</v>
          </cell>
          <cell r="J130">
            <v>11032.427972719999</v>
          </cell>
          <cell r="K130">
            <v>27095.01149278001</v>
          </cell>
          <cell r="L130">
            <v>51580.335700740005</v>
          </cell>
          <cell r="M130">
            <v>107.8</v>
          </cell>
          <cell r="N130">
            <v>14156.208789800001</v>
          </cell>
          <cell r="O130">
            <v>20532.675745120003</v>
          </cell>
          <cell r="P130">
            <v>28092.159584720008</v>
          </cell>
          <cell r="Q130">
            <v>114361.37982038001</v>
          </cell>
          <cell r="R130">
            <v>15218.264964979997</v>
          </cell>
          <cell r="S130">
            <v>16057.760731320001</v>
          </cell>
          <cell r="T130">
            <v>35370.565887580015</v>
          </cell>
          <cell r="U130">
            <v>17637.00899884</v>
          </cell>
          <cell r="V130">
            <v>31284.036950320002</v>
          </cell>
          <cell r="W130">
            <v>27095.53</v>
          </cell>
          <cell r="X130">
            <v>0</v>
          </cell>
          <cell r="Y130">
            <v>257024.54735342003</v>
          </cell>
          <cell r="Z130" t="str">
            <v xml:space="preserve"> </v>
          </cell>
          <cell r="AA130">
            <v>107.8</v>
          </cell>
          <cell r="AB130">
            <v>0</v>
          </cell>
        </row>
        <row r="131">
          <cell r="C131" t="str">
            <v xml:space="preserve">                                 - dinamizirani sprejeti proračun</v>
          </cell>
          <cell r="D131">
            <v>137280</v>
          </cell>
          <cell r="E131" t="str">
            <v xml:space="preserve"> </v>
          </cell>
          <cell r="G131" t="str">
            <v>…</v>
          </cell>
          <cell r="H131" t="str">
            <v>…</v>
          </cell>
          <cell r="I131">
            <v>12480</v>
          </cell>
          <cell r="J131">
            <v>12480</v>
          </cell>
          <cell r="K131">
            <v>12480</v>
          </cell>
          <cell r="L131">
            <v>37440</v>
          </cell>
          <cell r="N131">
            <v>12480</v>
          </cell>
          <cell r="O131">
            <v>12480</v>
          </cell>
          <cell r="P131">
            <v>12480</v>
          </cell>
          <cell r="Q131">
            <v>74880</v>
          </cell>
          <cell r="R131">
            <v>12480</v>
          </cell>
          <cell r="S131">
            <v>12480</v>
          </cell>
          <cell r="T131">
            <v>12480</v>
          </cell>
          <cell r="U131">
            <v>12480</v>
          </cell>
          <cell r="V131">
            <v>0</v>
          </cell>
          <cell r="W131">
            <v>0</v>
          </cell>
          <cell r="X131">
            <v>0</v>
          </cell>
          <cell r="Y131">
            <v>124800</v>
          </cell>
          <cell r="Z131" t="str">
            <v xml:space="preserve"> </v>
          </cell>
          <cell r="AA131" t="str">
            <v>…</v>
          </cell>
          <cell r="AB131" t="str">
            <v>…</v>
          </cell>
        </row>
        <row r="133">
          <cell r="A133">
            <v>71</v>
          </cell>
          <cell r="C133" t="str">
            <v xml:space="preserve">NEDAVČNI  PRIHODKI  </v>
          </cell>
          <cell r="D133">
            <v>55057656.355360001</v>
          </cell>
          <cell r="E133">
            <v>48130800</v>
          </cell>
          <cell r="F133">
            <v>6926856.3553600013</v>
          </cell>
          <cell r="G133">
            <v>124.20629589251968</v>
          </cell>
          <cell r="H133">
            <v>14.055368129035514</v>
          </cell>
          <cell r="I133">
            <v>3415171.9210526422</v>
          </cell>
          <cell r="J133">
            <v>3728935.3728783685</v>
          </cell>
          <cell r="K133">
            <v>4812372.4928669045</v>
          </cell>
          <cell r="L133">
            <v>11956479.786797915</v>
          </cell>
          <cell r="M133">
            <v>113.84312509617752</v>
          </cell>
          <cell r="N133">
            <v>3907249.1866699993</v>
          </cell>
          <cell r="O133">
            <v>4682212.4403260164</v>
          </cell>
          <cell r="P133">
            <v>6373721.5033615958</v>
          </cell>
          <cell r="Q133">
            <v>26919662.917155527</v>
          </cell>
          <cell r="R133">
            <v>5733649.9195806403</v>
          </cell>
          <cell r="S133">
            <v>5287392.3966277689</v>
          </cell>
          <cell r="T133">
            <v>4386547.3544001505</v>
          </cell>
          <cell r="U133">
            <v>5561810.4512439677</v>
          </cell>
          <cell r="V133">
            <v>4451436.816261176</v>
          </cell>
          <cell r="W133">
            <v>6786254.5627660006</v>
          </cell>
          <cell r="X133">
            <v>0</v>
          </cell>
          <cell r="Y133">
            <v>59126754.418035224</v>
          </cell>
          <cell r="Z133" t="e">
            <v>#VALUE!</v>
          </cell>
          <cell r="AA133">
            <v>107.39061255425028</v>
          </cell>
          <cell r="AB133">
            <v>-0.37976571961941374</v>
          </cell>
        </row>
        <row r="134">
          <cell r="C134" t="str">
            <v xml:space="preserve">                                 - dinamizirani sprejeti proračun</v>
          </cell>
          <cell r="D134">
            <v>36276331</v>
          </cell>
          <cell r="E134" t="str">
            <v xml:space="preserve"> </v>
          </cell>
          <cell r="I134">
            <v>2765989</v>
          </cell>
          <cell r="J134">
            <v>2765989</v>
          </cell>
          <cell r="K134">
            <v>2765989</v>
          </cell>
          <cell r="L134">
            <v>8297967</v>
          </cell>
          <cell r="N134">
            <v>2765989</v>
          </cell>
          <cell r="O134">
            <v>2765989</v>
          </cell>
          <cell r="P134">
            <v>2765989</v>
          </cell>
          <cell r="Q134">
            <v>16595934</v>
          </cell>
          <cell r="R134">
            <v>2765989</v>
          </cell>
          <cell r="S134">
            <v>2765989</v>
          </cell>
          <cell r="T134">
            <v>2765989</v>
          </cell>
          <cell r="U134">
            <v>2765989</v>
          </cell>
          <cell r="V134">
            <v>4349555</v>
          </cell>
          <cell r="W134">
            <v>5850452</v>
          </cell>
          <cell r="X134">
            <v>0</v>
          </cell>
          <cell r="Y134">
            <v>37859897</v>
          </cell>
          <cell r="Z134" t="str">
            <v xml:space="preserve"> </v>
          </cell>
        </row>
        <row r="135">
          <cell r="A135" t="str">
            <v xml:space="preserve">                     </v>
          </cell>
          <cell r="D135" t="str">
            <v xml:space="preserve"> </v>
          </cell>
          <cell r="Y135" t="str">
            <v xml:space="preserve"> </v>
          </cell>
        </row>
        <row r="136">
          <cell r="A136">
            <v>710</v>
          </cell>
          <cell r="C136" t="str">
            <v>UDELEŽBA NA DOBIČKU IN PRIHODKI OD PREMOŽENJA</v>
          </cell>
          <cell r="D136">
            <v>14176181.845619999</v>
          </cell>
          <cell r="E136">
            <v>12660000</v>
          </cell>
          <cell r="F136">
            <v>1516181.8456199989</v>
          </cell>
          <cell r="G136">
            <v>119.15856977608881</v>
          </cell>
          <cell r="H136">
            <v>9.4201742663809114</v>
          </cell>
          <cell r="I136">
            <v>478318.29649142007</v>
          </cell>
          <cell r="J136">
            <v>452308.03225454007</v>
          </cell>
          <cell r="K136">
            <v>419721.64136210002</v>
          </cell>
          <cell r="L136">
            <v>1350347.9701080602</v>
          </cell>
          <cell r="M136">
            <v>103.2978920854207</v>
          </cell>
          <cell r="N136">
            <v>630581.31597846013</v>
          </cell>
          <cell r="O136">
            <v>834642.50493315991</v>
          </cell>
          <cell r="P136">
            <v>2233785.3016248001</v>
          </cell>
          <cell r="Q136">
            <v>5049357.0926444801</v>
          </cell>
          <cell r="R136">
            <v>1682131.4573196201</v>
          </cell>
          <cell r="S136">
            <v>1527036.65984508</v>
          </cell>
          <cell r="T136">
            <v>1088316.06465786</v>
          </cell>
          <cell r="U136">
            <v>1708326.9347846999</v>
          </cell>
          <cell r="V136">
            <v>462021.098</v>
          </cell>
          <cell r="W136">
            <v>2736235.6560000004</v>
          </cell>
          <cell r="X136">
            <v>0</v>
          </cell>
          <cell r="Y136">
            <v>14253424.96325174</v>
          </cell>
          <cell r="Z136" t="e">
            <v>#VALUE!</v>
          </cell>
          <cell r="AA136">
            <v>100.54487956258551</v>
          </cell>
          <cell r="AB136">
            <v>-6.7301673816460834</v>
          </cell>
        </row>
        <row r="137">
          <cell r="C137" t="str">
            <v xml:space="preserve">                                 - dinamizirani sprejeti proračun</v>
          </cell>
          <cell r="D137">
            <v>6529192</v>
          </cell>
          <cell r="I137">
            <v>397008</v>
          </cell>
          <cell r="J137">
            <v>397008</v>
          </cell>
          <cell r="K137">
            <v>397008</v>
          </cell>
          <cell r="L137">
            <v>1191024</v>
          </cell>
          <cell r="N137">
            <v>397008</v>
          </cell>
          <cell r="O137">
            <v>397008</v>
          </cell>
          <cell r="P137">
            <v>397008</v>
          </cell>
          <cell r="Q137">
            <v>2382048</v>
          </cell>
          <cell r="R137">
            <v>397008</v>
          </cell>
          <cell r="S137">
            <v>397008</v>
          </cell>
          <cell r="T137">
            <v>397008</v>
          </cell>
          <cell r="U137">
            <v>397008</v>
          </cell>
          <cell r="V137">
            <v>850471</v>
          </cell>
          <cell r="W137">
            <v>2162104</v>
          </cell>
          <cell r="X137">
            <v>0</v>
          </cell>
          <cell r="Y137">
            <v>6982655</v>
          </cell>
        </row>
        <row r="138">
          <cell r="D138" t="str">
            <v xml:space="preserve"> </v>
          </cell>
          <cell r="E138" t="str">
            <v xml:space="preserve"> </v>
          </cell>
          <cell r="Y138" t="str">
            <v xml:space="preserve"> </v>
          </cell>
          <cell r="Z138" t="str">
            <v xml:space="preserve"> </v>
          </cell>
        </row>
        <row r="139">
          <cell r="A139">
            <v>7100</v>
          </cell>
          <cell r="C139" t="str">
            <v>Prihodki od udeležbe na dobičku javnih podjetij</v>
          </cell>
          <cell r="D139">
            <v>348013.67935000005</v>
          </cell>
          <cell r="E139">
            <v>0</v>
          </cell>
          <cell r="F139" t="str">
            <v xml:space="preserve"> </v>
          </cell>
          <cell r="G139" t="str">
            <v>…</v>
          </cell>
          <cell r="H139" t="str">
            <v>…</v>
          </cell>
          <cell r="I139">
            <v>0</v>
          </cell>
          <cell r="J139">
            <v>0</v>
          </cell>
          <cell r="K139">
            <v>0</v>
          </cell>
          <cell r="L139">
            <v>0</v>
          </cell>
          <cell r="N139">
            <v>0</v>
          </cell>
          <cell r="O139">
            <v>0</v>
          </cell>
          <cell r="P139">
            <v>0</v>
          </cell>
          <cell r="Q139">
            <v>0</v>
          </cell>
          <cell r="R139">
            <v>0</v>
          </cell>
          <cell r="S139">
            <v>500000</v>
          </cell>
          <cell r="T139">
            <v>0</v>
          </cell>
          <cell r="U139">
            <v>0</v>
          </cell>
          <cell r="V139">
            <v>0</v>
          </cell>
          <cell r="W139">
            <v>0</v>
          </cell>
          <cell r="X139">
            <v>0</v>
          </cell>
          <cell r="Y139">
            <v>500000</v>
          </cell>
          <cell r="Z139" t="str">
            <v xml:space="preserve"> </v>
          </cell>
          <cell r="AA139" t="str">
            <v>…</v>
          </cell>
          <cell r="AB139" t="str">
            <v>…</v>
          </cell>
        </row>
        <row r="140">
          <cell r="A140">
            <v>7101</v>
          </cell>
          <cell r="C140" t="str">
            <v>Prihodki od udeležbe na dobičku drugih podjetij in bank</v>
          </cell>
          <cell r="D140">
            <v>3852820.3339399993</v>
          </cell>
          <cell r="E140">
            <v>0</v>
          </cell>
          <cell r="F140">
            <v>3852820.3339399993</v>
          </cell>
          <cell r="G140" t="str">
            <v>…</v>
          </cell>
          <cell r="H140" t="str">
            <v>…</v>
          </cell>
          <cell r="I140">
            <v>0</v>
          </cell>
          <cell r="J140">
            <v>0</v>
          </cell>
          <cell r="K140">
            <v>0</v>
          </cell>
          <cell r="L140">
            <v>0</v>
          </cell>
          <cell r="N140">
            <v>0</v>
          </cell>
          <cell r="O140">
            <v>0</v>
          </cell>
          <cell r="P140">
            <v>0</v>
          </cell>
          <cell r="Q140">
            <v>0</v>
          </cell>
          <cell r="R140">
            <v>1000000</v>
          </cell>
          <cell r="S140">
            <v>500000</v>
          </cell>
          <cell r="T140">
            <v>500000</v>
          </cell>
          <cell r="U140">
            <v>1000000</v>
          </cell>
          <cell r="V140">
            <v>0</v>
          </cell>
          <cell r="W140">
            <v>0</v>
          </cell>
          <cell r="X140">
            <v>0</v>
          </cell>
          <cell r="Y140">
            <v>3000000</v>
          </cell>
          <cell r="Z140" t="str">
            <v xml:space="preserve"> </v>
          </cell>
          <cell r="AA140" t="str">
            <v>…</v>
          </cell>
          <cell r="AB140" t="str">
            <v>…</v>
          </cell>
        </row>
        <row r="141">
          <cell r="A141">
            <v>7102</v>
          </cell>
          <cell r="C141" t="str">
            <v>Prihodki od obresti</v>
          </cell>
          <cell r="D141">
            <v>6147454.0178999994</v>
          </cell>
          <cell r="E141">
            <v>3720000</v>
          </cell>
          <cell r="F141">
            <v>2427454.0178999994</v>
          </cell>
          <cell r="G141">
            <v>140.83314321537699</v>
          </cell>
          <cell r="H141">
            <v>29.323363834138661</v>
          </cell>
          <cell r="I141">
            <v>198577.46801200003</v>
          </cell>
          <cell r="J141">
            <v>114562.60546654003</v>
          </cell>
          <cell r="K141">
            <v>113655.66094344002</v>
          </cell>
          <cell r="L141">
            <v>426795.7344219801</v>
          </cell>
          <cell r="M141">
            <v>107.8</v>
          </cell>
          <cell r="N141">
            <v>308366.84020450007</v>
          </cell>
          <cell r="O141">
            <v>479711.42175263993</v>
          </cell>
          <cell r="P141">
            <v>1883064.21302846</v>
          </cell>
          <cell r="Q141">
            <v>3097938.2094075801</v>
          </cell>
          <cell r="R141">
            <v>283867.88551660004</v>
          </cell>
          <cell r="S141">
            <v>194312.09284872</v>
          </cell>
          <cell r="T141">
            <v>164505.91452526001</v>
          </cell>
          <cell r="U141">
            <v>365877.85499804013</v>
          </cell>
          <cell r="V141">
            <v>154291.984</v>
          </cell>
          <cell r="W141">
            <v>2366161.4900000002</v>
          </cell>
          <cell r="X141">
            <v>0</v>
          </cell>
          <cell r="Y141">
            <v>6626955.4312962005</v>
          </cell>
          <cell r="Z141" t="str">
            <v xml:space="preserve"> </v>
          </cell>
          <cell r="AA141">
            <v>107.8</v>
          </cell>
          <cell r="AB141">
            <v>0</v>
          </cell>
        </row>
        <row r="142">
          <cell r="A142">
            <v>7103</v>
          </cell>
          <cell r="C142" t="str">
            <v>Prihodki od premoženja</v>
          </cell>
          <cell r="D142">
            <v>3827893.8144299998</v>
          </cell>
          <cell r="E142">
            <v>6440000</v>
          </cell>
          <cell r="F142">
            <v>-2612106.1855700002</v>
          </cell>
          <cell r="G142">
            <v>210.52777027582209</v>
          </cell>
          <cell r="H142">
            <v>93.322103099928455</v>
          </cell>
          <cell r="I142">
            <v>279740.82847942004</v>
          </cell>
          <cell r="J142">
            <v>337745.42678800004</v>
          </cell>
          <cell r="K142">
            <v>306065.98041866004</v>
          </cell>
          <cell r="L142">
            <v>923552.23568608006</v>
          </cell>
          <cell r="M142">
            <v>107.8</v>
          </cell>
          <cell r="N142">
            <v>322214.47577396006</v>
          </cell>
          <cell r="O142">
            <v>354931.08318051999</v>
          </cell>
          <cell r="P142">
            <v>350721.08859634004</v>
          </cell>
          <cell r="Q142">
            <v>1951418.8832369002</v>
          </cell>
          <cell r="R142">
            <v>398263.57180302002</v>
          </cell>
          <cell r="S142">
            <v>332724.56699636002</v>
          </cell>
          <cell r="T142">
            <v>423810.15013260004</v>
          </cell>
          <cell r="U142">
            <v>342449.07978665998</v>
          </cell>
          <cell r="V142">
            <v>307729.114</v>
          </cell>
          <cell r="W142">
            <v>370074.16600000003</v>
          </cell>
          <cell r="X142">
            <v>0</v>
          </cell>
          <cell r="Y142">
            <v>4126469.5319555411</v>
          </cell>
          <cell r="Z142" t="str">
            <v xml:space="preserve"> </v>
          </cell>
          <cell r="AA142">
            <v>107.8</v>
          </cell>
          <cell r="AB142">
            <v>0</v>
          </cell>
        </row>
        <row r="143">
          <cell r="C143" t="str">
            <v>(prihodki od koncesij)</v>
          </cell>
          <cell r="D143" t="str">
            <v xml:space="preserve"> </v>
          </cell>
          <cell r="I143">
            <v>12479.495579999999</v>
          </cell>
          <cell r="J143">
            <v>12479.495579999999</v>
          </cell>
          <cell r="K143">
            <v>12479.495579999999</v>
          </cell>
          <cell r="N143">
            <v>12479.495579999999</v>
          </cell>
          <cell r="O143">
            <v>12479.495579999999</v>
          </cell>
          <cell r="P143">
            <v>12479.495579999999</v>
          </cell>
          <cell r="R143">
            <v>12479.495579999999</v>
          </cell>
          <cell r="S143">
            <v>12479.495579999999</v>
          </cell>
          <cell r="T143">
            <v>12479.495579999999</v>
          </cell>
          <cell r="U143">
            <v>12479.495579999999</v>
          </cell>
          <cell r="Y143" t="str">
            <v xml:space="preserve"> </v>
          </cell>
        </row>
        <row r="144">
          <cell r="C144" t="str">
            <v xml:space="preserve"> v tem: - koncesijska dajatev od iger na srečo</v>
          </cell>
          <cell r="D144">
            <v>3053818.4725100002</v>
          </cell>
          <cell r="E144">
            <v>3916000</v>
          </cell>
          <cell r="F144">
            <v>-862181.52748999977</v>
          </cell>
          <cell r="G144">
            <v>311.15374930052474</v>
          </cell>
          <cell r="H144">
            <v>185.72428769561498</v>
          </cell>
          <cell r="I144">
            <v>220495.87968408002</v>
          </cell>
          <cell r="J144">
            <v>302301.57212178002</v>
          </cell>
          <cell r="K144">
            <v>231582.34544675998</v>
          </cell>
          <cell r="L144">
            <v>754379.79725261999</v>
          </cell>
          <cell r="M144">
            <v>107.8</v>
          </cell>
          <cell r="N144">
            <v>285215.87820572004</v>
          </cell>
          <cell r="O144">
            <v>245175.45830624003</v>
          </cell>
          <cell r="P144">
            <v>302667.70046282001</v>
          </cell>
          <cell r="Q144">
            <v>1587438.8342273999</v>
          </cell>
          <cell r="R144">
            <v>242224.80868740001</v>
          </cell>
          <cell r="S144">
            <v>226957.59915906002</v>
          </cell>
          <cell r="T144">
            <v>373265.81577824004</v>
          </cell>
          <cell r="U144">
            <v>280762.27568312001</v>
          </cell>
          <cell r="V144">
            <v>267487.87583055999</v>
          </cell>
          <cell r="W144">
            <v>313879.10399999999</v>
          </cell>
          <cell r="X144">
            <v>0</v>
          </cell>
          <cell r="Y144">
            <v>3292016.3133657798</v>
          </cell>
          <cell r="Z144" t="str">
            <v xml:space="preserve"> </v>
          </cell>
          <cell r="AA144">
            <v>107.8</v>
          </cell>
          <cell r="AB144">
            <v>0</v>
          </cell>
        </row>
        <row r="145">
          <cell r="C145" t="str">
            <v xml:space="preserve">           - NOVE KONCESIJSKE DAJATVE V LETU 2001 </v>
          </cell>
          <cell r="D145" t="str">
            <v xml:space="preserve"> </v>
          </cell>
          <cell r="I145" t="str">
            <v xml:space="preserve"> </v>
          </cell>
          <cell r="J145" t="str">
            <v xml:space="preserve"> </v>
          </cell>
          <cell r="K145" t="str">
            <v xml:space="preserve"> </v>
          </cell>
          <cell r="L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row>
        <row r="147">
          <cell r="A147">
            <v>711</v>
          </cell>
          <cell r="C147" t="str">
            <v>TAKSE IN PRISTOJBINE</v>
          </cell>
          <cell r="D147">
            <v>18929172.327160001</v>
          </cell>
          <cell r="E147">
            <v>15865800</v>
          </cell>
          <cell r="F147">
            <v>3063372.3271600008</v>
          </cell>
          <cell r="G147">
            <v>144.63610644246404</v>
          </cell>
          <cell r="H147">
            <v>32.815524740554679</v>
          </cell>
          <cell r="I147">
            <v>1572778.6818276425</v>
          </cell>
          <cell r="J147">
            <v>1542813.7236006483</v>
          </cell>
          <cell r="K147">
            <v>2125517.7299545845</v>
          </cell>
          <cell r="L147">
            <v>5241110.1353828758</v>
          </cell>
          <cell r="M147">
            <v>124.24028885590104</v>
          </cell>
          <cell r="N147">
            <v>1729878.5392564989</v>
          </cell>
          <cell r="O147">
            <v>2108849.8188979565</v>
          </cell>
          <cell r="P147">
            <v>1969234.2170809759</v>
          </cell>
          <cell r="Q147">
            <v>11049072.710618306</v>
          </cell>
          <cell r="R147">
            <v>1742751.4804474202</v>
          </cell>
          <cell r="S147">
            <v>1434494.1784731692</v>
          </cell>
          <cell r="T147">
            <v>1578697.0427609708</v>
          </cell>
          <cell r="U147">
            <v>1735840.4394652068</v>
          </cell>
          <cell r="V147">
            <v>1909830.3034311756</v>
          </cell>
          <cell r="W147">
            <v>1758061.5467659999</v>
          </cell>
          <cell r="X147">
            <v>0</v>
          </cell>
          <cell r="Y147">
            <v>21208747.701962247</v>
          </cell>
          <cell r="Z147" t="e">
            <v>#VALUE!</v>
          </cell>
          <cell r="AA147">
            <v>112.04265741472203</v>
          </cell>
          <cell r="AB147">
            <v>3.9356747817458597</v>
          </cell>
        </row>
        <row r="148">
          <cell r="C148" t="str">
            <v xml:space="preserve">                                 - dinamizirani sprejeti proračun</v>
          </cell>
          <cell r="D148">
            <v>12639188</v>
          </cell>
          <cell r="E148" t="str">
            <v xml:space="preserve"> </v>
          </cell>
          <cell r="I148">
            <v>999143</v>
          </cell>
          <cell r="J148">
            <v>999143</v>
          </cell>
          <cell r="K148">
            <v>999143</v>
          </cell>
          <cell r="L148">
            <v>2997429</v>
          </cell>
          <cell r="N148">
            <v>999143</v>
          </cell>
          <cell r="O148">
            <v>999143</v>
          </cell>
          <cell r="P148">
            <v>999143</v>
          </cell>
          <cell r="Q148">
            <v>5994858</v>
          </cell>
          <cell r="R148">
            <v>999143</v>
          </cell>
          <cell r="S148">
            <v>999143</v>
          </cell>
          <cell r="T148">
            <v>999143</v>
          </cell>
          <cell r="U148">
            <v>999143</v>
          </cell>
          <cell r="V148">
            <v>1611915</v>
          </cell>
          <cell r="W148">
            <v>1648615</v>
          </cell>
          <cell r="X148">
            <v>0</v>
          </cell>
          <cell r="Y148">
            <v>13251960</v>
          </cell>
          <cell r="Z148" t="str">
            <v xml:space="preserve"> </v>
          </cell>
        </row>
        <row r="149">
          <cell r="A149">
            <v>7110</v>
          </cell>
          <cell r="C149" t="str">
            <v>Sodne takse</v>
          </cell>
          <cell r="D149">
            <v>7368535.1503799995</v>
          </cell>
          <cell r="E149">
            <v>7876700</v>
          </cell>
          <cell r="F149">
            <v>-508164.84962000046</v>
          </cell>
          <cell r="G149">
            <v>103.51494171217124</v>
          </cell>
          <cell r="H149">
            <v>-4.9449571054442316</v>
          </cell>
          <cell r="I149">
            <v>622778.68182764237</v>
          </cell>
          <cell r="J149">
            <v>642813.72360064846</v>
          </cell>
          <cell r="K149">
            <v>948104.27647381439</v>
          </cell>
          <cell r="L149">
            <v>2213696.681902105</v>
          </cell>
          <cell r="M149">
            <v>110.71059999999997</v>
          </cell>
          <cell r="N149">
            <v>645292.28525649896</v>
          </cell>
          <cell r="O149">
            <v>715696.66289795656</v>
          </cell>
          <cell r="P149">
            <v>750002.55808097601</v>
          </cell>
          <cell r="Q149">
            <v>4324688.1881375369</v>
          </cell>
          <cell r="R149">
            <v>622953.65844742022</v>
          </cell>
          <cell r="S149">
            <v>406865.98347316921</v>
          </cell>
          <cell r="T149">
            <v>656795.82976097078</v>
          </cell>
          <cell r="U149">
            <v>693181.95692437689</v>
          </cell>
          <cell r="V149">
            <v>724111.66968712572</v>
          </cell>
          <cell r="W149">
            <v>729152.18976600002</v>
          </cell>
          <cell r="X149">
            <v>0</v>
          </cell>
          <cell r="Y149">
            <v>8157749.4761966001</v>
          </cell>
          <cell r="Z149" t="str">
            <v xml:space="preserve"> </v>
          </cell>
          <cell r="AA149">
            <v>110.71060000000001</v>
          </cell>
          <cell r="AB149">
            <v>2.7000000000000171</v>
          </cell>
        </row>
        <row r="150">
          <cell r="A150">
            <v>7111</v>
          </cell>
          <cell r="C150" t="str">
            <v>Upravne takse</v>
          </cell>
          <cell r="D150">
            <v>11560637.17678</v>
          </cell>
          <cell r="E150">
            <v>7989100</v>
          </cell>
          <cell r="F150">
            <v>3571537.1767800003</v>
          </cell>
          <cell r="G150">
            <v>193.67419190345774</v>
          </cell>
          <cell r="H150">
            <v>77.84590624743592</v>
          </cell>
          <cell r="I150">
            <v>950000</v>
          </cell>
          <cell r="J150">
            <v>900000</v>
          </cell>
          <cell r="K150">
            <v>1177413.4534807699</v>
          </cell>
          <cell r="L150">
            <v>3027413.4534807699</v>
          </cell>
          <cell r="M150">
            <v>136.43189406177919</v>
          </cell>
          <cell r="N150">
            <v>1084586.254</v>
          </cell>
          <cell r="O150">
            <v>1393153.156</v>
          </cell>
          <cell r="P150">
            <v>1219231.659</v>
          </cell>
          <cell r="Q150">
            <v>6724384.5224807691</v>
          </cell>
          <cell r="R150">
            <v>1119797.8219999999</v>
          </cell>
          <cell r="S150">
            <v>1027628.1949999999</v>
          </cell>
          <cell r="T150">
            <v>921901.21299999999</v>
          </cell>
          <cell r="U150">
            <v>1042658.4825408299</v>
          </cell>
          <cell r="V150">
            <v>1185718.6337440501</v>
          </cell>
          <cell r="W150">
            <v>1028909.357</v>
          </cell>
          <cell r="X150">
            <v>0</v>
          </cell>
          <cell r="Y150">
            <v>13050998.225765647</v>
          </cell>
          <cell r="Z150" t="str">
            <v xml:space="preserve"> </v>
          </cell>
          <cell r="AA150">
            <v>112.89168603940875</v>
          </cell>
          <cell r="AB150">
            <v>4.7232709085424602</v>
          </cell>
        </row>
        <row r="151">
          <cell r="D151" t="str">
            <v xml:space="preserve"> </v>
          </cell>
          <cell r="E151" t="str">
            <v xml:space="preserve"> </v>
          </cell>
          <cell r="F151" t="str">
            <v xml:space="preserve"> </v>
          </cell>
          <cell r="Y151" t="str">
            <v xml:space="preserve"> </v>
          </cell>
          <cell r="Z151" t="str">
            <v xml:space="preserve"> </v>
          </cell>
        </row>
        <row r="152">
          <cell r="A152">
            <v>712</v>
          </cell>
          <cell r="C152" t="str">
            <v xml:space="preserve">DENARNE KAZNI </v>
          </cell>
          <cell r="D152">
            <v>7277832.1754399994</v>
          </cell>
          <cell r="E152">
            <v>6810000</v>
          </cell>
          <cell r="F152">
            <v>467832.17543999944</v>
          </cell>
          <cell r="G152">
            <v>112.28909129739475</v>
          </cell>
          <cell r="H152">
            <v>3.1121132207481566</v>
          </cell>
          <cell r="I152">
            <v>563930.56384279986</v>
          </cell>
          <cell r="J152">
            <v>659394.73302317981</v>
          </cell>
          <cell r="K152">
            <v>772763.29305098008</v>
          </cell>
          <cell r="L152">
            <v>1996088.5899169599</v>
          </cell>
          <cell r="M152">
            <v>107.8</v>
          </cell>
          <cell r="N152">
            <v>621307.08954468009</v>
          </cell>
          <cell r="O152">
            <v>612062.89296768012</v>
          </cell>
          <cell r="P152">
            <v>697019.92865582008</v>
          </cell>
          <cell r="Q152">
            <v>3926478.5010851398</v>
          </cell>
          <cell r="R152">
            <v>652694.07092427986</v>
          </cell>
          <cell r="S152">
            <v>577514.80430952006</v>
          </cell>
          <cell r="T152">
            <v>621275.3929813198</v>
          </cell>
          <cell r="U152">
            <v>648536.05299406021</v>
          </cell>
          <cell r="V152">
            <v>667756.84282999998</v>
          </cell>
          <cell r="W152">
            <v>751247.42</v>
          </cell>
          <cell r="X152">
            <v>0</v>
          </cell>
          <cell r="Y152">
            <v>7845503.0851243194</v>
          </cell>
          <cell r="Z152" t="str">
            <v xml:space="preserve"> </v>
          </cell>
          <cell r="AA152">
            <v>107.8</v>
          </cell>
          <cell r="AB152">
            <v>0</v>
          </cell>
        </row>
        <row r="153">
          <cell r="C153" t="str">
            <v xml:space="preserve">                                 - dinamizirani sprejeti proračun</v>
          </cell>
          <cell r="D153">
            <v>6402197</v>
          </cell>
          <cell r="I153">
            <v>522927</v>
          </cell>
          <cell r="J153">
            <v>522927</v>
          </cell>
          <cell r="K153">
            <v>522927</v>
          </cell>
          <cell r="L153">
            <v>1568781</v>
          </cell>
          <cell r="N153">
            <v>522927</v>
          </cell>
          <cell r="O153">
            <v>522927</v>
          </cell>
          <cell r="P153">
            <v>522927</v>
          </cell>
          <cell r="Q153">
            <v>3137562</v>
          </cell>
          <cell r="R153">
            <v>522927</v>
          </cell>
          <cell r="S153">
            <v>522927</v>
          </cell>
          <cell r="T153">
            <v>522927</v>
          </cell>
          <cell r="U153">
            <v>522927</v>
          </cell>
          <cell r="V153">
            <v>670000</v>
          </cell>
          <cell r="W153">
            <v>650000</v>
          </cell>
          <cell r="X153">
            <v>0</v>
          </cell>
          <cell r="Y153">
            <v>6549270</v>
          </cell>
        </row>
        <row r="154">
          <cell r="A154">
            <v>7120</v>
          </cell>
          <cell r="C154" t="str">
            <v>Denarne kazni</v>
          </cell>
          <cell r="D154">
            <v>7277832.1754399994</v>
          </cell>
          <cell r="E154">
            <v>6810000</v>
          </cell>
          <cell r="F154">
            <v>467832.17543999944</v>
          </cell>
          <cell r="G154">
            <v>112.28909129739475</v>
          </cell>
          <cell r="H154">
            <v>3.1121132207481566</v>
          </cell>
          <cell r="I154">
            <v>563930.56384279986</v>
          </cell>
          <cell r="J154">
            <v>659394.73302317981</v>
          </cell>
          <cell r="K154">
            <v>772763.29305098008</v>
          </cell>
          <cell r="L154">
            <v>1996088.5899169599</v>
          </cell>
          <cell r="M154">
            <v>107.8</v>
          </cell>
          <cell r="N154">
            <v>621307.08954468009</v>
          </cell>
          <cell r="O154">
            <v>612062.89296768012</v>
          </cell>
          <cell r="P154">
            <v>697019.92865582008</v>
          </cell>
          <cell r="Q154">
            <v>3926478.5010851398</v>
          </cell>
          <cell r="R154">
            <v>652694.07092427986</v>
          </cell>
          <cell r="S154">
            <v>577514.80430952006</v>
          </cell>
          <cell r="T154">
            <v>621275.3929813198</v>
          </cell>
          <cell r="U154">
            <v>648536.05299406021</v>
          </cell>
          <cell r="V154">
            <v>667756.84282999998</v>
          </cell>
          <cell r="W154">
            <v>751247.42</v>
          </cell>
          <cell r="X154">
            <v>0</v>
          </cell>
          <cell r="Y154">
            <v>7845503.0851243194</v>
          </cell>
          <cell r="Z154" t="str">
            <v xml:space="preserve"> </v>
          </cell>
          <cell r="AA154">
            <v>107.8</v>
          </cell>
          <cell r="AB154">
            <v>0</v>
          </cell>
        </row>
        <row r="155">
          <cell r="D155" t="str">
            <v xml:space="preserve"> </v>
          </cell>
          <cell r="I155" t="str">
            <v xml:space="preserve"> </v>
          </cell>
          <cell r="J155" t="str">
            <v xml:space="preserve"> </v>
          </cell>
          <cell r="K155" t="str">
            <v xml:space="preserve"> </v>
          </cell>
          <cell r="N155" t="str">
            <v xml:space="preserve"> </v>
          </cell>
          <cell r="O155" t="str">
            <v xml:space="preserve"> </v>
          </cell>
          <cell r="P155" t="str">
            <v xml:space="preserve"> </v>
          </cell>
          <cell r="R155" t="str">
            <v xml:space="preserve"> </v>
          </cell>
          <cell r="S155" t="str">
            <v xml:space="preserve"> </v>
          </cell>
          <cell r="T155" t="str">
            <v xml:space="preserve"> </v>
          </cell>
          <cell r="U155" t="str">
            <v xml:space="preserve"> </v>
          </cell>
          <cell r="Y155" t="str">
            <v xml:space="preserve"> </v>
          </cell>
        </row>
        <row r="156">
          <cell r="A156">
            <v>713</v>
          </cell>
          <cell r="C156" t="str">
            <v>PRIHODKI OD PRODAJE BLAGA IN STORITEV</v>
          </cell>
          <cell r="D156">
            <v>5585586.0071400004</v>
          </cell>
          <cell r="E156">
            <v>4330000</v>
          </cell>
          <cell r="F156">
            <v>1255586.0071400004</v>
          </cell>
          <cell r="G156">
            <v>135.45053754132505</v>
          </cell>
          <cell r="H156">
            <v>24.380658899288377</v>
          </cell>
          <cell r="I156">
            <v>317122.76289078</v>
          </cell>
          <cell r="J156">
            <v>382453.91800000001</v>
          </cell>
          <cell r="K156">
            <v>593320.29449923977</v>
          </cell>
          <cell r="L156">
            <v>1292896.9753900198</v>
          </cell>
          <cell r="M156">
            <v>107.8</v>
          </cell>
          <cell r="N156">
            <v>368695.24189036019</v>
          </cell>
          <cell r="O156">
            <v>434594.15952722018</v>
          </cell>
          <cell r="P156">
            <v>470733.49400000001</v>
          </cell>
          <cell r="Q156">
            <v>2566919.8708076002</v>
          </cell>
          <cell r="R156">
            <v>584129.11488932022</v>
          </cell>
          <cell r="S156">
            <v>805840.57400000002</v>
          </cell>
          <cell r="T156">
            <v>333570.93</v>
          </cell>
          <cell r="U156">
            <v>548714.93599999999</v>
          </cell>
          <cell r="V156">
            <v>503776.35</v>
          </cell>
          <cell r="W156">
            <v>678309.94</v>
          </cell>
          <cell r="X156">
            <v>0</v>
          </cell>
          <cell r="Y156">
            <v>6021261.7156969197</v>
          </cell>
          <cell r="Z156" t="str">
            <v xml:space="preserve"> </v>
          </cell>
          <cell r="AA156">
            <v>107.8</v>
          </cell>
          <cell r="AB156">
            <v>0</v>
          </cell>
        </row>
        <row r="157">
          <cell r="C157" t="str">
            <v xml:space="preserve">                                 - dinamizirani sprejeti proračun</v>
          </cell>
          <cell r="D157">
            <v>3533489</v>
          </cell>
          <cell r="I157">
            <v>283779</v>
          </cell>
          <cell r="J157">
            <v>283779</v>
          </cell>
          <cell r="K157">
            <v>283779</v>
          </cell>
          <cell r="L157">
            <v>851337</v>
          </cell>
          <cell r="N157">
            <v>283779</v>
          </cell>
          <cell r="O157">
            <v>283779</v>
          </cell>
          <cell r="P157">
            <v>283779</v>
          </cell>
          <cell r="Q157">
            <v>1702674</v>
          </cell>
          <cell r="R157">
            <v>283779</v>
          </cell>
          <cell r="S157">
            <v>283779</v>
          </cell>
          <cell r="T157">
            <v>283779</v>
          </cell>
          <cell r="U157">
            <v>283779</v>
          </cell>
          <cell r="V157">
            <v>350833</v>
          </cell>
          <cell r="W157">
            <v>411920</v>
          </cell>
          <cell r="X157">
            <v>0</v>
          </cell>
          <cell r="Y157">
            <v>3600543</v>
          </cell>
        </row>
        <row r="158">
          <cell r="A158">
            <v>7130</v>
          </cell>
          <cell r="C158" t="str">
            <v>Prihodki od prodaje blaga in storitev</v>
          </cell>
          <cell r="D158">
            <v>5585586.0071400004</v>
          </cell>
          <cell r="E158">
            <v>4330000</v>
          </cell>
          <cell r="F158">
            <v>1255586.0071400004</v>
          </cell>
          <cell r="G158">
            <v>135.45053754132505</v>
          </cell>
          <cell r="H158">
            <v>24.380658899288377</v>
          </cell>
          <cell r="I158">
            <v>317122.76289078</v>
          </cell>
          <cell r="J158">
            <v>382453.91800000001</v>
          </cell>
          <cell r="K158">
            <v>593320.29449923977</v>
          </cell>
          <cell r="L158">
            <v>1292896.9753900198</v>
          </cell>
          <cell r="M158">
            <v>107.8</v>
          </cell>
          <cell r="N158">
            <v>368695.24189036019</v>
          </cell>
          <cell r="O158">
            <v>434594.15952722018</v>
          </cell>
          <cell r="P158">
            <v>470733.49400000001</v>
          </cell>
          <cell r="Q158">
            <v>2566919.8708076002</v>
          </cell>
          <cell r="R158">
            <v>584129.11488932022</v>
          </cell>
          <cell r="S158">
            <v>805840.57400000002</v>
          </cell>
          <cell r="T158">
            <v>333570.93</v>
          </cell>
          <cell r="U158">
            <v>548714.93599999999</v>
          </cell>
          <cell r="V158">
            <v>503776.35</v>
          </cell>
          <cell r="W158">
            <v>678309.94</v>
          </cell>
          <cell r="X158">
            <v>0</v>
          </cell>
          <cell r="Y158">
            <v>6021261.7156969197</v>
          </cell>
          <cell r="Z158" t="str">
            <v xml:space="preserve"> </v>
          </cell>
          <cell r="AA158">
            <v>107.8</v>
          </cell>
          <cell r="AB158">
            <v>0</v>
          </cell>
        </row>
        <row r="159">
          <cell r="C159" t="str">
            <v>(lastni prihodki državnih organov)</v>
          </cell>
          <cell r="D159" t="str">
            <v xml:space="preserve"> </v>
          </cell>
          <cell r="Y159" t="str">
            <v xml:space="preserve"> </v>
          </cell>
        </row>
        <row r="160">
          <cell r="D160" t="str">
            <v xml:space="preserve"> </v>
          </cell>
          <cell r="Y160" t="str">
            <v xml:space="preserve"> </v>
          </cell>
        </row>
        <row r="161">
          <cell r="A161">
            <v>714</v>
          </cell>
          <cell r="C161" t="str">
            <v>DRUGI NEDAVČNI PRIHODKI</v>
          </cell>
          <cell r="D161">
            <v>9088884</v>
          </cell>
          <cell r="E161">
            <v>8465000</v>
          </cell>
          <cell r="F161">
            <v>623884</v>
          </cell>
          <cell r="G161">
            <v>104.01330068890667</v>
          </cell>
          <cell r="H161">
            <v>-4.487327191086635</v>
          </cell>
          <cell r="I161">
            <v>483021.61600000004</v>
          </cell>
          <cell r="J161">
            <v>691964.96600000001</v>
          </cell>
          <cell r="K161">
            <v>901049.5340000001</v>
          </cell>
          <cell r="L161">
            <v>2076036.1159999999</v>
          </cell>
          <cell r="M161">
            <v>107.8</v>
          </cell>
          <cell r="N161">
            <v>556787</v>
          </cell>
          <cell r="O161">
            <v>692063.06400000001</v>
          </cell>
          <cell r="P161">
            <v>1002948.562</v>
          </cell>
          <cell r="Q161">
            <v>4327834.7419999996</v>
          </cell>
          <cell r="R161">
            <v>1071943.7960000001</v>
          </cell>
          <cell r="S161">
            <v>942506.18</v>
          </cell>
          <cell r="T161">
            <v>764687.924</v>
          </cell>
          <cell r="U161">
            <v>920392.08800000011</v>
          </cell>
          <cell r="V161">
            <v>908052.22200000007</v>
          </cell>
          <cell r="W161">
            <v>862400</v>
          </cell>
          <cell r="X161">
            <v>0</v>
          </cell>
          <cell r="Y161">
            <v>9797816.9519999996</v>
          </cell>
          <cell r="Z161" t="e">
            <v>#VALUE!</v>
          </cell>
          <cell r="AA161">
            <v>107.8</v>
          </cell>
          <cell r="AB161">
            <v>0</v>
          </cell>
        </row>
        <row r="162">
          <cell r="C162" t="str">
            <v xml:space="preserve">                                 - dinamizirani sprejeti proračun</v>
          </cell>
          <cell r="D162">
            <v>7172266</v>
          </cell>
          <cell r="I162">
            <v>563132</v>
          </cell>
          <cell r="J162">
            <v>563132</v>
          </cell>
          <cell r="K162">
            <v>563132</v>
          </cell>
          <cell r="L162">
            <v>1689396</v>
          </cell>
          <cell r="N162">
            <v>563132</v>
          </cell>
          <cell r="O162">
            <v>563132</v>
          </cell>
          <cell r="P162">
            <v>563132</v>
          </cell>
          <cell r="Q162">
            <v>3378792</v>
          </cell>
          <cell r="R162">
            <v>563132</v>
          </cell>
          <cell r="S162">
            <v>563132</v>
          </cell>
          <cell r="T162">
            <v>563132</v>
          </cell>
          <cell r="U162">
            <v>563132</v>
          </cell>
          <cell r="V162">
            <v>866336</v>
          </cell>
          <cell r="W162">
            <v>977814</v>
          </cell>
          <cell r="X162">
            <v>0</v>
          </cell>
          <cell r="Y162">
            <v>7475470</v>
          </cell>
        </row>
        <row r="163">
          <cell r="A163">
            <v>7140</v>
          </cell>
          <cell r="C163" t="str">
            <v>Dodatni prostovoljni prispevki za socialno varnost</v>
          </cell>
          <cell r="D163">
            <v>0</v>
          </cell>
          <cell r="E163">
            <v>0</v>
          </cell>
          <cell r="I163">
            <v>0</v>
          </cell>
          <cell r="J163">
            <v>0</v>
          </cell>
          <cell r="K163">
            <v>0</v>
          </cell>
          <cell r="L163">
            <v>0</v>
          </cell>
          <cell r="N163">
            <v>0</v>
          </cell>
          <cell r="O163">
            <v>0</v>
          </cell>
          <cell r="P163">
            <v>0</v>
          </cell>
          <cell r="Q163">
            <v>0</v>
          </cell>
          <cell r="R163">
            <v>0</v>
          </cell>
          <cell r="S163">
            <v>0</v>
          </cell>
          <cell r="T163">
            <v>0</v>
          </cell>
          <cell r="U163">
            <v>0</v>
          </cell>
          <cell r="V163">
            <v>0</v>
          </cell>
          <cell r="W163">
            <v>0</v>
          </cell>
          <cell r="X163">
            <v>0</v>
          </cell>
          <cell r="Y163">
            <v>0</v>
          </cell>
          <cell r="Z163" t="str">
            <v xml:space="preserve"> </v>
          </cell>
        </row>
        <row r="164">
          <cell r="A164">
            <v>7141</v>
          </cell>
          <cell r="C164" t="str">
            <v>Drugi nedavčni prihodki</v>
          </cell>
          <cell r="D164">
            <v>9088884</v>
          </cell>
          <cell r="E164">
            <v>8465000</v>
          </cell>
          <cell r="F164">
            <v>623884</v>
          </cell>
          <cell r="G164">
            <v>104.01330068890667</v>
          </cell>
          <cell r="H164">
            <v>-4.487327191086635</v>
          </cell>
          <cell r="I164">
            <v>483021.61600000004</v>
          </cell>
          <cell r="J164">
            <v>691964.96600000001</v>
          </cell>
          <cell r="K164">
            <v>901049.5340000001</v>
          </cell>
          <cell r="L164">
            <v>2076036.1159999999</v>
          </cell>
          <cell r="M164">
            <v>107.8</v>
          </cell>
          <cell r="N164">
            <v>556787</v>
          </cell>
          <cell r="O164">
            <v>692063.06400000001</v>
          </cell>
          <cell r="P164">
            <v>1002948.562</v>
          </cell>
          <cell r="Q164">
            <v>4327834.7419999996</v>
          </cell>
          <cell r="R164">
            <v>1071943.7960000001</v>
          </cell>
          <cell r="S164">
            <v>942506.18</v>
          </cell>
          <cell r="T164">
            <v>764687.924</v>
          </cell>
          <cell r="U164">
            <v>920392.08800000011</v>
          </cell>
          <cell r="V164">
            <v>908052.22200000007</v>
          </cell>
          <cell r="W164">
            <v>862400</v>
          </cell>
          <cell r="X164">
            <v>0</v>
          </cell>
          <cell r="Y164">
            <v>9797816.9519999996</v>
          </cell>
          <cell r="Z164" t="str">
            <v xml:space="preserve"> </v>
          </cell>
          <cell r="AA164">
            <v>107.8</v>
          </cell>
          <cell r="AB164">
            <v>0</v>
          </cell>
        </row>
        <row r="165">
          <cell r="C165" t="str">
            <v>v tem:</v>
          </cell>
          <cell r="D165" t="str">
            <v xml:space="preserve"> </v>
          </cell>
          <cell r="E165" t="str">
            <v xml:space="preserve"> </v>
          </cell>
          <cell r="I165" t="str">
            <v xml:space="preserve"> </v>
          </cell>
          <cell r="J165" t="str">
            <v xml:space="preserve"> </v>
          </cell>
          <cell r="K165" t="str">
            <v xml:space="preserve"> </v>
          </cell>
          <cell r="N165" t="str">
            <v xml:space="preserve"> </v>
          </cell>
          <cell r="O165" t="str">
            <v xml:space="preserve"> </v>
          </cell>
          <cell r="P165" t="str">
            <v xml:space="preserve"> </v>
          </cell>
          <cell r="Q165" t="e">
            <v>#VALUE!</v>
          </cell>
          <cell r="R165" t="str">
            <v xml:space="preserve"> </v>
          </cell>
          <cell r="S165" t="str">
            <v xml:space="preserve"> </v>
          </cell>
          <cell r="T165" t="str">
            <v xml:space="preserve"> </v>
          </cell>
          <cell r="U165" t="str">
            <v xml:space="preserve"> </v>
          </cell>
          <cell r="Y165" t="str">
            <v xml:space="preserve"> </v>
          </cell>
          <cell r="Z165" t="str">
            <v xml:space="preserve"> </v>
          </cell>
        </row>
        <row r="166">
          <cell r="C166" t="str">
            <v xml:space="preserve">POVEČANI PRIHODKI ZARADI BRUTO IZKAZOVANJA </v>
          </cell>
          <cell r="Q166">
            <v>0</v>
          </cell>
        </row>
        <row r="167">
          <cell r="C167" t="str">
            <v>PRIHODKOV PRORAČUNA (PROVIZIJA APP)</v>
          </cell>
          <cell r="D167" t="e">
            <v>#REF!</v>
          </cell>
          <cell r="I167">
            <v>0</v>
          </cell>
          <cell r="J167">
            <v>0</v>
          </cell>
          <cell r="K167">
            <v>0</v>
          </cell>
          <cell r="N167">
            <v>0</v>
          </cell>
          <cell r="O167">
            <v>0</v>
          </cell>
          <cell r="P167">
            <v>0</v>
          </cell>
          <cell r="Q167">
            <v>0</v>
          </cell>
          <cell r="R167">
            <v>0</v>
          </cell>
          <cell r="S167">
            <v>0</v>
          </cell>
          <cell r="T167">
            <v>0</v>
          </cell>
          <cell r="U167">
            <v>0</v>
          </cell>
          <cell r="V167">
            <v>0</v>
          </cell>
          <cell r="W167">
            <v>0</v>
          </cell>
          <cell r="Y167" t="e">
            <v>#REF!</v>
          </cell>
        </row>
        <row r="168">
          <cell r="A168">
            <v>714100</v>
          </cell>
          <cell r="C168" t="str">
            <v>Drugi prihodki</v>
          </cell>
          <cell r="D168">
            <v>1637413.378</v>
          </cell>
          <cell r="E168">
            <v>2785100</v>
          </cell>
          <cell r="F168">
            <v>-1147686.622</v>
          </cell>
          <cell r="I168">
            <v>121559</v>
          </cell>
          <cell r="J168">
            <v>121559</v>
          </cell>
          <cell r="K168">
            <v>121559</v>
          </cell>
          <cell r="L168">
            <v>364677</v>
          </cell>
          <cell r="N168">
            <v>121559</v>
          </cell>
          <cell r="O168">
            <v>121559</v>
          </cell>
          <cell r="P168">
            <v>121559</v>
          </cell>
          <cell r="Q168">
            <v>729354</v>
          </cell>
          <cell r="R168">
            <v>121559</v>
          </cell>
          <cell r="S168">
            <v>121559</v>
          </cell>
          <cell r="T168">
            <v>121559</v>
          </cell>
          <cell r="U168">
            <v>121559</v>
          </cell>
          <cell r="V168">
            <v>125820.53200000001</v>
          </cell>
          <cell r="W168">
            <v>460249.76943600003</v>
          </cell>
          <cell r="X168">
            <v>0</v>
          </cell>
          <cell r="Y168">
            <v>1801660.301436</v>
          </cell>
          <cell r="Z168">
            <v>2785100</v>
          </cell>
        </row>
        <row r="169">
          <cell r="A169">
            <v>714101</v>
          </cell>
          <cell r="C169" t="str">
            <v>Prispevek za Posočje</v>
          </cell>
          <cell r="D169">
            <v>53603</v>
          </cell>
          <cell r="E169">
            <v>0</v>
          </cell>
          <cell r="F169">
            <v>53603</v>
          </cell>
          <cell r="I169">
            <v>4873</v>
          </cell>
          <cell r="J169">
            <v>4873</v>
          </cell>
          <cell r="K169">
            <v>4873</v>
          </cell>
          <cell r="L169">
            <v>14619</v>
          </cell>
          <cell r="N169">
            <v>4873</v>
          </cell>
          <cell r="O169">
            <v>4873</v>
          </cell>
          <cell r="P169">
            <v>4873</v>
          </cell>
          <cell r="Q169">
            <v>29238</v>
          </cell>
          <cell r="R169">
            <v>4873</v>
          </cell>
          <cell r="S169">
            <v>4873</v>
          </cell>
          <cell r="T169">
            <v>4873</v>
          </cell>
          <cell r="U169">
            <v>4873</v>
          </cell>
          <cell r="V169">
            <v>0</v>
          </cell>
          <cell r="W169">
            <v>0</v>
          </cell>
          <cell r="X169">
            <v>0</v>
          </cell>
          <cell r="Y169">
            <v>48730</v>
          </cell>
          <cell r="Z169">
            <v>0</v>
          </cell>
        </row>
        <row r="170">
          <cell r="A170" t="str">
            <v xml:space="preserve"> </v>
          </cell>
          <cell r="C170" t="str">
            <v xml:space="preserve"> </v>
          </cell>
          <cell r="D170" t="str">
            <v xml:space="preserve"> </v>
          </cell>
          <cell r="E170" t="str">
            <v xml:space="preserve"> </v>
          </cell>
          <cell r="I170" t="str">
            <v xml:space="preserve"> </v>
          </cell>
          <cell r="J170" t="str">
            <v xml:space="preserve"> </v>
          </cell>
          <cell r="K170" t="str">
            <v xml:space="preserve"> </v>
          </cell>
          <cell r="N170" t="str">
            <v xml:space="preserve"> </v>
          </cell>
          <cell r="O170" t="str">
            <v xml:space="preserve"> </v>
          </cell>
          <cell r="P170" t="str">
            <v xml:space="preserve"> </v>
          </cell>
          <cell r="Q170" t="e">
            <v>#VALUE!</v>
          </cell>
          <cell r="R170" t="str">
            <v xml:space="preserve"> </v>
          </cell>
          <cell r="S170" t="str">
            <v xml:space="preserve"> </v>
          </cell>
          <cell r="T170" t="str">
            <v xml:space="preserve"> </v>
          </cell>
          <cell r="U170" t="str">
            <v xml:space="preserve"> </v>
          </cell>
          <cell r="V170" t="str">
            <v xml:space="preserve"> </v>
          </cell>
          <cell r="W170" t="str">
            <v xml:space="preserve"> </v>
          </cell>
          <cell r="X170" t="str">
            <v xml:space="preserve"> </v>
          </cell>
          <cell r="Y170" t="str">
            <v xml:space="preserve"> </v>
          </cell>
          <cell r="Z170" t="str">
            <v xml:space="preserve"> </v>
          </cell>
        </row>
        <row r="171">
          <cell r="A171">
            <v>714199</v>
          </cell>
          <cell r="C171" t="str">
            <v>Drugi tekoči prihodki</v>
          </cell>
          <cell r="D171">
            <v>7575254.8739999998</v>
          </cell>
          <cell r="E171">
            <v>5679900</v>
          </cell>
          <cell r="F171">
            <v>1895354.8739999998</v>
          </cell>
          <cell r="I171">
            <v>356589.61600000004</v>
          </cell>
          <cell r="J171">
            <v>565532.96600000001</v>
          </cell>
          <cell r="K171">
            <v>774617.5340000001</v>
          </cell>
          <cell r="L171">
            <v>1696740.1160000002</v>
          </cell>
          <cell r="N171">
            <v>430355</v>
          </cell>
          <cell r="O171">
            <v>565631.06400000001</v>
          </cell>
          <cell r="P171">
            <v>876516.56200000003</v>
          </cell>
          <cell r="Q171">
            <v>3569242.7420000006</v>
          </cell>
          <cell r="R171">
            <v>945511.79600000009</v>
          </cell>
          <cell r="S171">
            <v>816074.18</v>
          </cell>
          <cell r="T171">
            <v>638255.924</v>
          </cell>
          <cell r="U171">
            <v>793960.08800000011</v>
          </cell>
          <cell r="V171">
            <v>990793.85400000005</v>
          </cell>
          <cell r="W171">
            <v>798717.49218800012</v>
          </cell>
          <cell r="X171">
            <v>0</v>
          </cell>
          <cell r="Y171">
            <v>8552556.0761880018</v>
          </cell>
          <cell r="Z171">
            <v>5679900</v>
          </cell>
        </row>
        <row r="172">
          <cell r="D172" t="str">
            <v xml:space="preserve"> </v>
          </cell>
          <cell r="Y172" t="str">
            <v xml:space="preserve"> </v>
          </cell>
        </row>
        <row r="173">
          <cell r="A173">
            <v>72</v>
          </cell>
          <cell r="B173" t="str">
            <v xml:space="preserve">  </v>
          </cell>
          <cell r="C173" t="str">
            <v xml:space="preserve">KAPITALSKI PRIHODKI  </v>
          </cell>
          <cell r="D173">
            <v>860929.19464</v>
          </cell>
          <cell r="E173">
            <v>4391500</v>
          </cell>
          <cell r="F173">
            <v>-3530570.8053600001</v>
          </cell>
          <cell r="G173">
            <v>170.52323736370388</v>
          </cell>
          <cell r="H173">
            <v>56.586994824337808</v>
          </cell>
          <cell r="I173">
            <v>55917.604290240008</v>
          </cell>
          <cell r="J173">
            <v>25754.009568980004</v>
          </cell>
          <cell r="K173">
            <v>42425.552022700009</v>
          </cell>
          <cell r="L173">
            <v>124097.16588192002</v>
          </cell>
          <cell r="M173">
            <v>110.85337153689669</v>
          </cell>
          <cell r="N173">
            <v>118891.54200000002</v>
          </cell>
          <cell r="O173">
            <v>104130.488</v>
          </cell>
          <cell r="P173">
            <v>90640.935000000012</v>
          </cell>
          <cell r="Q173">
            <v>437760.13088192005</v>
          </cell>
          <cell r="R173">
            <v>39003.441400000003</v>
          </cell>
          <cell r="S173">
            <v>12063.737291759999</v>
          </cell>
          <cell r="T173">
            <v>189335.60800000001</v>
          </cell>
          <cell r="U173">
            <v>39989.528511240009</v>
          </cell>
          <cell r="V173">
            <v>132853.79800000001</v>
          </cell>
          <cell r="W173">
            <v>61844.86</v>
          </cell>
          <cell r="X173">
            <v>0</v>
          </cell>
          <cell r="Y173">
            <v>912851.10408492002</v>
          </cell>
          <cell r="Z173" t="e">
            <v>#VALUE!</v>
          </cell>
          <cell r="AA173">
            <v>106.03091517492693</v>
          </cell>
          <cell r="AB173">
            <v>-1.6410805427393882</v>
          </cell>
        </row>
        <row r="174">
          <cell r="C174" t="str">
            <v xml:space="preserve">                                 - dinamizirani sprejeti proračun</v>
          </cell>
          <cell r="D174">
            <v>4329717</v>
          </cell>
          <cell r="I174">
            <v>55714</v>
          </cell>
          <cell r="J174">
            <v>55714</v>
          </cell>
          <cell r="K174">
            <v>55714</v>
          </cell>
          <cell r="L174">
            <v>167142</v>
          </cell>
          <cell r="N174">
            <v>55714</v>
          </cell>
          <cell r="O174">
            <v>55714</v>
          </cell>
          <cell r="P174">
            <v>55714</v>
          </cell>
          <cell r="Q174">
            <v>334284</v>
          </cell>
          <cell r="R174">
            <v>55714</v>
          </cell>
          <cell r="S174">
            <v>55714</v>
          </cell>
          <cell r="T174">
            <v>55714</v>
          </cell>
          <cell r="U174">
            <v>55714</v>
          </cell>
          <cell r="V174">
            <v>100000</v>
          </cell>
          <cell r="W174">
            <v>3716863</v>
          </cell>
          <cell r="X174">
            <v>0</v>
          </cell>
          <cell r="Y174">
            <v>4374003</v>
          </cell>
        </row>
        <row r="175">
          <cell r="D175" t="str">
            <v xml:space="preserve"> </v>
          </cell>
          <cell r="Y175" t="str">
            <v xml:space="preserve"> </v>
          </cell>
        </row>
        <row r="176">
          <cell r="A176">
            <v>720</v>
          </cell>
          <cell r="C176" t="str">
            <v>PRIHODKI OD PRODAJE OSNOVNIH SREDSTEV</v>
          </cell>
          <cell r="D176">
            <v>846800.65314000007</v>
          </cell>
          <cell r="E176">
            <v>2980600</v>
          </cell>
          <cell r="F176">
            <v>-2133799.3468599999</v>
          </cell>
          <cell r="G176">
            <v>187.55731659907551</v>
          </cell>
          <cell r="H176">
            <v>72.228940862328272</v>
          </cell>
          <cell r="I176">
            <v>55917.604290240008</v>
          </cell>
          <cell r="J176">
            <v>25754.009568980004</v>
          </cell>
          <cell r="K176">
            <v>42425.552022700009</v>
          </cell>
          <cell r="L176">
            <v>124097.16588192002</v>
          </cell>
          <cell r="M176">
            <v>107.8</v>
          </cell>
          <cell r="N176">
            <v>118891.54200000002</v>
          </cell>
          <cell r="O176">
            <v>104130.488</v>
          </cell>
          <cell r="P176">
            <v>90640.935000000012</v>
          </cell>
          <cell r="Q176">
            <v>437760.13088192005</v>
          </cell>
          <cell r="R176">
            <v>39003.441400000003</v>
          </cell>
          <cell r="S176">
            <v>12063.737291759999</v>
          </cell>
          <cell r="T176">
            <v>189335.60800000001</v>
          </cell>
          <cell r="U176">
            <v>39989.528511240009</v>
          </cell>
          <cell r="V176">
            <v>132853.79800000001</v>
          </cell>
          <cell r="W176">
            <v>61844.86</v>
          </cell>
          <cell r="X176">
            <v>0</v>
          </cell>
          <cell r="Y176">
            <v>912851.10408492002</v>
          </cell>
          <cell r="Z176">
            <v>0</v>
          </cell>
          <cell r="AA176">
            <v>107.8</v>
          </cell>
          <cell r="AB176">
            <v>0</v>
          </cell>
        </row>
        <row r="177">
          <cell r="A177">
            <v>7200</v>
          </cell>
          <cell r="C177" t="str">
            <v>Prihodki od prodaje zgradb in prostorov</v>
          </cell>
          <cell r="D177">
            <v>767900.71544000006</v>
          </cell>
          <cell r="E177">
            <v>2822015</v>
          </cell>
          <cell r="F177">
            <v>-2054114.2845600001</v>
          </cell>
          <cell r="G177">
            <v>207.96453189472604</v>
          </cell>
          <cell r="H177">
            <v>90.968348847314985</v>
          </cell>
          <cell r="I177">
            <v>50304.741373040008</v>
          </cell>
          <cell r="J177">
            <v>12902.604217580001</v>
          </cell>
          <cell r="K177">
            <v>17898.733244700004</v>
          </cell>
          <cell r="L177">
            <v>81106.078835320019</v>
          </cell>
          <cell r="M177">
            <v>107.8</v>
          </cell>
          <cell r="N177">
            <v>111279.78400000001</v>
          </cell>
          <cell r="O177">
            <v>102863.838</v>
          </cell>
          <cell r="P177">
            <v>82663.196000000011</v>
          </cell>
          <cell r="Q177">
            <v>377912.89683532005</v>
          </cell>
          <cell r="R177">
            <v>30996.812000000002</v>
          </cell>
          <cell r="S177">
            <v>12050.268220759999</v>
          </cell>
          <cell r="T177">
            <v>185854.74600000001</v>
          </cell>
          <cell r="U177">
            <v>38343.17618824001</v>
          </cell>
          <cell r="V177">
            <v>120837.33200000001</v>
          </cell>
          <cell r="W177">
            <v>61801.74</v>
          </cell>
          <cell r="X177">
            <v>0</v>
          </cell>
          <cell r="Y177">
            <v>827796.97124432016</v>
          </cell>
          <cell r="Z177" t="str">
            <v xml:space="preserve"> </v>
          </cell>
          <cell r="AA177">
            <v>107.8</v>
          </cell>
          <cell r="AB177">
            <v>0</v>
          </cell>
        </row>
        <row r="178">
          <cell r="A178">
            <v>7201</v>
          </cell>
          <cell r="C178" t="str">
            <v>Prihodki od prodaje prevoznih sredstev</v>
          </cell>
          <cell r="D178">
            <v>46365.063999999998</v>
          </cell>
          <cell r="E178">
            <v>152485</v>
          </cell>
          <cell r="F178">
            <v>-106119.936</v>
          </cell>
          <cell r="G178">
            <v>59.058509432279926</v>
          </cell>
          <cell r="H178">
            <v>-45.768127243085466</v>
          </cell>
          <cell r="I178">
            <v>1432.6814040000002</v>
          </cell>
          <cell r="J178">
            <v>7092.6966880000009</v>
          </cell>
          <cell r="K178">
            <v>24339.892500000002</v>
          </cell>
          <cell r="L178">
            <v>32865.270592000001</v>
          </cell>
          <cell r="M178">
            <v>107.8</v>
          </cell>
          <cell r="N178">
            <v>1325.94</v>
          </cell>
          <cell r="O178">
            <v>1137.29</v>
          </cell>
          <cell r="P178">
            <v>7977.7390000000005</v>
          </cell>
          <cell r="Q178">
            <v>43306.239592000005</v>
          </cell>
          <cell r="R178">
            <v>1598.9974</v>
          </cell>
          <cell r="S178">
            <v>0</v>
          </cell>
          <cell r="T178">
            <v>3480.8620000000001</v>
          </cell>
          <cell r="U178">
            <v>1595.44</v>
          </cell>
          <cell r="V178">
            <v>0</v>
          </cell>
          <cell r="W178">
            <v>0</v>
          </cell>
          <cell r="X178">
            <v>0</v>
          </cell>
          <cell r="Y178">
            <v>49981.538992000009</v>
          </cell>
          <cell r="Z178" t="str">
            <v xml:space="preserve"> </v>
          </cell>
          <cell r="AA178">
            <v>107.8</v>
          </cell>
          <cell r="AB178">
            <v>0</v>
          </cell>
        </row>
        <row r="179">
          <cell r="A179">
            <v>7202</v>
          </cell>
          <cell r="C179" t="str">
            <v>Prihodki od prodaje opreme</v>
          </cell>
          <cell r="D179">
            <v>32534.8737</v>
          </cell>
          <cell r="E179">
            <v>3600</v>
          </cell>
          <cell r="F179">
            <v>28934.8737</v>
          </cell>
          <cell r="G179" t="str">
            <v>…</v>
          </cell>
          <cell r="H179" t="str">
            <v>…</v>
          </cell>
          <cell r="I179">
            <v>4180.1815132000002</v>
          </cell>
          <cell r="J179">
            <v>5758.7086633999998</v>
          </cell>
          <cell r="K179">
            <v>186.92627800000002</v>
          </cell>
          <cell r="L179">
            <v>10125.816454600001</v>
          </cell>
          <cell r="M179">
            <v>107.8</v>
          </cell>
          <cell r="N179">
            <v>6285.8180000000002</v>
          </cell>
          <cell r="O179">
            <v>129.36000000000001</v>
          </cell>
          <cell r="P179">
            <v>0</v>
          </cell>
          <cell r="Q179">
            <v>16540.994454600001</v>
          </cell>
          <cell r="R179">
            <v>6407.6320000000005</v>
          </cell>
          <cell r="S179">
            <v>13.469071000000001</v>
          </cell>
          <cell r="T179">
            <v>0</v>
          </cell>
          <cell r="U179">
            <v>50.912323000000001</v>
          </cell>
          <cell r="V179">
            <v>12016.466</v>
          </cell>
          <cell r="W179">
            <v>43.12</v>
          </cell>
          <cell r="X179">
            <v>0</v>
          </cell>
          <cell r="Y179">
            <v>35072.593848600001</v>
          </cell>
          <cell r="Z179" t="str">
            <v xml:space="preserve"> </v>
          </cell>
          <cell r="AA179">
            <v>107.8</v>
          </cell>
          <cell r="AB179">
            <v>0</v>
          </cell>
        </row>
        <row r="180">
          <cell r="A180">
            <v>7203</v>
          </cell>
          <cell r="C180" t="str">
            <v>Prihodki od prodaje drugih osnovnih sredstev</v>
          </cell>
          <cell r="D180">
            <v>0</v>
          </cell>
          <cell r="E180">
            <v>2500</v>
          </cell>
          <cell r="F180">
            <v>-2500</v>
          </cell>
          <cell r="I180">
            <v>0</v>
          </cell>
          <cell r="J180">
            <v>0</v>
          </cell>
          <cell r="K180">
            <v>0</v>
          </cell>
          <cell r="L180">
            <v>0</v>
          </cell>
          <cell r="M180" t="e">
            <v>#DIV/0!</v>
          </cell>
          <cell r="N180">
            <v>0</v>
          </cell>
          <cell r="O180">
            <v>0</v>
          </cell>
          <cell r="P180">
            <v>0</v>
          </cell>
          <cell r="Q180">
            <v>0</v>
          </cell>
          <cell r="R180">
            <v>0</v>
          </cell>
          <cell r="S180">
            <v>0</v>
          </cell>
          <cell r="T180">
            <v>0</v>
          </cell>
          <cell r="U180">
            <v>0</v>
          </cell>
          <cell r="V180">
            <v>0</v>
          </cell>
          <cell r="W180">
            <v>0</v>
          </cell>
          <cell r="X180">
            <v>0</v>
          </cell>
          <cell r="Y180">
            <v>0</v>
          </cell>
          <cell r="Z180" t="str">
            <v xml:space="preserve"> </v>
          </cell>
          <cell r="AA180" t="str">
            <v>…</v>
          </cell>
          <cell r="AB180" t="str">
            <v>…</v>
          </cell>
        </row>
        <row r="182">
          <cell r="A182">
            <v>721</v>
          </cell>
          <cell r="C182" t="str">
            <v>PRIHODKI OD PRODAJE ZALOG</v>
          </cell>
          <cell r="D182">
            <v>0</v>
          </cell>
          <cell r="E182">
            <v>0</v>
          </cell>
          <cell r="F182">
            <v>0</v>
          </cell>
          <cell r="G182" t="str">
            <v>…</v>
          </cell>
          <cell r="H182" t="str">
            <v>…</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t="str">
            <v>…</v>
          </cell>
          <cell r="AB182" t="str">
            <v>…</v>
          </cell>
        </row>
        <row r="183">
          <cell r="A183">
            <v>7210</v>
          </cell>
          <cell r="C183" t="str">
            <v>Prihodki od prodaje blagovnih rezerv</v>
          </cell>
          <cell r="D183">
            <v>0</v>
          </cell>
          <cell r="E183">
            <v>0</v>
          </cell>
          <cell r="F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X183">
            <v>0</v>
          </cell>
          <cell r="Y183">
            <v>0</v>
          </cell>
          <cell r="Z183" t="str">
            <v xml:space="preserve"> </v>
          </cell>
          <cell r="AA183" t="str">
            <v>…</v>
          </cell>
          <cell r="AB183" t="str">
            <v>…</v>
          </cell>
        </row>
        <row r="184">
          <cell r="A184">
            <v>7211</v>
          </cell>
          <cell r="C184" t="str">
            <v>Prihodki od prodaje drugih zalog</v>
          </cell>
          <cell r="D184">
            <v>0</v>
          </cell>
          <cell r="E184">
            <v>0</v>
          </cell>
          <cell r="F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 </v>
          </cell>
          <cell r="AA184" t="str">
            <v>…</v>
          </cell>
          <cell r="AB184" t="str">
            <v>…</v>
          </cell>
        </row>
        <row r="186">
          <cell r="A186">
            <v>722</v>
          </cell>
          <cell r="C186" t="str">
            <v xml:space="preserve">PRIHODKI OD PRODAJE ZEMLJIŠČ IN </v>
          </cell>
          <cell r="D186">
            <v>14128.541499999999</v>
          </cell>
          <cell r="E186">
            <v>1410900</v>
          </cell>
          <cell r="F186">
            <v>-1396771.4584999999</v>
          </cell>
          <cell r="G186" t="str">
            <v>…</v>
          </cell>
          <cell r="H186" t="str">
            <v>…</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X186">
            <v>0</v>
          </cell>
          <cell r="Y186">
            <v>0</v>
          </cell>
          <cell r="Z186" t="e">
            <v>#VALUE!</v>
          </cell>
          <cell r="AA186">
            <v>0</v>
          </cell>
          <cell r="AB186" t="str">
            <v>…</v>
          </cell>
        </row>
        <row r="187">
          <cell r="C187" t="str">
            <v>NEMATERIALNEGA PREMOŽENJA</v>
          </cell>
          <cell r="AB187" t="str">
            <v xml:space="preserve"> </v>
          </cell>
        </row>
        <row r="188">
          <cell r="A188">
            <v>7220</v>
          </cell>
          <cell r="C188" t="str">
            <v>Prihodki od prodaje kmetijskih zemljišč in gozdov</v>
          </cell>
          <cell r="D188">
            <v>3897.0179999999996</v>
          </cell>
          <cell r="E188">
            <v>0</v>
          </cell>
          <cell r="F188">
            <v>3897.0179999999996</v>
          </cell>
          <cell r="G188" t="str">
            <v>…</v>
          </cell>
          <cell r="H188" t="str">
            <v>…</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X188">
            <v>0</v>
          </cell>
          <cell r="Y188">
            <v>0</v>
          </cell>
          <cell r="Z188" t="str">
            <v xml:space="preserve"> </v>
          </cell>
          <cell r="AA188">
            <v>0</v>
          </cell>
          <cell r="AB188" t="str">
            <v>…</v>
          </cell>
        </row>
        <row r="189">
          <cell r="A189">
            <v>7221</v>
          </cell>
          <cell r="C189" t="str">
            <v>Prihodki od prodaje stavbnih zemljišč</v>
          </cell>
          <cell r="D189">
            <v>119.5235</v>
          </cell>
          <cell r="E189">
            <v>1402000</v>
          </cell>
          <cell r="F189">
            <v>-1401880.4765000001</v>
          </cell>
          <cell r="G189" t="str">
            <v>…</v>
          </cell>
          <cell r="H189" t="str">
            <v>…</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X189">
            <v>0</v>
          </cell>
          <cell r="Y189">
            <v>0</v>
          </cell>
          <cell r="Z189" t="str">
            <v xml:space="preserve"> </v>
          </cell>
          <cell r="AA189">
            <v>0</v>
          </cell>
          <cell r="AB189" t="str">
            <v>…</v>
          </cell>
        </row>
        <row r="190">
          <cell r="A190">
            <v>7222</v>
          </cell>
          <cell r="C190" t="str">
            <v>Prihodki od prodaje nematerialnega premoženja</v>
          </cell>
          <cell r="D190">
            <v>10112</v>
          </cell>
          <cell r="E190">
            <v>8900</v>
          </cell>
          <cell r="F190">
            <v>1212</v>
          </cell>
          <cell r="G190" t="str">
            <v>…</v>
          </cell>
          <cell r="H190" t="str">
            <v>…</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X190">
            <v>0</v>
          </cell>
          <cell r="Y190">
            <v>0</v>
          </cell>
          <cell r="Z190" t="str">
            <v xml:space="preserve"> </v>
          </cell>
          <cell r="AA190">
            <v>0</v>
          </cell>
          <cell r="AB190" t="str">
            <v>…</v>
          </cell>
        </row>
        <row r="192">
          <cell r="A192">
            <v>73</v>
          </cell>
          <cell r="B192" t="str">
            <v xml:space="preserve">   </v>
          </cell>
          <cell r="C192" t="str">
            <v xml:space="preserve">PREJETE DONACIJE  </v>
          </cell>
          <cell r="D192">
            <v>6375844.0121400002</v>
          </cell>
          <cell r="E192">
            <v>9400000</v>
          </cell>
          <cell r="F192">
            <v>-3024155.9878599998</v>
          </cell>
          <cell r="G192">
            <v>199.42535604490058</v>
          </cell>
          <cell r="H192">
            <v>83.127048709734225</v>
          </cell>
          <cell r="I192">
            <v>304190.37839497998</v>
          </cell>
          <cell r="J192">
            <v>263789.28395050002</v>
          </cell>
          <cell r="K192">
            <v>472803.25174698001</v>
          </cell>
          <cell r="L192">
            <v>1040782.9140924599</v>
          </cell>
          <cell r="M192">
            <v>107.8</v>
          </cell>
          <cell r="N192">
            <v>2560679.3400834799</v>
          </cell>
          <cell r="O192">
            <v>304857.43144934007</v>
          </cell>
          <cell r="P192">
            <v>644575.74618205999</v>
          </cell>
          <cell r="Q192">
            <v>4550895.4318073401</v>
          </cell>
          <cell r="R192">
            <v>1426373.4280010602</v>
          </cell>
          <cell r="S192">
            <v>182334.94975542001</v>
          </cell>
          <cell r="T192">
            <v>72434.986825740008</v>
          </cell>
          <cell r="U192">
            <v>289526.26976504002</v>
          </cell>
          <cell r="V192">
            <v>176384.516</v>
          </cell>
          <cell r="W192">
            <v>167442.50600000002</v>
          </cell>
          <cell r="X192">
            <v>0</v>
          </cell>
          <cell r="Y192">
            <v>6865392.0881546</v>
          </cell>
          <cell r="Z192" t="e">
            <v>#VALUE!</v>
          </cell>
          <cell r="AA192">
            <v>107.67816896214006</v>
          </cell>
          <cell r="AB192">
            <v>-0.11301580506487596</v>
          </cell>
        </row>
        <row r="193">
          <cell r="C193" t="str">
            <v xml:space="preserve">                                 - dinamizirani sprejeti proračun</v>
          </cell>
          <cell r="D193">
            <v>4321710</v>
          </cell>
          <cell r="F193" t="str">
            <v xml:space="preserve"> </v>
          </cell>
          <cell r="I193">
            <v>95803</v>
          </cell>
          <cell r="J193">
            <v>95803</v>
          </cell>
          <cell r="K193">
            <v>95803</v>
          </cell>
          <cell r="L193">
            <v>287409</v>
          </cell>
          <cell r="N193">
            <v>95803</v>
          </cell>
          <cell r="O193">
            <v>95803</v>
          </cell>
          <cell r="P193">
            <v>95803</v>
          </cell>
          <cell r="Q193">
            <v>574818</v>
          </cell>
          <cell r="R193">
            <v>95803</v>
          </cell>
          <cell r="S193">
            <v>95803</v>
          </cell>
          <cell r="T193">
            <v>95803</v>
          </cell>
          <cell r="U193">
            <v>95803</v>
          </cell>
          <cell r="V193">
            <v>1700000</v>
          </cell>
          <cell r="W193">
            <v>3267877</v>
          </cell>
          <cell r="X193">
            <v>0</v>
          </cell>
          <cell r="Y193">
            <v>5925907</v>
          </cell>
        </row>
        <row r="195">
          <cell r="A195">
            <v>730</v>
          </cell>
          <cell r="C195" t="str">
            <v xml:space="preserve">PREJETE DONACIJE IZ DOMAČIH VIROV </v>
          </cell>
          <cell r="D195">
            <v>7205.71144</v>
          </cell>
          <cell r="E195">
            <v>0</v>
          </cell>
          <cell r="F195">
            <v>7205.71144</v>
          </cell>
          <cell r="G195">
            <v>96.16590738022154</v>
          </cell>
          <cell r="H195">
            <v>-11.693381652689126</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X195">
            <v>0</v>
          </cell>
          <cell r="Y195">
            <v>0</v>
          </cell>
          <cell r="Z195" t="e">
            <v>#VALUE!</v>
          </cell>
          <cell r="AA195">
            <v>0</v>
          </cell>
          <cell r="AB195" t="str">
            <v>…</v>
          </cell>
        </row>
        <row r="196">
          <cell r="A196">
            <v>7300</v>
          </cell>
          <cell r="C196" t="str">
            <v>Prejete donacije iz domačih virov za tekočo porabo</v>
          </cell>
          <cell r="D196">
            <v>7205.71144</v>
          </cell>
          <cell r="E196">
            <v>0</v>
          </cell>
          <cell r="F196">
            <v>7205.71144</v>
          </cell>
          <cell r="G196">
            <v>144.25848728728729</v>
          </cell>
          <cell r="H196">
            <v>32.468767022302359</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X196">
            <v>0</v>
          </cell>
          <cell r="Y196">
            <v>0</v>
          </cell>
          <cell r="Z196" t="str">
            <v xml:space="preserve"> </v>
          </cell>
          <cell r="AA196">
            <v>0</v>
          </cell>
          <cell r="AB196" t="str">
            <v>…</v>
          </cell>
        </row>
        <row r="197">
          <cell r="A197">
            <v>7301</v>
          </cell>
          <cell r="C197" t="str">
            <v>Prejete donacije iz domačih virov za investicije</v>
          </cell>
          <cell r="D197">
            <v>0</v>
          </cell>
          <cell r="E197">
            <v>0</v>
          </cell>
          <cell r="F197">
            <v>0</v>
          </cell>
          <cell r="I197">
            <v>0</v>
          </cell>
          <cell r="J197">
            <v>0</v>
          </cell>
          <cell r="K197">
            <v>0</v>
          </cell>
          <cell r="L197">
            <v>0</v>
          </cell>
          <cell r="N197">
            <v>0</v>
          </cell>
          <cell r="O197">
            <v>0</v>
          </cell>
          <cell r="P197">
            <v>0</v>
          </cell>
          <cell r="Q197">
            <v>0</v>
          </cell>
          <cell r="R197">
            <v>0</v>
          </cell>
          <cell r="S197">
            <v>0</v>
          </cell>
          <cell r="T197">
            <v>0</v>
          </cell>
          <cell r="U197">
            <v>0</v>
          </cell>
          <cell r="V197">
            <v>0</v>
          </cell>
          <cell r="W197">
            <v>0</v>
          </cell>
          <cell r="X197">
            <v>0</v>
          </cell>
          <cell r="Y197">
            <v>0</v>
          </cell>
          <cell r="Z197" t="str">
            <v xml:space="preserve"> </v>
          </cell>
        </row>
        <row r="198">
          <cell r="X198" t="str">
            <v xml:space="preserve"> </v>
          </cell>
        </row>
        <row r="199">
          <cell r="A199">
            <v>731</v>
          </cell>
          <cell r="C199" t="str">
            <v>PREJETE DONACIJE IZ TUJINE</v>
          </cell>
          <cell r="D199">
            <v>6368638.3006999996</v>
          </cell>
          <cell r="E199">
            <v>9400000</v>
          </cell>
          <cell r="F199">
            <v>-3031361.6993000004</v>
          </cell>
          <cell r="G199">
            <v>199.66793173157259</v>
          </cell>
          <cell r="H199">
            <v>83.349799569855435</v>
          </cell>
          <cell r="I199">
            <v>304190.37839497998</v>
          </cell>
          <cell r="J199">
            <v>263789.28395050002</v>
          </cell>
          <cell r="K199">
            <v>472803.25174698001</v>
          </cell>
          <cell r="L199">
            <v>1040782.9140924599</v>
          </cell>
          <cell r="M199">
            <v>107.8</v>
          </cell>
          <cell r="N199">
            <v>2560679.3400834799</v>
          </cell>
          <cell r="O199">
            <v>304857.43144934007</v>
          </cell>
          <cell r="P199">
            <v>644575.74618205999</v>
          </cell>
          <cell r="Q199">
            <v>4550895.4318073401</v>
          </cell>
          <cell r="R199">
            <v>1426373.4280010602</v>
          </cell>
          <cell r="S199">
            <v>182334.94975542001</v>
          </cell>
          <cell r="T199">
            <v>72434.986825740008</v>
          </cell>
          <cell r="U199">
            <v>289526.26976504002</v>
          </cell>
          <cell r="V199">
            <v>176384.516</v>
          </cell>
          <cell r="W199">
            <v>167442.50600000002</v>
          </cell>
          <cell r="X199">
            <v>0</v>
          </cell>
          <cell r="Y199">
            <v>6865392.0881546</v>
          </cell>
          <cell r="Z199" t="e">
            <v>#VALUE!</v>
          </cell>
          <cell r="AA199">
            <v>107.8</v>
          </cell>
          <cell r="AB199">
            <v>0</v>
          </cell>
        </row>
        <row r="200">
          <cell r="A200">
            <v>7310</v>
          </cell>
          <cell r="C200" t="str">
            <v>Prejete donacije iz tujine za tekočo porabo</v>
          </cell>
          <cell r="D200">
            <v>5411109.1098199999</v>
          </cell>
          <cell r="E200">
            <v>5982000</v>
          </cell>
          <cell r="F200">
            <v>-570890.8901800001</v>
          </cell>
          <cell r="G200" t="str">
            <v xml:space="preserve"> </v>
          </cell>
          <cell r="H200" t="str">
            <v xml:space="preserve"> </v>
          </cell>
          <cell r="I200">
            <v>304190.37839497998</v>
          </cell>
          <cell r="J200">
            <v>263789.28395050002</v>
          </cell>
          <cell r="K200">
            <v>178244.80137926</v>
          </cell>
          <cell r="L200">
            <v>746224.46372473997</v>
          </cell>
          <cell r="M200">
            <v>107.8</v>
          </cell>
          <cell r="N200">
            <v>2014036.0652227199</v>
          </cell>
          <cell r="O200">
            <v>296095.33800000005</v>
          </cell>
          <cell r="P200">
            <v>644575.74618205999</v>
          </cell>
          <cell r="Q200">
            <v>3700931.6131295199</v>
          </cell>
          <cell r="R200">
            <v>1426373.4280010602</v>
          </cell>
          <cell r="S200">
            <v>182334.94975542001</v>
          </cell>
          <cell r="T200">
            <v>72434.986825740008</v>
          </cell>
          <cell r="U200">
            <v>107273.62067422</v>
          </cell>
          <cell r="V200">
            <v>176384.516</v>
          </cell>
          <cell r="W200">
            <v>167442.50600000002</v>
          </cell>
          <cell r="X200">
            <v>0</v>
          </cell>
          <cell r="Y200">
            <v>5833175.6203859597</v>
          </cell>
          <cell r="Z200" t="str">
            <v xml:space="preserve"> </v>
          </cell>
          <cell r="AA200">
            <v>107.8</v>
          </cell>
          <cell r="AB200">
            <v>0</v>
          </cell>
        </row>
        <row r="201">
          <cell r="A201">
            <v>7311</v>
          </cell>
          <cell r="C201" t="str">
            <v>Prejete donacije iz tujine za investicije</v>
          </cell>
          <cell r="D201">
            <v>957529.19087999989</v>
          </cell>
          <cell r="E201">
            <v>3418000</v>
          </cell>
          <cell r="F201">
            <v>-2460470.8091200003</v>
          </cell>
          <cell r="G201" t="str">
            <v xml:space="preserve"> </v>
          </cell>
          <cell r="H201" t="str">
            <v xml:space="preserve"> </v>
          </cell>
          <cell r="I201">
            <v>0</v>
          </cell>
          <cell r="J201">
            <v>0</v>
          </cell>
          <cell r="K201">
            <v>294558.45036771998</v>
          </cell>
          <cell r="L201">
            <v>294558.45036771998</v>
          </cell>
          <cell r="M201">
            <v>107.8</v>
          </cell>
          <cell r="N201">
            <v>546643.27486076008</v>
          </cell>
          <cell r="O201">
            <v>8762.09344934</v>
          </cell>
          <cell r="P201">
            <v>0</v>
          </cell>
          <cell r="Q201">
            <v>849963.81867782003</v>
          </cell>
          <cell r="R201">
            <v>0</v>
          </cell>
          <cell r="S201">
            <v>0</v>
          </cell>
          <cell r="T201">
            <v>0</v>
          </cell>
          <cell r="U201">
            <v>182252.64909082002</v>
          </cell>
          <cell r="V201">
            <v>0</v>
          </cell>
          <cell r="W201">
            <v>0</v>
          </cell>
          <cell r="X201">
            <v>0</v>
          </cell>
          <cell r="Y201">
            <v>1032216.46776864</v>
          </cell>
          <cell r="Z201" t="str">
            <v xml:space="preserve"> </v>
          </cell>
          <cell r="AA201">
            <v>107.8</v>
          </cell>
          <cell r="AB201">
            <v>0</v>
          </cell>
        </row>
        <row r="202">
          <cell r="D202" t="str">
            <v xml:space="preserve"> </v>
          </cell>
          <cell r="Y202" t="str">
            <v xml:space="preserve"> </v>
          </cell>
        </row>
        <row r="203">
          <cell r="A203">
            <v>74</v>
          </cell>
          <cell r="B203" t="str">
            <v xml:space="preserve">   </v>
          </cell>
          <cell r="C203" t="str">
            <v xml:space="preserve">TRANSFERNI PRIHODKI    </v>
          </cell>
          <cell r="D203">
            <v>0</v>
          </cell>
          <cell r="E203">
            <v>0</v>
          </cell>
          <cell r="G203" t="str">
            <v>…</v>
          </cell>
          <cell r="H203" t="str">
            <v>…</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t="str">
            <v>…</v>
          </cell>
          <cell r="AB203" t="str">
            <v>…</v>
          </cell>
        </row>
        <row r="204">
          <cell r="C204" t="str">
            <v xml:space="preserve">                                 - dinamizirani sprejeti proračun</v>
          </cell>
          <cell r="D204" t="e">
            <v>#REF!</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X204">
            <v>0</v>
          </cell>
          <cell r="Y204" t="e">
            <v>#REF!</v>
          </cell>
        </row>
        <row r="206">
          <cell r="A206">
            <v>740</v>
          </cell>
          <cell r="C206" t="str">
            <v xml:space="preserve">TRANSFERNI PRIHODKI IZ DRUGIH </v>
          </cell>
          <cell r="D206">
            <v>0</v>
          </cell>
          <cell r="E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t="str">
            <v>…</v>
          </cell>
          <cell r="AB206" t="str">
            <v>…</v>
          </cell>
        </row>
        <row r="207">
          <cell r="C207" t="str">
            <v>JAVNOFINANČNIH INSTITUCIJ</v>
          </cell>
        </row>
        <row r="208">
          <cell r="A208">
            <v>7401</v>
          </cell>
          <cell r="C208" t="str">
            <v>Prejeta sredstva iz proračunov lokalnih skupnosti</v>
          </cell>
        </row>
        <row r="209">
          <cell r="A209">
            <v>7402</v>
          </cell>
          <cell r="C209" t="str">
            <v xml:space="preserve">Prejeta sredstva iz skladov socialnega zavarovanja </v>
          </cell>
          <cell r="D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X209">
            <v>0</v>
          </cell>
          <cell r="Y209">
            <v>0</v>
          </cell>
          <cell r="AA209" t="str">
            <v>…</v>
          </cell>
          <cell r="AB209" t="str">
            <v>…</v>
          </cell>
        </row>
        <row r="210">
          <cell r="A210" t="str">
            <v xml:space="preserve"> </v>
          </cell>
          <cell r="C210" t="str">
            <v xml:space="preserve">1.  Prejeta sredstva Iz ZZZS </v>
          </cell>
          <cell r="D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X210">
            <v>0</v>
          </cell>
          <cell r="Y210">
            <v>0</v>
          </cell>
          <cell r="AA210" t="str">
            <v>…</v>
          </cell>
          <cell r="AB210" t="str">
            <v>…</v>
          </cell>
        </row>
        <row r="211">
          <cell r="C211" t="str">
            <v xml:space="preserve"> - prejeta sredstva iz naslova prisp.delodaj.od nadomestil zaradi bolezenske odsotnosti </v>
          </cell>
          <cell r="D211">
            <v>0</v>
          </cell>
          <cell r="L211">
            <v>0</v>
          </cell>
          <cell r="Q211">
            <v>0</v>
          </cell>
          <cell r="Y211">
            <v>0</v>
          </cell>
          <cell r="AA211" t="str">
            <v>…</v>
          </cell>
          <cell r="AB211" t="str">
            <v>…</v>
          </cell>
        </row>
        <row r="212">
          <cell r="C212" t="str">
            <v xml:space="preserve">   za zaposlovanje in za porodniško varstvo</v>
          </cell>
        </row>
        <row r="213">
          <cell r="C213" t="str">
            <v>2.  Prejeta sredstva Iz ZPIZ</v>
          </cell>
          <cell r="D213">
            <v>0</v>
          </cell>
          <cell r="I213">
            <v>0</v>
          </cell>
          <cell r="J213">
            <v>0</v>
          </cell>
          <cell r="K213">
            <v>0</v>
          </cell>
          <cell r="L213">
            <v>0</v>
          </cell>
          <cell r="N213">
            <v>0</v>
          </cell>
          <cell r="O213">
            <v>0</v>
          </cell>
          <cell r="P213">
            <v>0</v>
          </cell>
          <cell r="Q213">
            <v>0</v>
          </cell>
          <cell r="R213">
            <v>0</v>
          </cell>
          <cell r="S213">
            <v>0</v>
          </cell>
          <cell r="T213">
            <v>0</v>
          </cell>
          <cell r="U213">
            <v>0</v>
          </cell>
          <cell r="V213">
            <v>0</v>
          </cell>
          <cell r="W213">
            <v>0</v>
          </cell>
          <cell r="X213">
            <v>0</v>
          </cell>
          <cell r="Y213">
            <v>0</v>
          </cell>
          <cell r="AA213" t="str">
            <v>…</v>
          </cell>
          <cell r="AB213" t="str">
            <v>…</v>
          </cell>
        </row>
        <row r="214">
          <cell r="C214" t="str">
            <v xml:space="preserve"> - prejeta sredstva iz naslova prisp.delodaj.od invalidskih nadomestil </v>
          </cell>
          <cell r="D214">
            <v>0</v>
          </cell>
          <cell r="L214">
            <v>0</v>
          </cell>
          <cell r="Q214">
            <v>0</v>
          </cell>
          <cell r="Y214">
            <v>0</v>
          </cell>
          <cell r="AA214" t="str">
            <v>…</v>
          </cell>
          <cell r="AB214" t="str">
            <v>…</v>
          </cell>
        </row>
        <row r="215">
          <cell r="C215" t="str">
            <v xml:space="preserve">   za zaposlovanje in za porodniško varstvo</v>
          </cell>
        </row>
        <row r="216">
          <cell r="A216">
            <v>7403</v>
          </cell>
          <cell r="C216" t="str">
            <v>Prejeta sredstva iz drugih javnih skladov</v>
          </cell>
        </row>
        <row r="219">
          <cell r="A219" t="str">
            <v>OPOMBA: 1) V projekciji je upoštevano, da bodo v mesecu avgustu 2000 izvršena vračila prvega dela s posebnim zakonom določenega izjemnega znižanja davčne obveznosti, in sicer pri letni odmeri dohodnine za leto 1999 (posebni zakon določa izjemno znižanje o</v>
          </cell>
        </row>
        <row r="220">
          <cell r="B220" t="str">
            <v>za leto 2000 s tem, da bo opravljeno vračilo dohodnine v dveh delih, in sicer pri znižanju obveznosti za leto 1999 v mesecu avgustu 2000 in februarju 2001, pri znižanju obveznosti za leto 2000 pa v septembru in v decembru leta 2001. Znižanje davčne obvezn</v>
          </cell>
        </row>
        <row r="221">
          <cell r="B221" t="str">
            <v xml:space="preserve">v posameznem letu ne presegajo 45% letne povprečne plače). Višina obveznosti prvega dela vračila dohodnine za leto 1999, ki je predvidena za mesec avgust 2000 znaša 2,5 mlrd tolarjev (izpad prihodkov v tej višini že upoštevan v dinamizirani projekciji za </v>
          </cell>
        </row>
        <row r="222">
          <cell r="B222" t="str">
            <v>v višini 2,0 mlrd SIT pa bo prenesen v mesec februar leta 2001. Izpad prihodkov iz naslova dohodnine bo v letu 2001 po oceni znašal dodatnih 5,0 mlrd tolarjev - torej bo izpad prihodkov dohodnine v letu 2001 skupaj znašal 7,0 mlrd tolarjev, ki se bo vrača</v>
          </cell>
        </row>
        <row r="226">
          <cell r="B226" t="str">
            <v xml:space="preserve">II.    O  D  H O D K I   P R O R A Č U N A </v>
          </cell>
        </row>
        <row r="228">
          <cell r="A228" t="str">
            <v xml:space="preserve"> </v>
          </cell>
          <cell r="Q228" t="str">
            <v xml:space="preserve"> - V  TISOČIH   TOLARJEV</v>
          </cell>
          <cell r="X228" t="str">
            <v>- V TISOČ TOLARJIH</v>
          </cell>
        </row>
        <row r="229">
          <cell r="A229" t="str">
            <v xml:space="preserve"> </v>
          </cell>
          <cell r="B229" t="str">
            <v xml:space="preserve"> </v>
          </cell>
          <cell r="D229" t="str">
            <v>O C E N A</v>
          </cell>
          <cell r="E229" t="str">
            <v xml:space="preserve"> </v>
          </cell>
          <cell r="F229" t="str">
            <v>RAZLIKA</v>
          </cell>
          <cell r="G229" t="str">
            <v>NOMINALNI</v>
          </cell>
          <cell r="H229" t="str">
            <v>REALNE</v>
          </cell>
          <cell r="I229" t="str">
            <v xml:space="preserve"> </v>
          </cell>
          <cell r="L229" t="str">
            <v xml:space="preserve"> </v>
          </cell>
          <cell r="N229" t="str">
            <v xml:space="preserve"> </v>
          </cell>
          <cell r="O229" t="str">
            <v xml:space="preserve"> </v>
          </cell>
          <cell r="P229" t="str">
            <v xml:space="preserve"> </v>
          </cell>
          <cell r="Q229" t="str">
            <v xml:space="preserve"> </v>
          </cell>
          <cell r="R229" t="str">
            <v xml:space="preserve"> </v>
          </cell>
          <cell r="S229" t="str">
            <v xml:space="preserve"> </v>
          </cell>
          <cell r="T229" t="str">
            <v xml:space="preserve"> </v>
          </cell>
          <cell r="U229" t="str">
            <v xml:space="preserve"> </v>
          </cell>
          <cell r="Y229" t="str">
            <v xml:space="preserve"> </v>
          </cell>
          <cell r="Z229" t="str">
            <v xml:space="preserve"> </v>
          </cell>
          <cell r="AA229" t="str">
            <v>NOMINALNI</v>
          </cell>
          <cell r="AB229" t="str">
            <v>REALNE</v>
          </cell>
        </row>
        <row r="230">
          <cell r="A230" t="str">
            <v xml:space="preserve"> </v>
          </cell>
          <cell r="B230" t="str">
            <v xml:space="preserve"> </v>
          </cell>
          <cell r="C230" t="str">
            <v xml:space="preserve"> </v>
          </cell>
          <cell r="D230" t="str">
            <v>REALIZACIJE</v>
          </cell>
          <cell r="E230" t="str">
            <v>SPREJETI</v>
          </cell>
          <cell r="F230" t="str">
            <v xml:space="preserve">OCENA </v>
          </cell>
          <cell r="G230" t="str">
            <v>INDEKSI</v>
          </cell>
          <cell r="H230" t="str">
            <v>STOPNJE</v>
          </cell>
          <cell r="I230" t="str">
            <v>PROJEKCIJE</v>
          </cell>
          <cell r="J230" t="str">
            <v>PROJEKCIJE</v>
          </cell>
          <cell r="K230" t="str">
            <v>PROJEKCIJE</v>
          </cell>
          <cell r="L230" t="str">
            <v>SKUPAJ</v>
          </cell>
          <cell r="N230" t="str">
            <v>PROJEKCIJE</v>
          </cell>
          <cell r="O230" t="str">
            <v>PROJEKCIJE</v>
          </cell>
          <cell r="P230" t="str">
            <v>PROJEKCIJE</v>
          </cell>
          <cell r="Q230" t="str">
            <v>SKUPAJ</v>
          </cell>
          <cell r="R230" t="str">
            <v>PROJEKCIJE</v>
          </cell>
          <cell r="S230" t="str">
            <v>PROJEKCIJE</v>
          </cell>
          <cell r="T230" t="str">
            <v>PROJEKCIJE</v>
          </cell>
          <cell r="U230" t="str">
            <v>PROJEKCIJE</v>
          </cell>
          <cell r="V230" t="str">
            <v>PROJEKCIJE</v>
          </cell>
          <cell r="W230" t="str">
            <v>PROJEKCIJE</v>
          </cell>
          <cell r="X230" t="str">
            <v>PROJEKCIJE</v>
          </cell>
          <cell r="Y230" t="str">
            <v>PROJEKCIJE</v>
          </cell>
          <cell r="Z230" t="str">
            <v>PREDLOG</v>
          </cell>
          <cell r="AA230" t="str">
            <v>INDEKSI</v>
          </cell>
          <cell r="AB230" t="str">
            <v>STOPNJE</v>
          </cell>
        </row>
        <row r="231">
          <cell r="A231" t="str">
            <v>KONTO</v>
          </cell>
          <cell r="B231" t="str">
            <v xml:space="preserve"> </v>
          </cell>
          <cell r="C231" t="str">
            <v xml:space="preserve"> </v>
          </cell>
          <cell r="D231" t="str">
            <v>JANUAR -</v>
          </cell>
          <cell r="E231" t="str">
            <v>PRORAČUN</v>
          </cell>
          <cell r="F231">
            <v>2000</v>
          </cell>
          <cell r="G231" t="str">
            <v>RASTI</v>
          </cell>
          <cell r="H231" t="str">
            <v>RASTI</v>
          </cell>
          <cell r="I231" t="str">
            <v>JANUAR</v>
          </cell>
          <cell r="J231" t="str">
            <v>FEBRUAR</v>
          </cell>
          <cell r="K231" t="str">
            <v>MAREC</v>
          </cell>
          <cell r="L231" t="str">
            <v>JANUAR -</v>
          </cell>
          <cell r="N231" t="str">
            <v>APRIL</v>
          </cell>
          <cell r="O231" t="str">
            <v>MAJ</v>
          </cell>
          <cell r="P231" t="str">
            <v>JUNIJ</v>
          </cell>
          <cell r="Q231" t="str">
            <v>JANUAR -</v>
          </cell>
          <cell r="R231" t="str">
            <v>JULIJ</v>
          </cell>
          <cell r="S231" t="str">
            <v>AVGUST</v>
          </cell>
          <cell r="T231" t="str">
            <v>SEPTEMBER</v>
          </cell>
          <cell r="U231" t="str">
            <v>OKTOBER</v>
          </cell>
          <cell r="V231" t="str">
            <v>NOVEMBER</v>
          </cell>
          <cell r="W231" t="str">
            <v>DECEMBER</v>
          </cell>
          <cell r="X231" t="str">
            <v>JANUAR</v>
          </cell>
          <cell r="Y231" t="str">
            <v>JANUAR -</v>
          </cell>
          <cell r="Z231" t="str">
            <v>PRORAČUNA</v>
          </cell>
          <cell r="AA231" t="str">
            <v>RASTI</v>
          </cell>
          <cell r="AB231" t="str">
            <v>RASTI</v>
          </cell>
        </row>
        <row r="232">
          <cell r="A232" t="str">
            <v xml:space="preserve"> </v>
          </cell>
          <cell r="B232" t="str">
            <v xml:space="preserve"> </v>
          </cell>
          <cell r="C232" t="str">
            <v xml:space="preserve"> </v>
          </cell>
          <cell r="D232" t="str">
            <v>DECEMBER</v>
          </cell>
          <cell r="E232" t="str">
            <v>ZA LETO</v>
          </cell>
          <cell r="F232" t="str">
            <v>MINUS</v>
          </cell>
          <cell r="G232" t="str">
            <v>I.XII.2000/</v>
          </cell>
          <cell r="H232" t="str">
            <v>I.XII.2000/</v>
          </cell>
          <cell r="I232">
            <v>2001</v>
          </cell>
          <cell r="J232">
            <v>2001</v>
          </cell>
          <cell r="K232">
            <v>2001</v>
          </cell>
          <cell r="L232" t="str">
            <v>MAREC</v>
          </cell>
          <cell r="N232">
            <v>2001</v>
          </cell>
          <cell r="O232">
            <v>2001</v>
          </cell>
          <cell r="P232">
            <v>2001</v>
          </cell>
          <cell r="Q232" t="str">
            <v>JUNIJ</v>
          </cell>
          <cell r="R232">
            <v>2001</v>
          </cell>
          <cell r="S232">
            <v>2001</v>
          </cell>
          <cell r="T232">
            <v>2001</v>
          </cell>
          <cell r="U232">
            <v>2001</v>
          </cell>
          <cell r="V232">
            <v>2001</v>
          </cell>
          <cell r="W232">
            <v>2001</v>
          </cell>
          <cell r="X232">
            <v>2002</v>
          </cell>
          <cell r="Y232" t="str">
            <v>DECEMBER</v>
          </cell>
          <cell r="Z232" t="str">
            <v>ZA LETO</v>
          </cell>
          <cell r="AA232" t="str">
            <v>I.XII.2001/</v>
          </cell>
          <cell r="AB232" t="str">
            <v>I.XII.2001/</v>
          </cell>
        </row>
        <row r="233">
          <cell r="C233" t="str">
            <v xml:space="preserve"> </v>
          </cell>
          <cell r="D233" t="str">
            <v>2 0 0 0</v>
          </cell>
          <cell r="E233" t="str">
            <v>2 0 0 0</v>
          </cell>
          <cell r="F233" t="str">
            <v>SPR.PROR.</v>
          </cell>
          <cell r="G233" t="str">
            <v>I.-XII.1999</v>
          </cell>
          <cell r="H233" t="str">
            <v>I.-XII.1999</v>
          </cell>
          <cell r="I233" t="str">
            <v xml:space="preserve"> </v>
          </cell>
          <cell r="J233" t="str">
            <v xml:space="preserve"> </v>
          </cell>
          <cell r="K233" t="str">
            <v xml:space="preserve"> </v>
          </cell>
          <cell r="L233" t="str">
            <v>2 0 0 1</v>
          </cell>
          <cell r="N233" t="str">
            <v xml:space="preserve"> </v>
          </cell>
          <cell r="O233" t="str">
            <v xml:space="preserve"> </v>
          </cell>
          <cell r="P233" t="str">
            <v xml:space="preserve"> </v>
          </cell>
          <cell r="Q233" t="str">
            <v>2 0 0 1</v>
          </cell>
          <cell r="R233" t="str">
            <v xml:space="preserve"> </v>
          </cell>
          <cell r="S233" t="str">
            <v xml:space="preserve"> </v>
          </cell>
          <cell r="T233" t="str">
            <v xml:space="preserve"> </v>
          </cell>
          <cell r="U233" t="str">
            <v xml:space="preserve"> </v>
          </cell>
          <cell r="V233" t="str">
            <v xml:space="preserve"> </v>
          </cell>
          <cell r="W233" t="str">
            <v xml:space="preserve"> </v>
          </cell>
          <cell r="X233" t="str">
            <v>ZA LETO 2001</v>
          </cell>
          <cell r="Y233" t="str">
            <v>2 0 0 1</v>
          </cell>
          <cell r="Z233" t="str">
            <v>2 0 0 1</v>
          </cell>
          <cell r="AA233" t="str">
            <v>I.-XII.2000</v>
          </cell>
          <cell r="AB233" t="str">
            <v>I.-XII.2000</v>
          </cell>
        </row>
        <row r="234">
          <cell r="A234" t="str">
            <v xml:space="preserve"> </v>
          </cell>
          <cell r="D234" t="str">
            <v>(1)</v>
          </cell>
          <cell r="E234" t="str">
            <v>(2)</v>
          </cell>
          <cell r="F234" t="str">
            <v>(3=1-2)</v>
          </cell>
          <cell r="G234" t="str">
            <v xml:space="preserve"> </v>
          </cell>
          <cell r="H234" t="str">
            <v xml:space="preserve"> </v>
          </cell>
          <cell r="U234" t="str">
            <v xml:space="preserve"> </v>
          </cell>
          <cell r="V234" t="str">
            <v xml:space="preserve"> </v>
          </cell>
          <cell r="W234" t="str">
            <v xml:space="preserve"> </v>
          </cell>
          <cell r="X234" t="str">
            <v xml:space="preserve"> </v>
          </cell>
          <cell r="Y234" t="str">
            <v>(1)</v>
          </cell>
          <cell r="Z234" t="str">
            <v>(2)</v>
          </cell>
          <cell r="AA234" t="str">
            <v xml:space="preserve"> </v>
          </cell>
          <cell r="AB234" t="str">
            <v xml:space="preserve"> </v>
          </cell>
        </row>
        <row r="235">
          <cell r="I235" t="str">
            <v xml:space="preserve"> </v>
          </cell>
          <cell r="J235" t="str">
            <v xml:space="preserve"> </v>
          </cell>
          <cell r="K235" t="str">
            <v xml:space="preserve"> </v>
          </cell>
          <cell r="N235" t="str">
            <v xml:space="preserve"> </v>
          </cell>
          <cell r="O235" t="str">
            <v xml:space="preserve"> </v>
          </cell>
          <cell r="P235" t="str">
            <v xml:space="preserve"> </v>
          </cell>
          <cell r="Q235" t="str">
            <v xml:space="preserve"> </v>
          </cell>
          <cell r="R235" t="str">
            <v xml:space="preserve"> </v>
          </cell>
          <cell r="S235" t="str">
            <v xml:space="preserve"> </v>
          </cell>
          <cell r="T235" t="str">
            <v xml:space="preserve"> </v>
          </cell>
        </row>
        <row r="236">
          <cell r="A236" t="str">
            <v xml:space="preserve"> </v>
          </cell>
          <cell r="B236" t="str">
            <v>II.</v>
          </cell>
          <cell r="C236" t="str">
            <v xml:space="preserve">S K U P A J    O D H O D K I </v>
          </cell>
          <cell r="D236">
            <v>1029389393.9600301</v>
          </cell>
          <cell r="E236">
            <v>1059708135</v>
          </cell>
          <cell r="F236">
            <v>-30318741.039969921</v>
          </cell>
          <cell r="G236">
            <v>106.92736284457906</v>
          </cell>
          <cell r="H236">
            <v>-1.8114207120486157</v>
          </cell>
          <cell r="I236">
            <v>67888227.270787671</v>
          </cell>
          <cell r="J236">
            <v>74420854.275568932</v>
          </cell>
          <cell r="K236">
            <v>80920532.75722447</v>
          </cell>
          <cell r="L236">
            <v>223229614.30358109</v>
          </cell>
          <cell r="N236">
            <v>85545071.267776921</v>
          </cell>
          <cell r="O236">
            <v>77853425.829085156</v>
          </cell>
          <cell r="P236">
            <v>102015056.77956896</v>
          </cell>
          <cell r="Q236">
            <v>488643168.18001217</v>
          </cell>
          <cell r="R236">
            <v>80398079.252265871</v>
          </cell>
          <cell r="S236">
            <v>80522336.244883135</v>
          </cell>
          <cell r="T236">
            <v>77438492.475630373</v>
          </cell>
          <cell r="U236">
            <v>73794958.70000115</v>
          </cell>
          <cell r="V236">
            <v>75175327.323422223</v>
          </cell>
          <cell r="W236">
            <v>77696811.432213515</v>
          </cell>
          <cell r="X236">
            <v>42285195.534000002</v>
          </cell>
          <cell r="Y236">
            <v>995954369.14242852</v>
          </cell>
          <cell r="Z236" t="e">
            <v>#VALUE!</v>
          </cell>
          <cell r="AA236">
            <v>96.751955575433129</v>
          </cell>
          <cell r="AB236">
            <v>-10.248649744496163</v>
          </cell>
        </row>
        <row r="237">
          <cell r="C237" t="str">
            <v xml:space="preserve">                            - dinamizirani sprejeti proračun(18/4-00)</v>
          </cell>
          <cell r="D237">
            <v>882154505</v>
          </cell>
          <cell r="I237">
            <v>69848185</v>
          </cell>
          <cell r="J237">
            <v>69848185</v>
          </cell>
          <cell r="K237">
            <v>69848185</v>
          </cell>
          <cell r="N237">
            <v>69848185</v>
          </cell>
          <cell r="O237">
            <v>69848185</v>
          </cell>
          <cell r="P237">
            <v>69848185</v>
          </cell>
          <cell r="Q237">
            <v>419089110</v>
          </cell>
          <cell r="R237">
            <v>69848185</v>
          </cell>
          <cell r="S237">
            <v>69848185</v>
          </cell>
          <cell r="T237">
            <v>69848185</v>
          </cell>
          <cell r="U237">
            <v>69848185</v>
          </cell>
          <cell r="V237">
            <v>84297374</v>
          </cell>
          <cell r="W237">
            <v>90254176</v>
          </cell>
          <cell r="X237">
            <v>23560294</v>
          </cell>
          <cell r="Y237">
            <v>896603694</v>
          </cell>
        </row>
        <row r="238">
          <cell r="D238" t="str">
            <v xml:space="preserve"> </v>
          </cell>
          <cell r="N238" t="str">
            <v xml:space="preserve"> </v>
          </cell>
          <cell r="Y238" t="str">
            <v xml:space="preserve"> </v>
          </cell>
        </row>
        <row r="239">
          <cell r="A239">
            <v>40</v>
          </cell>
          <cell r="B239" t="str">
            <v xml:space="preserve">  </v>
          </cell>
          <cell r="C239" t="str">
            <v xml:space="preserve">TEKOČI ODHODKI </v>
          </cell>
          <cell r="D239">
            <v>313687980.60731</v>
          </cell>
          <cell r="E239">
            <v>315826452</v>
          </cell>
          <cell r="F239">
            <v>-2138471.3926900029</v>
          </cell>
          <cell r="G239">
            <v>114.13011737450624</v>
          </cell>
          <cell r="H239">
            <v>4.8026789481232726</v>
          </cell>
          <cell r="I239">
            <v>15566447.785707681</v>
          </cell>
          <cell r="J239">
            <v>18963365.158758938</v>
          </cell>
          <cell r="K239">
            <v>24686202.887264483</v>
          </cell>
          <cell r="L239">
            <v>59216015.831731103</v>
          </cell>
          <cell r="N239">
            <v>24105115.65407693</v>
          </cell>
          <cell r="O239">
            <v>21767074.819465149</v>
          </cell>
          <cell r="P239">
            <v>27492831.229898948</v>
          </cell>
          <cell r="Q239">
            <v>132581037.53517212</v>
          </cell>
          <cell r="R239">
            <v>22566037.712425891</v>
          </cell>
          <cell r="S239">
            <v>21734628.285133127</v>
          </cell>
          <cell r="T239">
            <v>21485673.50453037</v>
          </cell>
          <cell r="U239">
            <v>24542294.164731149</v>
          </cell>
          <cell r="V239">
            <v>21578655.923174225</v>
          </cell>
          <cell r="W239">
            <v>26927347.257963035</v>
          </cell>
          <cell r="X239">
            <v>6514195.534</v>
          </cell>
          <cell r="Y239">
            <v>277929869.91712993</v>
          </cell>
          <cell r="Z239" t="e">
            <v>#VALUE!</v>
          </cell>
          <cell r="AA239">
            <v>88.600739301215427</v>
          </cell>
          <cell r="AB239">
            <v>-17.810074859725944</v>
          </cell>
        </row>
        <row r="240">
          <cell r="C240" t="str">
            <v xml:space="preserve">                                 - dinamizirani sprejeti proračun</v>
          </cell>
          <cell r="D240">
            <v>233050177</v>
          </cell>
          <cell r="I240">
            <v>17502487</v>
          </cell>
          <cell r="J240">
            <v>17502487</v>
          </cell>
          <cell r="K240">
            <v>17502487</v>
          </cell>
          <cell r="N240">
            <v>17502487</v>
          </cell>
          <cell r="O240">
            <v>17502487</v>
          </cell>
          <cell r="P240">
            <v>17502487</v>
          </cell>
          <cell r="Q240">
            <v>105014922</v>
          </cell>
          <cell r="R240">
            <v>17502487</v>
          </cell>
          <cell r="S240">
            <v>17502487</v>
          </cell>
          <cell r="T240">
            <v>17502487</v>
          </cell>
          <cell r="U240">
            <v>17502487</v>
          </cell>
          <cell r="V240">
            <v>23735092</v>
          </cell>
          <cell r="W240">
            <v>32404206</v>
          </cell>
          <cell r="X240">
            <v>8118614</v>
          </cell>
          <cell r="Y240">
            <v>239282782</v>
          </cell>
        </row>
        <row r="242">
          <cell r="A242">
            <v>400</v>
          </cell>
          <cell r="C242" t="str">
            <v>PLAČE IN DRUGI IZDATKI ZAPOSLENIM</v>
          </cell>
          <cell r="D242">
            <v>114740493.83833998</v>
          </cell>
          <cell r="E242">
            <v>112471130</v>
          </cell>
          <cell r="F242">
            <v>2269363.8383399844</v>
          </cell>
          <cell r="G242">
            <v>112.7240767296466</v>
          </cell>
          <cell r="H242">
            <v>3.5115488793816354</v>
          </cell>
          <cell r="I242">
            <v>10232440.01006398</v>
          </cell>
          <cell r="J242">
            <v>10537046.906616159</v>
          </cell>
          <cell r="K242">
            <v>10549450.266050782</v>
          </cell>
          <cell r="L242">
            <v>31318937.182730921</v>
          </cell>
          <cell r="N242">
            <v>10573772.699959442</v>
          </cell>
          <cell r="O242">
            <v>10555159.719116842</v>
          </cell>
          <cell r="P242">
            <v>14545248.1683296</v>
          </cell>
          <cell r="Q242">
            <v>66993117.770136803</v>
          </cell>
          <cell r="R242">
            <v>10611280.527054083</v>
          </cell>
          <cell r="S242">
            <v>10570736.72405776</v>
          </cell>
          <cell r="T242">
            <v>10488757.013649242</v>
          </cell>
          <cell r="U242">
            <v>10476747.071355643</v>
          </cell>
          <cell r="V242">
            <v>9951207.531633975</v>
          </cell>
          <cell r="W242">
            <v>10146270.045678459</v>
          </cell>
          <cell r="X242">
            <v>0</v>
          </cell>
          <cell r="Y242">
            <v>129238116.68356597</v>
          </cell>
          <cell r="Z242" t="e">
            <v>#VALUE!</v>
          </cell>
          <cell r="AA242">
            <v>112.6351407077365</v>
          </cell>
          <cell r="AB242">
            <v>4.4852882261006641</v>
          </cell>
        </row>
        <row r="243">
          <cell r="C243" t="str">
            <v xml:space="preserve">                                 - dinamizirani sprejeti proračun</v>
          </cell>
          <cell r="D243">
            <v>105505309</v>
          </cell>
          <cell r="I243">
            <v>8733369</v>
          </cell>
          <cell r="J243">
            <v>8733369</v>
          </cell>
          <cell r="K243">
            <v>8733369</v>
          </cell>
          <cell r="N243">
            <v>8733369</v>
          </cell>
          <cell r="O243">
            <v>8733369</v>
          </cell>
          <cell r="P243">
            <v>8733369</v>
          </cell>
          <cell r="Q243">
            <v>52400214</v>
          </cell>
          <cell r="R243">
            <v>8733369</v>
          </cell>
          <cell r="S243">
            <v>8733369</v>
          </cell>
          <cell r="T243">
            <v>8733369</v>
          </cell>
          <cell r="U243">
            <v>8733369</v>
          </cell>
          <cell r="V243">
            <v>9192609</v>
          </cell>
          <cell r="W243">
            <v>9405950</v>
          </cell>
          <cell r="X243">
            <v>32300</v>
          </cell>
          <cell r="Y243">
            <v>105964549</v>
          </cell>
        </row>
        <row r="244">
          <cell r="D244" t="str">
            <v xml:space="preserve"> </v>
          </cell>
          <cell r="I244" t="str">
            <v>+1%</v>
          </cell>
          <cell r="J244" t="str">
            <v>+3,6%</v>
          </cell>
          <cell r="V244" t="str">
            <v>+2,7%</v>
          </cell>
          <cell r="W244" t="str">
            <v>+4%</v>
          </cell>
          <cell r="Y244" t="str">
            <v xml:space="preserve"> </v>
          </cell>
        </row>
        <row r="245">
          <cell r="A245">
            <v>4000</v>
          </cell>
          <cell r="C245" t="str">
            <v xml:space="preserve">Plače in dodatki </v>
          </cell>
          <cell r="D245">
            <v>97432690.476179987</v>
          </cell>
          <cell r="E245">
            <v>94041100</v>
          </cell>
          <cell r="F245">
            <v>3391590.4761799872</v>
          </cell>
          <cell r="G245">
            <v>113.18926264403602</v>
          </cell>
          <cell r="H245">
            <v>3.9387168448448193</v>
          </cell>
          <cell r="I245">
            <v>8991484.5999999996</v>
          </cell>
          <cell r="J245">
            <v>9315178.0456000008</v>
          </cell>
          <cell r="K245">
            <v>9315178.0456000008</v>
          </cell>
          <cell r="L245">
            <v>27621840.691199999</v>
          </cell>
          <cell r="N245">
            <v>9315178.0456000008</v>
          </cell>
          <cell r="O245">
            <v>9315178.0456000008</v>
          </cell>
          <cell r="P245">
            <v>9315178.0456000008</v>
          </cell>
          <cell r="Q245">
            <v>55567374.827999994</v>
          </cell>
          <cell r="R245">
            <v>9315178.0456000008</v>
          </cell>
          <cell r="S245">
            <v>9315178.0456000008</v>
          </cell>
          <cell r="T245">
            <v>9315178.0456000008</v>
          </cell>
          <cell r="U245">
            <v>9315178.0456000008</v>
          </cell>
          <cell r="V245">
            <v>8630000</v>
          </cell>
          <cell r="W245">
            <v>8716300</v>
          </cell>
          <cell r="X245">
            <v>0</v>
          </cell>
          <cell r="Y245">
            <v>110174387.01039998</v>
          </cell>
          <cell r="Z245" t="str">
            <v xml:space="preserve"> </v>
          </cell>
          <cell r="AA245">
            <v>113.07743476234502</v>
          </cell>
          <cell r="AB245">
            <v>4.8955795569063412</v>
          </cell>
        </row>
        <row r="246">
          <cell r="A246" t="str">
            <v>400000</v>
          </cell>
          <cell r="C246" t="str">
            <v>Osnovne plače</v>
          </cell>
          <cell r="D246">
            <v>68848312.043299973</v>
          </cell>
          <cell r="G246">
            <v>112.3985235155948</v>
          </cell>
          <cell r="H246">
            <v>3.2126019426949455</v>
          </cell>
          <cell r="I246">
            <v>6410500.2999999998</v>
          </cell>
          <cell r="J246">
            <v>6641278.3108000001</v>
          </cell>
          <cell r="K246">
            <v>6641278.3108000001</v>
          </cell>
          <cell r="N246">
            <v>6641278.3108000001</v>
          </cell>
          <cell r="O246">
            <v>6641278.3108000001</v>
          </cell>
          <cell r="P246">
            <v>6641278.3108000001</v>
          </cell>
          <cell r="Q246">
            <v>39616891.854000002</v>
          </cell>
          <cell r="R246">
            <v>6641278.3108000001</v>
          </cell>
          <cell r="S246">
            <v>6641278.3108000001</v>
          </cell>
          <cell r="T246">
            <v>6641278.3108000001</v>
          </cell>
          <cell r="U246">
            <v>6641278.3108000001</v>
          </cell>
          <cell r="V246">
            <v>6820592.8251915993</v>
          </cell>
          <cell r="W246">
            <v>7093416.5381992636</v>
          </cell>
          <cell r="Y246">
            <v>80096014.460590869</v>
          </cell>
          <cell r="AA246">
            <v>116.33693271988572</v>
          </cell>
          <cell r="AB246">
            <v>7.919232578743717</v>
          </cell>
        </row>
        <row r="247">
          <cell r="A247">
            <v>400001</v>
          </cell>
          <cell r="C247" t="str">
            <v>Splošni dodatki</v>
          </cell>
          <cell r="D247">
            <v>25137734.192089997</v>
          </cell>
          <cell r="G247">
            <v>117.41614623794294</v>
          </cell>
          <cell r="H247">
            <v>7.8201526519218874</v>
          </cell>
          <cell r="I247">
            <v>2252533.31</v>
          </cell>
          <cell r="J247">
            <v>2333624.5091599999</v>
          </cell>
          <cell r="K247">
            <v>2333624.5091599999</v>
          </cell>
          <cell r="N247">
            <v>2333624.5091599999</v>
          </cell>
          <cell r="O247">
            <v>2333624.5091599999</v>
          </cell>
          <cell r="P247">
            <v>2333624.5091599999</v>
          </cell>
          <cell r="Q247">
            <v>13920655.855799999</v>
          </cell>
          <cell r="R247">
            <v>2333624.5091599999</v>
          </cell>
          <cell r="S247">
            <v>2333624.5091599999</v>
          </cell>
          <cell r="T247">
            <v>2333624.5091599999</v>
          </cell>
          <cell r="U247">
            <v>2333624.5091599999</v>
          </cell>
          <cell r="V247">
            <v>2396632.3709073197</v>
          </cell>
          <cell r="W247">
            <v>2492497.6657436127</v>
          </cell>
          <cell r="Y247">
            <v>28144283.929090932</v>
          </cell>
          <cell r="AA247">
            <v>111.96030522888971</v>
          </cell>
          <cell r="AB247">
            <v>3.8592812883948966</v>
          </cell>
        </row>
        <row r="248">
          <cell r="A248">
            <v>400002</v>
          </cell>
          <cell r="C248" t="str">
            <v>Dodatki za delo v posebnih pogojih</v>
          </cell>
          <cell r="D248">
            <v>3446644.2407899997</v>
          </cell>
          <cell r="G248">
            <v>100.87935988468175</v>
          </cell>
          <cell r="H248">
            <v>-7.36514243830878</v>
          </cell>
          <cell r="I248">
            <v>328450.99</v>
          </cell>
          <cell r="J248">
            <v>340275.22564000002</v>
          </cell>
          <cell r="K248">
            <v>340275.22564000002</v>
          </cell>
          <cell r="N248">
            <v>340275.22564000002</v>
          </cell>
          <cell r="O248">
            <v>340275.22564000002</v>
          </cell>
          <cell r="P248">
            <v>340275.22564000002</v>
          </cell>
          <cell r="Q248">
            <v>2029827.1182000004</v>
          </cell>
          <cell r="R248">
            <v>340275.22564000002</v>
          </cell>
          <cell r="S248">
            <v>340275.22564000002</v>
          </cell>
          <cell r="T248">
            <v>340275.22564000002</v>
          </cell>
          <cell r="U248">
            <v>340275.22564000002</v>
          </cell>
          <cell r="V248">
            <v>349462.65673227998</v>
          </cell>
          <cell r="W248">
            <v>349462.65673227998</v>
          </cell>
          <cell r="Y248">
            <v>4089853.3342245594</v>
          </cell>
          <cell r="AA248">
            <v>118.66189396115713</v>
          </cell>
          <cell r="AB248">
            <v>10.07596842407898</v>
          </cell>
        </row>
        <row r="249">
          <cell r="D249" t="str">
            <v xml:space="preserve"> </v>
          </cell>
          <cell r="G249" t="str">
            <v xml:space="preserve"> </v>
          </cell>
          <cell r="H249" t="str">
            <v xml:space="preserve"> </v>
          </cell>
          <cell r="Y249" t="str">
            <v xml:space="preserve"> </v>
          </cell>
          <cell r="AA249" t="str">
            <v xml:space="preserve"> </v>
          </cell>
          <cell r="AB249" t="str">
            <v xml:space="preserve"> </v>
          </cell>
        </row>
        <row r="250">
          <cell r="A250">
            <v>4001</v>
          </cell>
          <cell r="C250" t="str">
            <v>Regres za letni dopust</v>
          </cell>
          <cell r="D250">
            <v>3750977.1632000054</v>
          </cell>
          <cell r="E250">
            <v>3580267</v>
          </cell>
          <cell r="F250">
            <v>170710.16320000542</v>
          </cell>
          <cell r="G250">
            <v>114.56215618552044</v>
          </cell>
          <cell r="H250">
            <v>5.1994088021307903</v>
          </cell>
          <cell r="I250">
            <v>19117.076286000007</v>
          </cell>
          <cell r="J250">
            <v>1222.8832000000002</v>
          </cell>
          <cell r="K250">
            <v>331.185316</v>
          </cell>
          <cell r="L250">
            <v>20671.144802000006</v>
          </cell>
          <cell r="N250">
            <v>221.804968</v>
          </cell>
          <cell r="O250">
            <v>25.386900000000001</v>
          </cell>
          <cell r="P250">
            <v>4030389.9081563102</v>
          </cell>
          <cell r="Q250">
            <v>4051308.2448263103</v>
          </cell>
          <cell r="R250">
            <v>14229.542327000001</v>
          </cell>
          <cell r="S250">
            <v>8820.6153420000064</v>
          </cell>
          <cell r="T250">
            <v>7382.7574898000039</v>
          </cell>
          <cell r="U250">
            <v>10266.377305800002</v>
          </cell>
          <cell r="V250">
            <v>9355.9017398000033</v>
          </cell>
          <cell r="W250">
            <v>21217.196</v>
          </cell>
          <cell r="X250">
            <v>0</v>
          </cell>
          <cell r="Y250">
            <v>4122580.6350307101</v>
          </cell>
          <cell r="Z250" t="str">
            <v xml:space="preserve"> </v>
          </cell>
          <cell r="AA250">
            <v>109.90684442113971</v>
          </cell>
          <cell r="AB250">
            <v>1.9544011327826638</v>
          </cell>
        </row>
        <row r="251">
          <cell r="D251" t="str">
            <v xml:space="preserve"> </v>
          </cell>
          <cell r="Y251" t="str">
            <v xml:space="preserve"> </v>
          </cell>
        </row>
        <row r="252">
          <cell r="A252">
            <v>4002</v>
          </cell>
          <cell r="C252" t="str">
            <v>Povračila in nadomestila</v>
          </cell>
          <cell r="D252">
            <v>8751533.1542800032</v>
          </cell>
          <cell r="E252">
            <v>9316629</v>
          </cell>
          <cell r="F252">
            <v>-565095.84571999684</v>
          </cell>
          <cell r="G252">
            <v>112.50470003344873</v>
          </cell>
          <cell r="H252">
            <v>3.3101010408160789</v>
          </cell>
          <cell r="I252">
            <v>791528.84377797996</v>
          </cell>
          <cell r="J252">
            <v>768227.62142895977</v>
          </cell>
          <cell r="K252">
            <v>781522.67874758097</v>
          </cell>
          <cell r="L252">
            <v>2341279.1439545206</v>
          </cell>
          <cell r="N252">
            <v>803583.07377810008</v>
          </cell>
          <cell r="O252">
            <v>795350.45238264033</v>
          </cell>
          <cell r="P252">
            <v>763080.98350792029</v>
          </cell>
          <cell r="Q252">
            <v>4703293.6536231814</v>
          </cell>
          <cell r="R252">
            <v>812967.12013594038</v>
          </cell>
          <cell r="S252">
            <v>775056.5588011397</v>
          </cell>
          <cell r="T252">
            <v>705791.46981574048</v>
          </cell>
          <cell r="U252">
            <v>693551.30746440031</v>
          </cell>
          <cell r="V252">
            <v>841497.69047344057</v>
          </cell>
          <cell r="W252">
            <v>901994.94</v>
          </cell>
          <cell r="X252">
            <v>0</v>
          </cell>
          <cell r="Y252">
            <v>9434152.7403138429</v>
          </cell>
          <cell r="Z252" t="str">
            <v xml:space="preserve"> </v>
          </cell>
          <cell r="AA252">
            <v>107.8</v>
          </cell>
          <cell r="AB252">
            <v>0</v>
          </cell>
        </row>
        <row r="253">
          <cell r="A253" t="str">
            <v>400200</v>
          </cell>
          <cell r="C253" t="str">
            <v>Dodatki za ločeno življenje</v>
          </cell>
          <cell r="D253">
            <v>142088.89889999997</v>
          </cell>
          <cell r="G253">
            <v>101.8001261868518</v>
          </cell>
          <cell r="H253">
            <v>-6.5196270093188247</v>
          </cell>
          <cell r="I253">
            <v>12933.286673999997</v>
          </cell>
          <cell r="J253">
            <v>11204.495918000002</v>
          </cell>
          <cell r="K253">
            <v>13117.481838999998</v>
          </cell>
          <cell r="N253">
            <v>13027.221330199996</v>
          </cell>
          <cell r="O253">
            <v>15821.567869799999</v>
          </cell>
          <cell r="P253">
            <v>12973.660468999999</v>
          </cell>
          <cell r="Q253">
            <v>79077.714099999983</v>
          </cell>
          <cell r="R253">
            <v>12884.284243599999</v>
          </cell>
          <cell r="S253">
            <v>12687.070719399997</v>
          </cell>
          <cell r="T253">
            <v>9392.6208991999974</v>
          </cell>
          <cell r="U253">
            <v>12061.585797799997</v>
          </cell>
          <cell r="V253">
            <v>12321.517254199995</v>
          </cell>
          <cell r="W253">
            <v>14747.04</v>
          </cell>
          <cell r="X253">
            <v>0</v>
          </cell>
          <cell r="Y253">
            <v>153171.8330142</v>
          </cell>
          <cell r="AA253">
            <v>107.8</v>
          </cell>
          <cell r="AB253">
            <v>0</v>
          </cell>
        </row>
        <row r="254">
          <cell r="A254">
            <v>400201</v>
          </cell>
          <cell r="C254" t="str">
            <v>Terenski dodatki</v>
          </cell>
          <cell r="D254">
            <v>57666.045900000012</v>
          </cell>
          <cell r="G254">
            <v>102.29582852929508</v>
          </cell>
          <cell r="H254">
            <v>-6.0644366122175626</v>
          </cell>
          <cell r="I254">
            <v>3696.5676440000002</v>
          </cell>
          <cell r="J254">
            <v>3248.2026499999997</v>
          </cell>
          <cell r="K254">
            <v>4380.1533159999999</v>
          </cell>
          <cell r="N254">
            <v>5044.2390460000006</v>
          </cell>
          <cell r="O254">
            <v>6549.6617340000012</v>
          </cell>
          <cell r="P254">
            <v>6540.4355632000015</v>
          </cell>
          <cell r="Q254">
            <v>29459.259953200002</v>
          </cell>
          <cell r="R254">
            <v>6873.271944000001</v>
          </cell>
          <cell r="S254">
            <v>5079.66536</v>
          </cell>
          <cell r="T254">
            <v>5469.5499319999999</v>
          </cell>
          <cell r="U254">
            <v>5316.939628000001</v>
          </cell>
          <cell r="V254">
            <v>4102.068663</v>
          </cell>
          <cell r="W254">
            <v>5821.2</v>
          </cell>
          <cell r="X254">
            <v>0</v>
          </cell>
          <cell r="Y254">
            <v>62121.955480200006</v>
          </cell>
          <cell r="AA254">
            <v>107.72709401287386</v>
          </cell>
          <cell r="AB254">
            <v>-6.7630785831298112E-2</v>
          </cell>
        </row>
        <row r="255">
          <cell r="A255">
            <v>400202</v>
          </cell>
          <cell r="C255" t="str">
            <v>Povračila stroškov prehrane med delom</v>
          </cell>
          <cell r="D255">
            <v>3776242.0029000016</v>
          </cell>
          <cell r="G255">
            <v>100.79425935782045</v>
          </cell>
          <cell r="H255">
            <v>-7.4432880093476115</v>
          </cell>
          <cell r="I255">
            <v>364813.15765817981</v>
          </cell>
          <cell r="J255">
            <v>342540.07252695982</v>
          </cell>
          <cell r="K255">
            <v>353746.75516796036</v>
          </cell>
          <cell r="N255">
            <v>371866.29437650013</v>
          </cell>
          <cell r="O255">
            <v>338371.51795524021</v>
          </cell>
          <cell r="P255">
            <v>344766.3609836601</v>
          </cell>
          <cell r="Q255">
            <v>2116104.1586685004</v>
          </cell>
          <cell r="R255">
            <v>351238.04655786039</v>
          </cell>
          <cell r="S255">
            <v>321172.27492503985</v>
          </cell>
          <cell r="T255">
            <v>301826.72132536041</v>
          </cell>
          <cell r="U255">
            <v>279252.15028480039</v>
          </cell>
          <cell r="V255">
            <v>336178.25936464028</v>
          </cell>
          <cell r="W255">
            <v>349080.11600000004</v>
          </cell>
          <cell r="X255">
            <v>0</v>
          </cell>
          <cell r="Y255">
            <v>4054851.7271262016</v>
          </cell>
          <cell r="AA255">
            <v>107.37796264148957</v>
          </cell>
          <cell r="AB255">
            <v>-0.39150033256996153</v>
          </cell>
        </row>
        <row r="256">
          <cell r="A256">
            <v>400203</v>
          </cell>
          <cell r="C256" t="str">
            <v>Povračila stroškov prevoza na delo in iz dela</v>
          </cell>
          <cell r="D256">
            <v>4790359.2065800009</v>
          </cell>
          <cell r="G256">
            <v>124.86657855658865</v>
          </cell>
          <cell r="H256">
            <v>14.661688298061208</v>
          </cell>
          <cell r="I256">
            <v>410085.83180180017</v>
          </cell>
          <cell r="J256">
            <v>411234.85033399996</v>
          </cell>
          <cell r="K256">
            <v>410278.28842462064</v>
          </cell>
          <cell r="N256">
            <v>413645.31902539992</v>
          </cell>
          <cell r="O256">
            <v>434607.70482360013</v>
          </cell>
          <cell r="P256">
            <v>398800.52649206028</v>
          </cell>
          <cell r="Q256">
            <v>2478652.5209014812</v>
          </cell>
          <cell r="R256">
            <v>441971.51739047992</v>
          </cell>
          <cell r="S256">
            <v>436117.54779669992</v>
          </cell>
          <cell r="T256">
            <v>389102.57765918004</v>
          </cell>
          <cell r="U256">
            <v>396920.63175379991</v>
          </cell>
          <cell r="V256">
            <v>488895.84519160027</v>
          </cell>
          <cell r="W256">
            <v>532346.58400000003</v>
          </cell>
          <cell r="X256">
            <v>0</v>
          </cell>
          <cell r="Y256">
            <v>5164007.2246932415</v>
          </cell>
          <cell r="AA256">
            <v>107.8</v>
          </cell>
          <cell r="AB256">
            <v>0</v>
          </cell>
        </row>
        <row r="257">
          <cell r="D257" t="str">
            <v xml:space="preserve"> </v>
          </cell>
          <cell r="Y257" t="str">
            <v xml:space="preserve"> </v>
          </cell>
        </row>
        <row r="258">
          <cell r="A258">
            <v>4003</v>
          </cell>
          <cell r="C258" t="str">
            <v>Sredstva za delovno uspešnost</v>
          </cell>
          <cell r="D258">
            <v>2472796.2352599995</v>
          </cell>
          <cell r="E258">
            <v>2435075</v>
          </cell>
          <cell r="F258">
            <v>37721.235259999521</v>
          </cell>
          <cell r="G258">
            <v>113.07161111868471</v>
          </cell>
          <cell r="H258">
            <v>3.8306805497563943</v>
          </cell>
          <cell r="I258">
            <v>219359.88</v>
          </cell>
          <cell r="J258">
            <v>227256.83568000002</v>
          </cell>
          <cell r="K258">
            <v>227256.83568000002</v>
          </cell>
          <cell r="L258">
            <v>673873.55136000004</v>
          </cell>
          <cell r="N258">
            <v>227256.83568000002</v>
          </cell>
          <cell r="O258">
            <v>227256.83568000002</v>
          </cell>
          <cell r="P258">
            <v>227256.83568000002</v>
          </cell>
          <cell r="Q258">
            <v>1355644.0584</v>
          </cell>
          <cell r="R258">
            <v>227256.83568000002</v>
          </cell>
          <cell r="S258">
            <v>227256.83568000002</v>
          </cell>
          <cell r="T258">
            <v>227256.83568000002</v>
          </cell>
          <cell r="U258">
            <v>227256.83568000002</v>
          </cell>
          <cell r="V258">
            <v>233392.77024335999</v>
          </cell>
          <cell r="W258">
            <v>242728.48105309441</v>
          </cell>
          <cell r="X258">
            <v>0</v>
          </cell>
          <cell r="Y258">
            <v>2740792.6524164546</v>
          </cell>
          <cell r="Z258" t="str">
            <v xml:space="preserve"> </v>
          </cell>
          <cell r="AA258">
            <v>110.83778814182305</v>
          </cell>
          <cell r="AB258">
            <v>2.8179852892607187</v>
          </cell>
        </row>
        <row r="259">
          <cell r="A259">
            <v>4004</v>
          </cell>
          <cell r="C259" t="str">
            <v>Sredstva za nadurno delo</v>
          </cell>
          <cell r="D259">
            <v>1652100.4132099997</v>
          </cell>
          <cell r="E259">
            <v>1929475</v>
          </cell>
          <cell r="F259">
            <v>-277374.58679000032</v>
          </cell>
          <cell r="G259">
            <v>96.083300192512539</v>
          </cell>
          <cell r="H259">
            <v>-11.769237656095015</v>
          </cell>
          <cell r="I259">
            <v>159694.13</v>
          </cell>
          <cell r="J259">
            <v>172060.84342720002</v>
          </cell>
          <cell r="K259">
            <v>172060.84342720002</v>
          </cell>
          <cell r="L259">
            <v>503815.81685439998</v>
          </cell>
          <cell r="N259">
            <v>172060.84342720002</v>
          </cell>
          <cell r="O259">
            <v>172060.84342720002</v>
          </cell>
          <cell r="P259">
            <v>172060.84342720002</v>
          </cell>
          <cell r="Q259">
            <v>1019998.3471359999</v>
          </cell>
          <cell r="R259">
            <v>172060.84342720002</v>
          </cell>
          <cell r="S259">
            <v>172060.84342720002</v>
          </cell>
          <cell r="T259">
            <v>172060.84342720002</v>
          </cell>
          <cell r="U259">
            <v>172060.84342720002</v>
          </cell>
          <cell r="V259">
            <v>176706.48619973441</v>
          </cell>
          <cell r="W259">
            <v>183774.74564772379</v>
          </cell>
          <cell r="X259">
            <v>0</v>
          </cell>
          <cell r="Y259">
            <v>2068722.9526922586</v>
          </cell>
          <cell r="Z259" t="str">
            <v xml:space="preserve"> </v>
          </cell>
          <cell r="AA259">
            <v>125.21774924520292</v>
          </cell>
          <cell r="AB259">
            <v>16.157466832284712</v>
          </cell>
        </row>
        <row r="260">
          <cell r="A260">
            <v>4005</v>
          </cell>
          <cell r="C260" t="str">
            <v>Plače za delo po pogodbi</v>
          </cell>
          <cell r="D260">
            <v>13325.039789999999</v>
          </cell>
          <cell r="E260">
            <v>71975</v>
          </cell>
          <cell r="F260">
            <v>-58649.960210000005</v>
          </cell>
          <cell r="G260">
            <v>102.76881117757483</v>
          </cell>
          <cell r="H260">
            <v>-5.6301091115015396</v>
          </cell>
          <cell r="I260">
            <v>239.37</v>
          </cell>
          <cell r="J260">
            <v>247.98732000000001</v>
          </cell>
          <cell r="K260">
            <v>247.98732000000001</v>
          </cell>
          <cell r="L260">
            <v>735.34464000000003</v>
          </cell>
          <cell r="N260">
            <v>247.98732000000001</v>
          </cell>
          <cell r="O260">
            <v>247.98732000000001</v>
          </cell>
          <cell r="P260">
            <v>247.98732000000001</v>
          </cell>
          <cell r="Q260">
            <v>1479.3065999999999</v>
          </cell>
          <cell r="R260">
            <v>247.98732000000001</v>
          </cell>
          <cell r="S260">
            <v>247.98732000000001</v>
          </cell>
          <cell r="T260">
            <v>247.98732000000001</v>
          </cell>
          <cell r="U260">
            <v>247.98732000000001</v>
          </cell>
          <cell r="V260">
            <v>254.68297763999999</v>
          </cell>
          <cell r="W260">
            <v>254.68297763999999</v>
          </cell>
          <cell r="X260">
            <v>0</v>
          </cell>
          <cell r="Y260">
            <v>2980.6218352800001</v>
          </cell>
          <cell r="Z260" t="str">
            <v xml:space="preserve"> </v>
          </cell>
          <cell r="AA260">
            <v>22.368577372030497</v>
          </cell>
          <cell r="AB260">
            <v>-79.249928226316797</v>
          </cell>
        </row>
        <row r="261">
          <cell r="D261" t="str">
            <v xml:space="preserve"> </v>
          </cell>
          <cell r="Q261" t="str">
            <v xml:space="preserve"> </v>
          </cell>
          <cell r="Y261" t="str">
            <v xml:space="preserve"> </v>
          </cell>
        </row>
        <row r="262">
          <cell r="A262">
            <v>4009</v>
          </cell>
          <cell r="C262" t="str">
            <v>Drugi izdatki zaposlenim</v>
          </cell>
          <cell r="D262">
            <v>667071.35642000008</v>
          </cell>
          <cell r="E262">
            <v>1096609</v>
          </cell>
          <cell r="F262">
            <v>-429537.64357999992</v>
          </cell>
          <cell r="G262">
            <v>90.509325170527973</v>
          </cell>
          <cell r="H262">
            <v>-16.887672019717201</v>
          </cell>
          <cell r="I262">
            <v>51016.11</v>
          </cell>
          <cell r="J262">
            <v>52852.689960000003</v>
          </cell>
          <cell r="K262">
            <v>52852.689960000003</v>
          </cell>
          <cell r="L262">
            <v>156721.48992000002</v>
          </cell>
          <cell r="N262">
            <v>55224.109186140005</v>
          </cell>
          <cell r="O262">
            <v>45040.167807000005</v>
          </cell>
          <cell r="P262">
            <v>37033.564638169992</v>
          </cell>
          <cell r="Q262">
            <v>294019.33155131002</v>
          </cell>
          <cell r="R262">
            <v>69340.152563939977</v>
          </cell>
          <cell r="S262">
            <v>72115.837887420013</v>
          </cell>
          <cell r="T262">
            <v>60839.074316500017</v>
          </cell>
          <cell r="U262">
            <v>58185.674558240033</v>
          </cell>
          <cell r="V262">
            <v>60000</v>
          </cell>
          <cell r="W262">
            <v>80000</v>
          </cell>
          <cell r="X262">
            <v>0</v>
          </cell>
          <cell r="Y262">
            <v>694500.07087741001</v>
          </cell>
          <cell r="Z262" t="str">
            <v xml:space="preserve"> </v>
          </cell>
          <cell r="AA262">
            <v>104.11181115684727</v>
          </cell>
          <cell r="AB262">
            <v>-3.4213254574700755</v>
          </cell>
        </row>
        <row r="263">
          <cell r="A263">
            <v>400900</v>
          </cell>
          <cell r="C263" t="str">
            <v>Jubilejne nagrade</v>
          </cell>
          <cell r="D263">
            <v>185341.40300000002</v>
          </cell>
          <cell r="G263">
            <v>110.792008683718</v>
          </cell>
          <cell r="H263">
            <v>1.7373817114031169</v>
          </cell>
          <cell r="I263">
            <v>14721.421329999996</v>
          </cell>
          <cell r="J263">
            <v>10924.019721999995</v>
          </cell>
          <cell r="K263">
            <v>13319.405791999998</v>
          </cell>
          <cell r="N263">
            <v>13386.379775999991</v>
          </cell>
          <cell r="O263">
            <v>11507.870989999999</v>
          </cell>
          <cell r="P263">
            <v>11823.281931999996</v>
          </cell>
          <cell r="Q263">
            <v>75682.379541999966</v>
          </cell>
          <cell r="R263">
            <v>14188.714693999986</v>
          </cell>
          <cell r="S263">
            <v>32519.549524000024</v>
          </cell>
          <cell r="T263">
            <v>19796.353192000006</v>
          </cell>
          <cell r="U263">
            <v>21677.665856000036</v>
          </cell>
          <cell r="V263">
            <v>18981.819626000011</v>
          </cell>
          <cell r="W263">
            <v>16951.55</v>
          </cell>
          <cell r="X263">
            <v>0</v>
          </cell>
          <cell r="Y263">
            <v>199798.03243400002</v>
          </cell>
          <cell r="AA263">
            <v>107.8</v>
          </cell>
          <cell r="AB263">
            <v>0</v>
          </cell>
        </row>
        <row r="264">
          <cell r="A264">
            <v>400901</v>
          </cell>
          <cell r="C264" t="str">
            <v>Odpravnine</v>
          </cell>
          <cell r="D264">
            <v>354250.52171</v>
          </cell>
          <cell r="G264">
            <v>67.170888103911238</v>
          </cell>
          <cell r="H264">
            <v>-38.318743706233946</v>
          </cell>
          <cell r="I264">
            <v>120183.25732399999</v>
          </cell>
          <cell r="J264">
            <v>23478.875354999993</v>
          </cell>
          <cell r="K264">
            <v>14382.705415</v>
          </cell>
          <cell r="N264">
            <v>12774.366865000005</v>
          </cell>
          <cell r="O264">
            <v>26124.152535000005</v>
          </cell>
          <cell r="P264">
            <v>15169.741344549999</v>
          </cell>
          <cell r="Q264">
            <v>212113.09883854998</v>
          </cell>
          <cell r="R264">
            <v>42766.987158999997</v>
          </cell>
          <cell r="S264">
            <v>24772.307579499997</v>
          </cell>
          <cell r="T264">
            <v>36069.218282500005</v>
          </cell>
          <cell r="U264">
            <v>21552.797922499994</v>
          </cell>
          <cell r="V264">
            <v>27383.901707499994</v>
          </cell>
          <cell r="W264">
            <v>26788.514999999999</v>
          </cell>
          <cell r="X264">
            <v>0</v>
          </cell>
          <cell r="Y264">
            <v>391446.82648955</v>
          </cell>
          <cell r="AA264">
            <v>110.5</v>
          </cell>
          <cell r="AB264">
            <v>2.5046382189239296</v>
          </cell>
        </row>
        <row r="265">
          <cell r="A265">
            <v>400902</v>
          </cell>
          <cell r="C265" t="str">
            <v>Solidarnostne pomoči</v>
          </cell>
          <cell r="D265">
            <v>127479.43170999999</v>
          </cell>
          <cell r="G265">
            <v>301.05101790265081</v>
          </cell>
          <cell r="H265">
            <v>176.4472157049135</v>
          </cell>
          <cell r="I265">
            <v>3201.6039440000004</v>
          </cell>
          <cell r="J265">
            <v>6895.7622579999988</v>
          </cell>
          <cell r="K265">
            <v>9110.4475000000002</v>
          </cell>
          <cell r="N265">
            <v>29063.362545140011</v>
          </cell>
          <cell r="O265">
            <v>7408.1442820000002</v>
          </cell>
          <cell r="P265">
            <v>10040.541361619997</v>
          </cell>
          <cell r="Q265">
            <v>65719.861890760018</v>
          </cell>
          <cell r="R265">
            <v>12384.450710939996</v>
          </cell>
          <cell r="S265">
            <v>14823.980783919993</v>
          </cell>
          <cell r="T265">
            <v>4973.5028419999999</v>
          </cell>
          <cell r="U265">
            <v>14955.210779739999</v>
          </cell>
          <cell r="V265">
            <v>13200.466376019998</v>
          </cell>
          <cell r="W265">
            <v>11365.354000000001</v>
          </cell>
          <cell r="X265">
            <v>0</v>
          </cell>
          <cell r="Y265">
            <v>137422.82738338</v>
          </cell>
          <cell r="AA265">
            <v>107.8</v>
          </cell>
          <cell r="AB265">
            <v>0</v>
          </cell>
        </row>
        <row r="266">
          <cell r="D266" t="str">
            <v xml:space="preserve"> </v>
          </cell>
          <cell r="Q266" t="str">
            <v xml:space="preserve"> </v>
          </cell>
          <cell r="Y266" t="str">
            <v xml:space="preserve"> </v>
          </cell>
        </row>
        <row r="267">
          <cell r="A267">
            <v>401</v>
          </cell>
          <cell r="C267" t="str">
            <v>PRISPEVKI DELODAJALCEV ZA SOCIALNO VARNOST</v>
          </cell>
          <cell r="D267">
            <v>18625392.128080003</v>
          </cell>
          <cell r="E267">
            <v>18080425</v>
          </cell>
          <cell r="F267">
            <v>544967.12808000296</v>
          </cell>
          <cell r="G267">
            <v>112.63855309011402</v>
          </cell>
          <cell r="H267">
            <v>3.4330147751276456</v>
          </cell>
          <cell r="I267">
            <v>1706560.64</v>
          </cell>
          <cell r="J267">
            <v>1767996.8230399999</v>
          </cell>
          <cell r="K267">
            <v>1767996.8230399999</v>
          </cell>
          <cell r="L267">
            <v>5242554.28608</v>
          </cell>
          <cell r="N267">
            <v>1767996.8230399999</v>
          </cell>
          <cell r="O267">
            <v>1767996.8230399999</v>
          </cell>
          <cell r="P267">
            <v>1767996.8230399999</v>
          </cell>
          <cell r="Q267">
            <v>10546544.755199999</v>
          </cell>
          <cell r="R267">
            <v>1767996.8230399999</v>
          </cell>
          <cell r="S267">
            <v>1767996.8230399999</v>
          </cell>
          <cell r="T267">
            <v>1767996.8230399999</v>
          </cell>
          <cell r="U267">
            <v>1767996.8230399999</v>
          </cell>
          <cell r="V267">
            <v>1815732.7372620802</v>
          </cell>
          <cell r="W267">
            <v>1888362.0467525632</v>
          </cell>
          <cell r="X267">
            <v>0</v>
          </cell>
          <cell r="Y267">
            <v>21322626.831374642</v>
          </cell>
          <cell r="Z267">
            <v>0</v>
          </cell>
          <cell r="AA267">
            <v>114.48149217340899</v>
          </cell>
          <cell r="AB267">
            <v>6.1980446877634563</v>
          </cell>
        </row>
        <row r="268">
          <cell r="C268" t="str">
            <v xml:space="preserve">                                 - dinamizirani sprejeti proračun</v>
          </cell>
          <cell r="D268">
            <v>17288402</v>
          </cell>
          <cell r="I268">
            <v>1430376</v>
          </cell>
          <cell r="J268">
            <v>1430376</v>
          </cell>
          <cell r="K268">
            <v>1430376</v>
          </cell>
          <cell r="N268">
            <v>1430376</v>
          </cell>
          <cell r="O268">
            <v>1430376</v>
          </cell>
          <cell r="P268">
            <v>1430376</v>
          </cell>
          <cell r="Q268">
            <v>8582256</v>
          </cell>
          <cell r="R268">
            <v>1430376</v>
          </cell>
          <cell r="S268">
            <v>1430376</v>
          </cell>
          <cell r="T268">
            <v>1430376</v>
          </cell>
          <cell r="U268">
            <v>1430376</v>
          </cell>
          <cell r="V268">
            <v>1513371</v>
          </cell>
          <cell r="W268">
            <v>1554266</v>
          </cell>
          <cell r="X268">
            <v>0</v>
          </cell>
          <cell r="Y268">
            <v>17371397</v>
          </cell>
        </row>
        <row r="269">
          <cell r="I269" t="str">
            <v>+1%</v>
          </cell>
          <cell r="J269" t="str">
            <v>+3,6%</v>
          </cell>
          <cell r="V269" t="str">
            <v>+2,7%</v>
          </cell>
          <cell r="W269" t="str">
            <v>+4%</v>
          </cell>
        </row>
        <row r="270">
          <cell r="A270">
            <v>4010</v>
          </cell>
          <cell r="C270" t="str">
            <v>Prispevki za pokojninsko in invalidsko zavarovanje</v>
          </cell>
          <cell r="D270">
            <v>11598823.535</v>
          </cell>
          <cell r="E270">
            <v>11274078</v>
          </cell>
          <cell r="F270">
            <v>324745.53500000015</v>
          </cell>
          <cell r="G270">
            <v>112.86463985876867</v>
          </cell>
          <cell r="H270">
            <v>3.6406242963899587</v>
          </cell>
          <cell r="I270">
            <v>1064292.55</v>
          </cell>
          <cell r="J270">
            <v>1102607.0818</v>
          </cell>
          <cell r="K270">
            <v>1102607.0818</v>
          </cell>
          <cell r="N270">
            <v>1102607.0818</v>
          </cell>
          <cell r="O270">
            <v>1102607.0818</v>
          </cell>
          <cell r="P270">
            <v>1102607.0818</v>
          </cell>
          <cell r="Q270">
            <v>6577327.9589999998</v>
          </cell>
          <cell r="R270">
            <v>1102607.0818</v>
          </cell>
          <cell r="S270">
            <v>1102607.0818</v>
          </cell>
          <cell r="T270">
            <v>1102607.0818</v>
          </cell>
          <cell r="U270">
            <v>1102607.0818</v>
          </cell>
          <cell r="V270">
            <v>1132377.4730086001</v>
          </cell>
          <cell r="W270">
            <v>1177672.5719289442</v>
          </cell>
          <cell r="Y270">
            <v>13297806.331137545</v>
          </cell>
          <cell r="Z270" t="str">
            <v xml:space="preserve"> </v>
          </cell>
          <cell r="AA270">
            <v>114.64788899504148</v>
          </cell>
          <cell r="AB270">
            <v>6.3524016651590642</v>
          </cell>
        </row>
        <row r="271">
          <cell r="A271">
            <v>4011</v>
          </cell>
          <cell r="C271" t="str">
            <v>Prispevki za zdravstveno zavarovanje</v>
          </cell>
          <cell r="D271">
            <v>6867175.2116</v>
          </cell>
          <cell r="E271">
            <v>6652055</v>
          </cell>
          <cell r="F271">
            <v>215120.21160000004</v>
          </cell>
          <cell r="G271">
            <v>112.2681395992068</v>
          </cell>
          <cell r="H271">
            <v>3.0928738284727189</v>
          </cell>
          <cell r="I271">
            <v>627699.85</v>
          </cell>
          <cell r="J271">
            <v>650297.04460000002</v>
          </cell>
          <cell r="K271">
            <v>650297.04460000002</v>
          </cell>
          <cell r="N271">
            <v>650297.04460000002</v>
          </cell>
          <cell r="O271">
            <v>650297.04460000002</v>
          </cell>
          <cell r="P271">
            <v>650297.04460000002</v>
          </cell>
          <cell r="Q271">
            <v>3879185.0730000003</v>
          </cell>
          <cell r="R271">
            <v>650297.04460000002</v>
          </cell>
          <cell r="S271">
            <v>650297.04460000002</v>
          </cell>
          <cell r="T271">
            <v>650297.04460000002</v>
          </cell>
          <cell r="U271">
            <v>650297.04460000002</v>
          </cell>
          <cell r="V271">
            <v>667855.06480419997</v>
          </cell>
          <cell r="W271">
            <v>694569.26739636797</v>
          </cell>
          <cell r="Y271">
            <v>7842797.5836005677</v>
          </cell>
          <cell r="Z271" t="str">
            <v xml:space="preserve"> </v>
          </cell>
          <cell r="AA271">
            <v>114.20704062352378</v>
          </cell>
          <cell r="AB271">
            <v>5.943451413287363</v>
          </cell>
        </row>
        <row r="272">
          <cell r="A272">
            <v>4012</v>
          </cell>
          <cell r="C272" t="str">
            <v>Prispevki za zaposlovanje</v>
          </cell>
          <cell r="D272">
            <v>59757.850140000002</v>
          </cell>
          <cell r="E272">
            <v>57831</v>
          </cell>
          <cell r="F272">
            <v>1926.8501400000023</v>
          </cell>
          <cell r="G272">
            <v>112.15967215596434</v>
          </cell>
          <cell r="H272">
            <v>2.9932710339433726</v>
          </cell>
          <cell r="I272">
            <v>5458.04</v>
          </cell>
          <cell r="J272">
            <v>5654.5294400000002</v>
          </cell>
          <cell r="K272">
            <v>5654.5294400000002</v>
          </cell>
          <cell r="N272">
            <v>5654.5294400000002</v>
          </cell>
          <cell r="O272">
            <v>5654.5294400000002</v>
          </cell>
          <cell r="P272">
            <v>5654.5294400000002</v>
          </cell>
          <cell r="Q272">
            <v>33730.687199999993</v>
          </cell>
          <cell r="R272">
            <v>5654.5294400000002</v>
          </cell>
          <cell r="S272">
            <v>5654.5294400000002</v>
          </cell>
          <cell r="T272">
            <v>5654.5294400000002</v>
          </cell>
          <cell r="U272">
            <v>5654.5294400000002</v>
          </cell>
          <cell r="V272">
            <v>5807.20173488</v>
          </cell>
          <cell r="W272">
            <v>6039.4898042752002</v>
          </cell>
          <cell r="Y272">
            <v>68195.496499155182</v>
          </cell>
          <cell r="Z272" t="str">
            <v xml:space="preserve"> </v>
          </cell>
          <cell r="AA272">
            <v>114.11972877101093</v>
          </cell>
          <cell r="AB272">
            <v>5.8624571159655972</v>
          </cell>
        </row>
        <row r="273">
          <cell r="A273">
            <v>4013</v>
          </cell>
          <cell r="C273" t="str">
            <v>Prispevki za porodniško varstvo</v>
          </cell>
          <cell r="D273">
            <v>99635.531340000016</v>
          </cell>
          <cell r="E273">
            <v>96461</v>
          </cell>
          <cell r="F273">
            <v>3174.5313400000159</v>
          </cell>
          <cell r="G273">
            <v>112.27578326467618</v>
          </cell>
          <cell r="H273">
            <v>3.099892805028631</v>
          </cell>
          <cell r="I273">
            <v>9110.2000000000007</v>
          </cell>
          <cell r="J273">
            <v>9438.1672000000017</v>
          </cell>
          <cell r="K273">
            <v>9438.1672000000017</v>
          </cell>
          <cell r="N273">
            <v>9438.1672000000017</v>
          </cell>
          <cell r="O273">
            <v>9438.1672000000017</v>
          </cell>
          <cell r="P273">
            <v>9438.1672000000017</v>
          </cell>
          <cell r="Q273">
            <v>56301.036000000015</v>
          </cell>
          <cell r="R273">
            <v>9438.1672000000017</v>
          </cell>
          <cell r="S273">
            <v>9438.1672000000017</v>
          </cell>
          <cell r="T273">
            <v>9438.1672000000017</v>
          </cell>
          <cell r="U273">
            <v>9438.1672000000017</v>
          </cell>
          <cell r="V273">
            <v>9692.9977144000004</v>
          </cell>
          <cell r="W273">
            <v>10080.717622976001</v>
          </cell>
          <cell r="Y273">
            <v>113827.420137376</v>
          </cell>
          <cell r="Z273" t="str">
            <v xml:space="preserve"> </v>
          </cell>
          <cell r="AA273">
            <v>114.24380299528593</v>
          </cell>
          <cell r="AB273">
            <v>5.9775537989665395</v>
          </cell>
        </row>
        <row r="274">
          <cell r="D274" t="str">
            <v xml:space="preserve"> </v>
          </cell>
          <cell r="Q274" t="str">
            <v xml:space="preserve"> </v>
          </cell>
          <cell r="Y274" t="str">
            <v xml:space="preserve"> </v>
          </cell>
        </row>
        <row r="275">
          <cell r="A275">
            <v>402</v>
          </cell>
          <cell r="C275" t="str">
            <v xml:space="preserve">IZDATKI ZA BLAGO IN STORITVE </v>
          </cell>
          <cell r="D275">
            <v>109594691.19481999</v>
          </cell>
          <cell r="E275">
            <v>114628613</v>
          </cell>
          <cell r="F275">
            <v>-5033921.8051800132</v>
          </cell>
          <cell r="G275">
            <v>113.32628047284356</v>
          </cell>
          <cell r="H275">
            <v>4.0645367060087665</v>
          </cell>
          <cell r="I275">
            <v>2777447.1356437001</v>
          </cell>
          <cell r="J275">
            <v>5808321.4291027812</v>
          </cell>
          <cell r="K275">
            <v>11568755.798173703</v>
          </cell>
          <cell r="L275">
            <v>20154524.362920184</v>
          </cell>
          <cell r="N275">
            <v>11096679.464410823</v>
          </cell>
          <cell r="O275">
            <v>8777251.6106416397</v>
          </cell>
          <cell r="P275">
            <v>10512919.571862681</v>
          </cell>
          <cell r="Q275">
            <v>50541375.009835333</v>
          </cell>
          <cell r="R275">
            <v>9520093.6956651416</v>
          </cell>
          <cell r="S275">
            <v>8729228.0713686999</v>
          </cell>
          <cell r="T275">
            <v>8562253.0011744611</v>
          </cell>
          <cell r="U275">
            <v>11630883.603668841</v>
          </cell>
          <cell r="V275">
            <v>9142204.9876115024</v>
          </cell>
          <cell r="W275">
            <v>14226048.498865347</v>
          </cell>
          <cell r="X275">
            <v>6514195.534</v>
          </cell>
          <cell r="Y275">
            <v>118866282.40218933</v>
          </cell>
          <cell r="Z275" t="e">
            <v>#VALUE!</v>
          </cell>
          <cell r="AA275">
            <v>108.45989080884199</v>
          </cell>
          <cell r="AB275">
            <v>0.61214360746011209</v>
          </cell>
        </row>
        <row r="276">
          <cell r="C276" t="str">
            <v xml:space="preserve">                                 - dinamizirani sprejeti proračun</v>
          </cell>
          <cell r="D276">
            <v>49386614</v>
          </cell>
          <cell r="I276">
            <v>2312039</v>
          </cell>
          <cell r="J276">
            <v>2312039</v>
          </cell>
          <cell r="K276">
            <v>2312039</v>
          </cell>
          <cell r="N276">
            <v>2312039</v>
          </cell>
          <cell r="O276">
            <v>2312039</v>
          </cell>
          <cell r="P276">
            <v>2312039</v>
          </cell>
          <cell r="Q276">
            <v>13872234</v>
          </cell>
          <cell r="R276">
            <v>2312039</v>
          </cell>
          <cell r="S276">
            <v>2312039</v>
          </cell>
          <cell r="T276">
            <v>2312039</v>
          </cell>
          <cell r="U276">
            <v>2312039</v>
          </cell>
          <cell r="V276">
            <v>10027791</v>
          </cell>
          <cell r="W276">
            <v>16367871</v>
          </cell>
          <cell r="X276">
            <v>7586314</v>
          </cell>
          <cell r="Y276">
            <v>57102366</v>
          </cell>
        </row>
        <row r="277">
          <cell r="V277" t="str">
            <v xml:space="preserve"> </v>
          </cell>
        </row>
        <row r="278">
          <cell r="A278">
            <v>4020</v>
          </cell>
          <cell r="C278" t="str">
            <v>Pisarniški in splošni material in storitve</v>
          </cell>
          <cell r="D278">
            <v>18145112.736809999</v>
          </cell>
          <cell r="E278">
            <v>16756828</v>
          </cell>
          <cell r="F278">
            <v>1388284.7368099988</v>
          </cell>
          <cell r="G278">
            <v>124.35729064661246</v>
          </cell>
          <cell r="H278">
            <v>14.194022632334665</v>
          </cell>
          <cell r="I278">
            <v>173513.73673788004</v>
          </cell>
          <cell r="J278">
            <v>698154.99899992009</v>
          </cell>
          <cell r="K278">
            <v>1519758.0049698206</v>
          </cell>
          <cell r="L278">
            <v>2391426.740707621</v>
          </cell>
          <cell r="N278">
            <v>1488041.2803687202</v>
          </cell>
          <cell r="O278">
            <v>1529666.0425169196</v>
          </cell>
          <cell r="P278">
            <v>1742124.4092544608</v>
          </cell>
          <cell r="Q278">
            <v>7151258.4728477215</v>
          </cell>
          <cell r="R278">
            <v>1690926.9748740604</v>
          </cell>
          <cell r="S278">
            <v>1432199.9367845403</v>
          </cell>
          <cell r="T278">
            <v>1310084.5367486798</v>
          </cell>
          <cell r="U278">
            <v>1829606.2362562597</v>
          </cell>
          <cell r="V278">
            <v>1403155.3727699202</v>
          </cell>
          <cell r="W278">
            <v>2479400</v>
          </cell>
          <cell r="X278">
            <v>2263800</v>
          </cell>
          <cell r="Y278">
            <v>19560431.530281182</v>
          </cell>
          <cell r="Z278" t="str">
            <v xml:space="preserve"> </v>
          </cell>
          <cell r="AA278">
            <v>107.8</v>
          </cell>
          <cell r="AB278">
            <v>0</v>
          </cell>
        </row>
        <row r="279">
          <cell r="C279" t="str">
            <v xml:space="preserve">                                 - dinamizirani sprejeti proračun</v>
          </cell>
          <cell r="D279">
            <v>5624183</v>
          </cell>
          <cell r="I279">
            <v>180059</v>
          </cell>
          <cell r="J279">
            <v>180059</v>
          </cell>
          <cell r="K279">
            <v>180059</v>
          </cell>
          <cell r="N279">
            <v>180059</v>
          </cell>
          <cell r="O279">
            <v>180059</v>
          </cell>
          <cell r="P279">
            <v>180059</v>
          </cell>
          <cell r="Q279">
            <v>1080354</v>
          </cell>
          <cell r="R279">
            <v>180059</v>
          </cell>
          <cell r="S279">
            <v>180059</v>
          </cell>
          <cell r="T279">
            <v>180059</v>
          </cell>
          <cell r="U279">
            <v>180059</v>
          </cell>
          <cell r="V279">
            <v>1582137</v>
          </cell>
          <cell r="W279">
            <v>2253461</v>
          </cell>
          <cell r="X279">
            <v>1390073</v>
          </cell>
          <cell r="Y279">
            <v>7026261</v>
          </cell>
        </row>
        <row r="280">
          <cell r="A280">
            <v>402000</v>
          </cell>
          <cell r="C280" t="str">
            <v>Pisarniški material in storitve</v>
          </cell>
          <cell r="D280">
            <v>2528251.3831989914</v>
          </cell>
          <cell r="G280">
            <v>116.59240998505436</v>
          </cell>
          <cell r="H280">
            <v>7.0637373600131781</v>
          </cell>
          <cell r="I280">
            <v>59453.920302700011</v>
          </cell>
          <cell r="J280">
            <v>126822.51029909999</v>
          </cell>
          <cell r="K280">
            <v>235299.31766880027</v>
          </cell>
          <cell r="N280">
            <v>224108.13858663983</v>
          </cell>
          <cell r="O280">
            <v>201653.74851621999</v>
          </cell>
          <cell r="P280">
            <v>273376.51116622024</v>
          </cell>
          <cell r="Q280">
            <v>1120714.1465396804</v>
          </cell>
          <cell r="R280">
            <v>252519.58895393982</v>
          </cell>
          <cell r="S280">
            <v>179571.81462527989</v>
          </cell>
          <cell r="T280">
            <v>144463.40021652001</v>
          </cell>
          <cell r="U280">
            <v>194405.57421669993</v>
          </cell>
          <cell r="V280">
            <v>190344.27239828015</v>
          </cell>
          <cell r="W280">
            <v>336341.64693583176</v>
          </cell>
          <cell r="X280">
            <v>307094.54720228113</v>
          </cell>
          <cell r="Y280">
            <v>2725454.9910885133</v>
          </cell>
          <cell r="AA280" t="str">
            <v xml:space="preserve"> </v>
          </cell>
          <cell r="AB280" t="str">
            <v xml:space="preserve"> </v>
          </cell>
        </row>
        <row r="281">
          <cell r="A281">
            <v>402001</v>
          </cell>
          <cell r="C281" t="str">
            <v>Čistilni material in storitve</v>
          </cell>
          <cell r="D281">
            <v>1616727.9324618867</v>
          </cell>
          <cell r="G281">
            <v>113.93469645982263</v>
          </cell>
          <cell r="H281">
            <v>4.6232290723807239</v>
          </cell>
          <cell r="I281">
            <v>37794.810394880005</v>
          </cell>
          <cell r="J281">
            <v>71983.86957915996</v>
          </cell>
          <cell r="K281">
            <v>115269.86982896004</v>
          </cell>
          <cell r="N281">
            <v>140666.49357221994</v>
          </cell>
          <cell r="O281">
            <v>141364.33100790001</v>
          </cell>
          <cell r="P281">
            <v>130226.69345840001</v>
          </cell>
          <cell r="Q281">
            <v>637306.06784151995</v>
          </cell>
          <cell r="R281">
            <v>127093.71324803999</v>
          </cell>
          <cell r="S281">
            <v>144959.27952659997</v>
          </cell>
          <cell r="T281">
            <v>117825.38433666</v>
          </cell>
          <cell r="U281">
            <v>153443.86013725991</v>
          </cell>
          <cell r="V281">
            <v>128346.00103247994</v>
          </cell>
          <cell r="W281">
            <v>226789.62083275325</v>
          </cell>
          <cell r="X281">
            <v>207068.78423860081</v>
          </cell>
          <cell r="Y281">
            <v>1742832.7111939138</v>
          </cell>
          <cell r="AA281" t="str">
            <v xml:space="preserve"> </v>
          </cell>
          <cell r="AB281" t="str">
            <v xml:space="preserve"> </v>
          </cell>
        </row>
        <row r="282">
          <cell r="A282">
            <v>402002</v>
          </cell>
          <cell r="C282" t="str">
            <v>Storitve varovanja zgradb in prostorov</v>
          </cell>
          <cell r="D282">
            <v>741136.06941092224</v>
          </cell>
          <cell r="G282">
            <v>167.10012814107537</v>
          </cell>
          <cell r="H282">
            <v>53.443643839371333</v>
          </cell>
          <cell r="I282">
            <v>7919.0086975999993</v>
          </cell>
          <cell r="J282">
            <v>29847.8468288</v>
          </cell>
          <cell r="K282">
            <v>63253.998875760029</v>
          </cell>
          <cell r="N282">
            <v>40795.332681179978</v>
          </cell>
          <cell r="O282">
            <v>51392.895410780009</v>
          </cell>
          <cell r="P282">
            <v>134553.87106238006</v>
          </cell>
          <cell r="Q282">
            <v>327762.95355650008</v>
          </cell>
          <cell r="R282">
            <v>53927.764612260027</v>
          </cell>
          <cell r="S282">
            <v>65557.465276380011</v>
          </cell>
          <cell r="T282">
            <v>49017.664351040017</v>
          </cell>
          <cell r="U282">
            <v>79920.008850220038</v>
          </cell>
          <cell r="V282">
            <v>50853.753944840013</v>
          </cell>
          <cell r="W282">
            <v>89859.469576724616</v>
          </cell>
          <cell r="X282">
            <v>82045.602657009411</v>
          </cell>
          <cell r="Y282">
            <v>798944.68282497418</v>
          </cell>
        </row>
        <row r="283">
          <cell r="A283">
            <v>402003</v>
          </cell>
          <cell r="C283" t="str">
            <v>Založniške in tiskarske storitve</v>
          </cell>
          <cell r="D283">
            <v>1033417.5239765962</v>
          </cell>
          <cell r="G283">
            <v>138.35171827952433</v>
          </cell>
          <cell r="H283">
            <v>27.04473671214356</v>
          </cell>
          <cell r="I283">
            <v>6979.1205591799999</v>
          </cell>
          <cell r="J283">
            <v>45339.97451367999</v>
          </cell>
          <cell r="K283">
            <v>97820.352939539967</v>
          </cell>
          <cell r="N283">
            <v>69687.324865620001</v>
          </cell>
          <cell r="O283">
            <v>115195.16848224001</v>
          </cell>
          <cell r="P283">
            <v>63953.505357280002</v>
          </cell>
          <cell r="Q283">
            <v>398975.44671753998</v>
          </cell>
          <cell r="R283">
            <v>84193.144815780048</v>
          </cell>
          <cell r="S283">
            <v>66414.858138860029</v>
          </cell>
          <cell r="T283">
            <v>67965.203749520006</v>
          </cell>
          <cell r="U283">
            <v>78209.482130780001</v>
          </cell>
          <cell r="V283">
            <v>95486.20065446003</v>
          </cell>
          <cell r="W283">
            <v>168725.78083445691</v>
          </cell>
          <cell r="X283">
            <v>154053.97380537368</v>
          </cell>
          <cell r="Y283">
            <v>1114024.0908467707</v>
          </cell>
        </row>
        <row r="284">
          <cell r="A284">
            <v>402004</v>
          </cell>
          <cell r="C284" t="str">
            <v>Časopisi, revije, knjige in strokovna literatura</v>
          </cell>
          <cell r="D284">
            <v>1284456.3087794862</v>
          </cell>
          <cell r="G284">
            <v>118.40842338915031</v>
          </cell>
          <cell r="H284">
            <v>8.7313346089534605</v>
          </cell>
          <cell r="I284">
            <v>28237.932328760013</v>
          </cell>
          <cell r="J284">
            <v>71733.65905243998</v>
          </cell>
          <cell r="K284">
            <v>163231.85677876015</v>
          </cell>
          <cell r="N284">
            <v>164766.32395608001</v>
          </cell>
          <cell r="O284">
            <v>84754.330476199932</v>
          </cell>
          <cell r="P284">
            <v>108022.58144061991</v>
          </cell>
          <cell r="Q284">
            <v>620746.68403285998</v>
          </cell>
          <cell r="R284">
            <v>94544.201533320025</v>
          </cell>
          <cell r="S284">
            <v>101382.85765761993</v>
          </cell>
          <cell r="T284">
            <v>63618.043593719944</v>
          </cell>
          <cell r="U284">
            <v>89260.343278259868</v>
          </cell>
          <cell r="V284">
            <v>94761.564052539907</v>
          </cell>
          <cell r="W284">
            <v>167445.33532880057</v>
          </cell>
          <cell r="X284">
            <v>152884.87138716577</v>
          </cell>
          <cell r="Y284">
            <v>1384643.9008642859</v>
          </cell>
        </row>
        <row r="285">
          <cell r="A285">
            <v>402005</v>
          </cell>
          <cell r="C285" t="str">
            <v>Stroški prevajalskih storitev</v>
          </cell>
          <cell r="D285">
            <v>401394.87487832911</v>
          </cell>
          <cell r="G285">
            <v>125.66024285501753</v>
          </cell>
          <cell r="H285">
            <v>15.390489306719488</v>
          </cell>
          <cell r="I285">
            <v>1319.6159130000003</v>
          </cell>
          <cell r="J285">
            <v>16465.852346019994</v>
          </cell>
          <cell r="K285">
            <v>29295.631260280017</v>
          </cell>
          <cell r="N285">
            <v>33193.965555519993</v>
          </cell>
          <cell r="O285">
            <v>32170.524159620003</v>
          </cell>
          <cell r="P285">
            <v>31677.989678720016</v>
          </cell>
          <cell r="Q285">
            <v>144123.57891316005</v>
          </cell>
          <cell r="R285">
            <v>40432.783936160013</v>
          </cell>
          <cell r="S285">
            <v>38392.55799917999</v>
          </cell>
          <cell r="T285">
            <v>26466.408952059999</v>
          </cell>
          <cell r="U285">
            <v>25990.336522919999</v>
          </cell>
          <cell r="V285">
            <v>35909.662357800007</v>
          </cell>
          <cell r="W285">
            <v>63452.999274178452</v>
          </cell>
          <cell r="X285">
            <v>57935.347163380327</v>
          </cell>
          <cell r="Y285">
            <v>432703.6751188389</v>
          </cell>
        </row>
        <row r="286">
          <cell r="A286">
            <v>402006</v>
          </cell>
          <cell r="C286" t="str">
            <v>Stroški oglaševalskih storitev</v>
          </cell>
          <cell r="D286">
            <v>1198077.8480822302</v>
          </cell>
          <cell r="G286">
            <v>178.68152501551577</v>
          </cell>
          <cell r="H286">
            <v>64.078535367783076</v>
          </cell>
          <cell r="I286">
            <v>2703.1929293600001</v>
          </cell>
          <cell r="J286">
            <v>29326.823492120006</v>
          </cell>
          <cell r="K286">
            <v>47535.417725179985</v>
          </cell>
          <cell r="N286">
            <v>165771.96144894007</v>
          </cell>
          <cell r="O286">
            <v>79518.65628784</v>
          </cell>
          <cell r="P286">
            <v>73918.999840839984</v>
          </cell>
          <cell r="Q286">
            <v>398775.05172428006</v>
          </cell>
          <cell r="R286">
            <v>108451.84477050001</v>
          </cell>
          <cell r="S286">
            <v>74164.967618280032</v>
          </cell>
          <cell r="T286">
            <v>56066.111855599986</v>
          </cell>
          <cell r="U286">
            <v>98740.019943179941</v>
          </cell>
          <cell r="V286">
            <v>126776.6212189401</v>
          </cell>
          <cell r="W286">
            <v>224016.49934870168</v>
          </cell>
          <cell r="X286">
            <v>204536.80375316238</v>
          </cell>
          <cell r="Y286">
            <v>1291527.9202326443</v>
          </cell>
        </row>
        <row r="287">
          <cell r="A287">
            <v>402007</v>
          </cell>
          <cell r="C287" t="str">
            <v>Računalniške storitve</v>
          </cell>
          <cell r="D287">
            <v>1965453.1562450489</v>
          </cell>
          <cell r="G287">
            <v>129.59442947799673</v>
          </cell>
          <cell r="H287">
            <v>19.003149199262353</v>
          </cell>
          <cell r="I287">
            <v>6075.8069449000004</v>
          </cell>
          <cell r="J287">
            <v>44458.930622260021</v>
          </cell>
          <cell r="K287">
            <v>169374.35620952011</v>
          </cell>
          <cell r="N287">
            <v>95598.02561539998</v>
          </cell>
          <cell r="O287">
            <v>143315.08617888004</v>
          </cell>
          <cell r="P287">
            <v>307046.97130646004</v>
          </cell>
          <cell r="Q287">
            <v>765869.17687742016</v>
          </cell>
          <cell r="R287">
            <v>215458.24805582003</v>
          </cell>
          <cell r="S287">
            <v>181265.67002082005</v>
          </cell>
          <cell r="T287">
            <v>110430.861156</v>
          </cell>
          <cell r="U287">
            <v>169610.86944185992</v>
          </cell>
          <cell r="V287">
            <v>154352.70372983997</v>
          </cell>
          <cell r="W287">
            <v>272743.91778316488</v>
          </cell>
          <cell r="X287">
            <v>249027.05536723748</v>
          </cell>
          <cell r="Y287">
            <v>2118758.5024321624</v>
          </cell>
        </row>
        <row r="288">
          <cell r="A288">
            <v>402008</v>
          </cell>
          <cell r="C288" t="str">
            <v>Računovodske, knjigovodske in revizorske storitve</v>
          </cell>
          <cell r="D288">
            <v>261654.0747510611</v>
          </cell>
          <cell r="G288">
            <v>385.14174551448639</v>
          </cell>
          <cell r="H288">
            <v>253.66551470568078</v>
          </cell>
          <cell r="I288">
            <v>0</v>
          </cell>
          <cell r="J288">
            <v>9049.1748100600016</v>
          </cell>
          <cell r="K288">
            <v>8213.682886640001</v>
          </cell>
          <cell r="N288">
            <v>24926.427470559993</v>
          </cell>
          <cell r="O288">
            <v>15464.236806480001</v>
          </cell>
          <cell r="P288">
            <v>6972.4506713400015</v>
          </cell>
          <cell r="Q288">
            <v>64625.972645080001</v>
          </cell>
          <cell r="R288">
            <v>87057.002132100024</v>
          </cell>
          <cell r="S288">
            <v>9505.9332090800017</v>
          </cell>
          <cell r="T288">
            <v>9961.1026576600034</v>
          </cell>
          <cell r="U288">
            <v>74783.342655560031</v>
          </cell>
          <cell r="V288">
            <v>8248.0811336000024</v>
          </cell>
          <cell r="W288">
            <v>14574.503123112898</v>
          </cell>
          <cell r="X288">
            <v>13307.155025450907</v>
          </cell>
          <cell r="Y288">
            <v>282063.0925816439</v>
          </cell>
        </row>
        <row r="289">
          <cell r="A289">
            <v>402009</v>
          </cell>
          <cell r="C289" t="str">
            <v>Izdatki za reprezentanco</v>
          </cell>
          <cell r="D289">
            <v>799912.14898176456</v>
          </cell>
          <cell r="G289">
            <v>99.927265060580282</v>
          </cell>
          <cell r="H289">
            <v>-8.2394260233422614</v>
          </cell>
          <cell r="I289">
            <v>9883.1767865599995</v>
          </cell>
          <cell r="J289">
            <v>55393.478674380014</v>
          </cell>
          <cell r="K289">
            <v>74234.923738360041</v>
          </cell>
          <cell r="N289">
            <v>62091.462439160045</v>
          </cell>
          <cell r="O289">
            <v>68293.203995939941</v>
          </cell>
          <cell r="P289">
            <v>53589.815881140006</v>
          </cell>
          <cell r="Q289">
            <v>323486.06151554006</v>
          </cell>
          <cell r="R289">
            <v>71496.648269199955</v>
          </cell>
          <cell r="S289">
            <v>45692.772985860058</v>
          </cell>
          <cell r="T289">
            <v>38446.28229595998</v>
          </cell>
          <cell r="U289">
            <v>63878.421201979974</v>
          </cell>
          <cell r="V289">
            <v>72894.366489560023</v>
          </cell>
          <cell r="W289">
            <v>128805.61610039938</v>
          </cell>
          <cell r="X289">
            <v>117605.12774384291</v>
          </cell>
          <cell r="Y289">
            <v>862305.29660234239</v>
          </cell>
        </row>
        <row r="290">
          <cell r="A290">
            <v>402010</v>
          </cell>
          <cell r="C290" t="str">
            <v>Hrana, storitve menz in restavracij</v>
          </cell>
          <cell r="D290">
            <v>2281135.0012246491</v>
          </cell>
          <cell r="G290">
            <v>100.64557220800987</v>
          </cell>
          <cell r="H290">
            <v>-7.5798235004500754</v>
          </cell>
          <cell r="I290">
            <v>-23076.359601679997</v>
          </cell>
          <cell r="J290">
            <v>34882.070855940015</v>
          </cell>
          <cell r="K290">
            <v>243608.20157057999</v>
          </cell>
          <cell r="N290">
            <v>223274.51621706001</v>
          </cell>
          <cell r="O290">
            <v>193742.90979735999</v>
          </cell>
          <cell r="P290">
            <v>216360.17634308003</v>
          </cell>
          <cell r="Q290">
            <v>888791.51518233994</v>
          </cell>
          <cell r="R290">
            <v>240162.82934643998</v>
          </cell>
          <cell r="S290">
            <v>237639.80564016002</v>
          </cell>
          <cell r="T290">
            <v>196460.08192888001</v>
          </cell>
          <cell r="U290">
            <v>183111.18806134001</v>
          </cell>
          <cell r="V290">
            <v>162747.96269424006</v>
          </cell>
          <cell r="W290">
            <v>287578.48669853958</v>
          </cell>
          <cell r="X290">
            <v>262571.66176823177</v>
          </cell>
          <cell r="Y290">
            <v>2459063.5313201714</v>
          </cell>
        </row>
        <row r="291">
          <cell r="A291">
            <v>402099</v>
          </cell>
          <cell r="C291" t="str">
            <v>Drugi splošni materiali in storitve</v>
          </cell>
          <cell r="D291">
            <v>4033496.4148190357</v>
          </cell>
          <cell r="G291">
            <v>130.66378666835675</v>
          </cell>
          <cell r="H291">
            <v>19.985111724845495</v>
          </cell>
          <cell r="I291">
            <v>36223.511482620001</v>
          </cell>
          <cell r="J291">
            <v>162850.80792596014</v>
          </cell>
          <cell r="K291">
            <v>272620.39548744011</v>
          </cell>
          <cell r="N291">
            <v>243161.3079603402</v>
          </cell>
          <cell r="O291">
            <v>402800.95139745972</v>
          </cell>
          <cell r="P291">
            <v>342424.84304798028</v>
          </cell>
          <cell r="Q291">
            <v>1460081.8173018005</v>
          </cell>
          <cell r="R291">
            <v>315589.20520050026</v>
          </cell>
          <cell r="S291">
            <v>287651.95408642024</v>
          </cell>
          <cell r="T291">
            <v>429363.99165505974</v>
          </cell>
          <cell r="U291">
            <v>618252.78981620003</v>
          </cell>
          <cell r="V291">
            <v>282434.18306334002</v>
          </cell>
          <cell r="W291">
            <v>499066.12416333624</v>
          </cell>
          <cell r="X291">
            <v>455669.06988826348</v>
          </cell>
          <cell r="Y291">
            <v>4348109.1351749199</v>
          </cell>
        </row>
        <row r="292">
          <cell r="Q292" t="str">
            <v xml:space="preserve"> </v>
          </cell>
        </row>
        <row r="293">
          <cell r="A293">
            <v>4021</v>
          </cell>
          <cell r="C293" t="str">
            <v>Posebni materiali in storitve</v>
          </cell>
          <cell r="D293">
            <v>16215189.584850002</v>
          </cell>
          <cell r="E293">
            <v>18708494</v>
          </cell>
          <cell r="F293">
            <v>-2493304.4151499979</v>
          </cell>
          <cell r="G293">
            <v>99.408707003780876</v>
          </cell>
          <cell r="H293">
            <v>-8.7156042205868971</v>
          </cell>
          <cell r="I293">
            <v>672791.96791422018</v>
          </cell>
          <cell r="J293">
            <v>475800.37698578002</v>
          </cell>
          <cell r="K293">
            <v>1300983.0387292202</v>
          </cell>
          <cell r="L293">
            <v>2449575.3836292205</v>
          </cell>
          <cell r="N293">
            <v>2421270.36289754</v>
          </cell>
          <cell r="O293">
            <v>643003.75192746008</v>
          </cell>
          <cell r="P293">
            <v>1566642.4473530594</v>
          </cell>
          <cell r="Q293">
            <v>7080491.94580728</v>
          </cell>
          <cell r="R293">
            <v>1068981.8027919801</v>
          </cell>
          <cell r="S293">
            <v>710897.65513998002</v>
          </cell>
          <cell r="T293">
            <v>816784.05379955994</v>
          </cell>
          <cell r="U293">
            <v>3001746.2595843798</v>
          </cell>
          <cell r="V293">
            <v>684069.9193451202</v>
          </cell>
          <cell r="W293">
            <v>3557400</v>
          </cell>
          <cell r="X293">
            <v>559602.7359999998</v>
          </cell>
          <cell r="Y293">
            <v>17479974.3724683</v>
          </cell>
          <cell r="Z293" t="str">
            <v xml:space="preserve"> </v>
          </cell>
          <cell r="AA293">
            <v>107.8</v>
          </cell>
          <cell r="AB293">
            <v>0</v>
          </cell>
        </row>
        <row r="294">
          <cell r="C294" t="str">
            <v xml:space="preserve">                                 - dinamizirani sprejeti proračun</v>
          </cell>
          <cell r="D294">
            <v>9744302</v>
          </cell>
          <cell r="I294">
            <v>530629</v>
          </cell>
          <cell r="J294">
            <v>530629</v>
          </cell>
          <cell r="K294">
            <v>530629</v>
          </cell>
          <cell r="N294">
            <v>530629</v>
          </cell>
          <cell r="O294">
            <v>530629</v>
          </cell>
          <cell r="P294">
            <v>530629</v>
          </cell>
          <cell r="Q294">
            <v>3183774</v>
          </cell>
          <cell r="R294">
            <v>530629</v>
          </cell>
          <cell r="S294">
            <v>530629</v>
          </cell>
          <cell r="T294">
            <v>530629</v>
          </cell>
          <cell r="U294">
            <v>530629</v>
          </cell>
          <cell r="V294">
            <v>1242384</v>
          </cell>
          <cell r="W294">
            <v>3446121</v>
          </cell>
          <cell r="X294">
            <v>461262</v>
          </cell>
          <cell r="Y294">
            <v>10456057</v>
          </cell>
        </row>
        <row r="295">
          <cell r="A295">
            <v>402100</v>
          </cell>
          <cell r="C295" t="str">
            <v>Uniforme in službena obleka</v>
          </cell>
          <cell r="D295">
            <v>895902.36870982812</v>
          </cell>
          <cell r="G295">
            <v>98.796428075628043</v>
          </cell>
          <cell r="H295">
            <v>-9.2778438240330274</v>
          </cell>
          <cell r="I295">
            <v>0</v>
          </cell>
          <cell r="J295">
            <v>54098.624205780019</v>
          </cell>
          <cell r="K295">
            <v>38576.662504380001</v>
          </cell>
          <cell r="N295">
            <v>33244.945663159997</v>
          </cell>
          <cell r="O295">
            <v>11050.323279380002</v>
          </cell>
          <cell r="P295">
            <v>15694.33083988</v>
          </cell>
          <cell r="Q295">
            <v>152664.88649258006</v>
          </cell>
          <cell r="R295">
            <v>63654.892242479997</v>
          </cell>
          <cell r="S295">
            <v>103294.43143096002</v>
          </cell>
          <cell r="T295">
            <v>146909.46167589998</v>
          </cell>
          <cell r="U295">
            <v>99264.701214140019</v>
          </cell>
          <cell r="V295">
            <v>136486.14228480001</v>
          </cell>
          <cell r="W295">
            <v>165462.37002947621</v>
          </cell>
          <cell r="X295">
            <v>98045.868098858555</v>
          </cell>
          <cell r="Y295">
            <v>965782.75346919475</v>
          </cell>
          <cell r="AA295" t="str">
            <v xml:space="preserve"> </v>
          </cell>
          <cell r="AB295" t="str">
            <v xml:space="preserve"> </v>
          </cell>
        </row>
        <row r="296">
          <cell r="A296">
            <v>402101</v>
          </cell>
          <cell r="C296" t="str">
            <v>Knjige</v>
          </cell>
          <cell r="D296">
            <v>88871.519210105733</v>
          </cell>
          <cell r="G296">
            <v>26.031887861813868</v>
          </cell>
          <cell r="H296">
            <v>-76.095603432677805</v>
          </cell>
          <cell r="I296">
            <v>355.05797096000003</v>
          </cell>
          <cell r="J296">
            <v>5432.7698440400009</v>
          </cell>
          <cell r="K296">
            <v>16806.508355560003</v>
          </cell>
          <cell r="N296">
            <v>2525.6257826800006</v>
          </cell>
          <cell r="O296">
            <v>20351.189809720003</v>
          </cell>
          <cell r="P296">
            <v>4484.4133041400009</v>
          </cell>
          <cell r="Q296">
            <v>49955.565067100004</v>
          </cell>
          <cell r="R296">
            <v>5899.8664031999997</v>
          </cell>
          <cell r="S296">
            <v>2831.5610292199999</v>
          </cell>
          <cell r="T296">
            <v>22269.942092860005</v>
          </cell>
          <cell r="U296">
            <v>4975.9407174399994</v>
          </cell>
          <cell r="V296">
            <v>3368.0552505600003</v>
          </cell>
          <cell r="W296">
            <v>4083.0988026975842</v>
          </cell>
          <cell r="X296">
            <v>2419.4683454164106</v>
          </cell>
          <cell r="Y296">
            <v>95803.497708494004</v>
          </cell>
          <cell r="AA296" t="str">
            <v xml:space="preserve"> </v>
          </cell>
          <cell r="AB296" t="str">
            <v xml:space="preserve"> </v>
          </cell>
        </row>
        <row r="297">
          <cell r="A297">
            <v>402102</v>
          </cell>
          <cell r="C297" t="str">
            <v>Zdravila, ortopedski pripomočki in sanitetni material</v>
          </cell>
          <cell r="D297">
            <v>241782.30612103533</v>
          </cell>
          <cell r="G297">
            <v>113.31576886135343</v>
          </cell>
          <cell r="H297">
            <v>4.0548841702051703</v>
          </cell>
          <cell r="I297">
            <v>3229.2238886600007</v>
          </cell>
          <cell r="J297">
            <v>18986.168094739998</v>
          </cell>
          <cell r="K297">
            <v>50293.398538460009</v>
          </cell>
          <cell r="N297">
            <v>21151.354670600002</v>
          </cell>
          <cell r="O297">
            <v>8816.7148146</v>
          </cell>
          <cell r="P297">
            <v>24279.463226479995</v>
          </cell>
          <cell r="Q297">
            <v>126756.32323354</v>
          </cell>
          <cell r="R297">
            <v>22826.096619480006</v>
          </cell>
          <cell r="S297">
            <v>22758.753851679998</v>
          </cell>
          <cell r="T297">
            <v>36573.508804140001</v>
          </cell>
          <cell r="U297">
            <v>14856.02505618</v>
          </cell>
          <cell r="V297">
            <v>12580.997934120003</v>
          </cell>
          <cell r="W297">
            <v>15251.964050472467</v>
          </cell>
          <cell r="X297">
            <v>9037.6564488636322</v>
          </cell>
          <cell r="Y297">
            <v>260641.32599847607</v>
          </cell>
          <cell r="AA297" t="str">
            <v xml:space="preserve"> </v>
          </cell>
          <cell r="AB297" t="str">
            <v xml:space="preserve"> </v>
          </cell>
        </row>
        <row r="298">
          <cell r="A298">
            <v>402103</v>
          </cell>
          <cell r="C298" t="str">
            <v>Kmetijski vložki</v>
          </cell>
          <cell r="D298">
            <v>3387.3539784705149</v>
          </cell>
          <cell r="G298">
            <v>110.92618725267151</v>
          </cell>
          <cell r="H298">
            <v>1.8605943550702477</v>
          </cell>
          <cell r="I298">
            <v>0</v>
          </cell>
          <cell r="J298">
            <v>0</v>
          </cell>
          <cell r="K298">
            <v>31.749795000000002</v>
          </cell>
          <cell r="N298">
            <v>134.40917952000004</v>
          </cell>
          <cell r="O298">
            <v>292.25614880000001</v>
          </cell>
          <cell r="P298">
            <v>340.40794018000003</v>
          </cell>
          <cell r="Q298">
            <v>798.82306349999999</v>
          </cell>
          <cell r="R298">
            <v>965.11116085999993</v>
          </cell>
          <cell r="S298">
            <v>1089.0526369800002</v>
          </cell>
          <cell r="T298">
            <v>145.85347546000003</v>
          </cell>
          <cell r="U298">
            <v>98.405122199999994</v>
          </cell>
          <cell r="V298">
            <v>189.14588000000003</v>
          </cell>
          <cell r="W298">
            <v>229.30185484183249</v>
          </cell>
          <cell r="X298">
            <v>135.87439494938252</v>
          </cell>
          <cell r="Y298">
            <v>3651.5675887912153</v>
          </cell>
          <cell r="AA298" t="str">
            <v xml:space="preserve"> </v>
          </cell>
          <cell r="AB298" t="str">
            <v xml:space="preserve"> </v>
          </cell>
        </row>
        <row r="299">
          <cell r="A299">
            <v>402104</v>
          </cell>
          <cell r="C299" t="str">
            <v>Material in oprema za vojsko</v>
          </cell>
          <cell r="D299">
            <v>10839245.646749999</v>
          </cell>
          <cell r="E299" t="str">
            <v xml:space="preserve"> </v>
          </cell>
          <cell r="G299">
            <v>115.47845224978978</v>
          </cell>
          <cell r="H299">
            <v>6.0408193294672117</v>
          </cell>
          <cell r="I299">
            <v>584177.89948826015</v>
          </cell>
          <cell r="J299">
            <v>102862.15626610001</v>
          </cell>
          <cell r="K299">
            <v>615949.41644697997</v>
          </cell>
          <cell r="N299">
            <v>1935259.7017754</v>
          </cell>
          <cell r="O299">
            <v>260441.65889126001</v>
          </cell>
          <cell r="P299">
            <v>1053197.8788546599</v>
          </cell>
          <cell r="Q299">
            <v>4551888.7117226599</v>
          </cell>
          <cell r="R299">
            <v>649819.30175778014</v>
          </cell>
          <cell r="S299">
            <v>255619.77644742001</v>
          </cell>
          <cell r="T299">
            <v>360445.96618184005</v>
          </cell>
          <cell r="U299">
            <v>2623202.4049508199</v>
          </cell>
          <cell r="V299">
            <v>152673.44613598002</v>
          </cell>
          <cell r="W299">
            <v>2913187.2</v>
          </cell>
          <cell r="X299">
            <v>177870</v>
          </cell>
          <cell r="Y299">
            <v>11684706.807196498</v>
          </cell>
          <cell r="Z299" t="str">
            <v xml:space="preserve"> </v>
          </cell>
          <cell r="AA299">
            <v>107.8</v>
          </cell>
          <cell r="AB299">
            <v>0</v>
          </cell>
        </row>
        <row r="300">
          <cell r="A300">
            <v>402105</v>
          </cell>
          <cell r="C300" t="str">
            <v>Material in specialna oprema za policijo</v>
          </cell>
          <cell r="D300">
            <v>71722.732923583229</v>
          </cell>
          <cell r="G300">
            <v>62.029936583754207</v>
          </cell>
          <cell r="H300">
            <v>-43.039544000225703</v>
          </cell>
          <cell r="I300">
            <v>1803.5240654199999</v>
          </cell>
          <cell r="J300">
            <v>2396.5669327600003</v>
          </cell>
          <cell r="K300">
            <v>1422.53480446</v>
          </cell>
          <cell r="N300">
            <v>11277.66079132</v>
          </cell>
          <cell r="O300">
            <v>8927.0536016200003</v>
          </cell>
          <cell r="P300">
            <v>2309.3550187400006</v>
          </cell>
          <cell r="Q300">
            <v>28136.69521432</v>
          </cell>
          <cell r="R300">
            <v>10638.6061243</v>
          </cell>
          <cell r="S300">
            <v>22006.540306520001</v>
          </cell>
          <cell r="T300">
            <v>2818.5161296600004</v>
          </cell>
          <cell r="U300">
            <v>2013.2860809600004</v>
          </cell>
          <cell r="V300">
            <v>3993.4571338200003</v>
          </cell>
          <cell r="W300">
            <v>4841.2745126474556</v>
          </cell>
          <cell r="X300">
            <v>2868.7305893952739</v>
          </cell>
          <cell r="Y300">
            <v>77317.106091622743</v>
          </cell>
        </row>
        <row r="301">
          <cell r="A301">
            <v>402106</v>
          </cell>
          <cell r="C301" t="str">
            <v>Materiali za kazensko poboljševalne domove</v>
          </cell>
          <cell r="D301">
            <v>5261.8112000000001</v>
          </cell>
          <cell r="G301">
            <v>835.46972183703122</v>
          </cell>
          <cell r="H301">
            <v>667.18982721490465</v>
          </cell>
          <cell r="I301">
            <v>0</v>
          </cell>
          <cell r="J301">
            <v>86.286774420000015</v>
          </cell>
          <cell r="K301">
            <v>39.652289599999996</v>
          </cell>
          <cell r="N301">
            <v>108.95179988000001</v>
          </cell>
          <cell r="O301">
            <v>82.174150520000012</v>
          </cell>
          <cell r="P301">
            <v>115.80588558000001</v>
          </cell>
          <cell r="Q301">
            <v>432.87090000000001</v>
          </cell>
          <cell r="R301">
            <v>2725.3874078200001</v>
          </cell>
          <cell r="S301">
            <v>2385.2434375000003</v>
          </cell>
          <cell r="T301">
            <v>50.530883480000007</v>
          </cell>
          <cell r="U301">
            <v>78.199844800000008</v>
          </cell>
          <cell r="V301">
            <v>0</v>
          </cell>
          <cell r="W301">
            <v>0</v>
          </cell>
          <cell r="X301">
            <v>0</v>
          </cell>
          <cell r="Y301">
            <v>5672.2324736</v>
          </cell>
        </row>
        <row r="302">
          <cell r="A302">
            <v>402107</v>
          </cell>
          <cell r="C302" t="str">
            <v>Laboratorijski materiali</v>
          </cell>
          <cell r="D302">
            <v>151832.3239989951</v>
          </cell>
          <cell r="G302">
            <v>402.13017895417727</v>
          </cell>
          <cell r="H302">
            <v>269.26554541246765</v>
          </cell>
          <cell r="I302">
            <v>0</v>
          </cell>
          <cell r="J302">
            <v>6461.4344949000015</v>
          </cell>
          <cell r="K302">
            <v>7395.2729620000009</v>
          </cell>
          <cell r="N302">
            <v>2485.2756821200005</v>
          </cell>
          <cell r="O302">
            <v>773.99253007999994</v>
          </cell>
          <cell r="P302">
            <v>6060.0073888200004</v>
          </cell>
          <cell r="Q302">
            <v>23175.983057920006</v>
          </cell>
          <cell r="R302">
            <v>2397.3869997000006</v>
          </cell>
          <cell r="S302">
            <v>3004.8050940600001</v>
          </cell>
          <cell r="T302">
            <v>2662.1947352000002</v>
          </cell>
          <cell r="U302">
            <v>5127.16167348</v>
          </cell>
          <cell r="V302">
            <v>43439.95710516</v>
          </cell>
          <cell r="W302">
            <v>52662.329935300884</v>
          </cell>
          <cell r="X302">
            <v>31205.426670095825</v>
          </cell>
          <cell r="Y302">
            <v>163675.24527091673</v>
          </cell>
        </row>
        <row r="303">
          <cell r="A303">
            <v>402108</v>
          </cell>
          <cell r="C303" t="str">
            <v>Drobno orodje in naprave</v>
          </cell>
          <cell r="D303">
            <v>64236.445833818827</v>
          </cell>
          <cell r="G303">
            <v>63.779518754924581</v>
          </cell>
          <cell r="H303">
            <v>-41.432948801722148</v>
          </cell>
          <cell r="I303">
            <v>665.83648824000011</v>
          </cell>
          <cell r="J303">
            <v>3178.738442880001</v>
          </cell>
          <cell r="K303">
            <v>3951.8520687800001</v>
          </cell>
          <cell r="N303">
            <v>5289.1467505800019</v>
          </cell>
          <cell r="O303">
            <v>4609.4688716999999</v>
          </cell>
          <cell r="P303">
            <v>4891.4480045199989</v>
          </cell>
          <cell r="Q303">
            <v>22586.490626700001</v>
          </cell>
          <cell r="R303">
            <v>4058.0282450400005</v>
          </cell>
          <cell r="S303">
            <v>5430.5000827000003</v>
          </cell>
          <cell r="T303">
            <v>10353.641405799997</v>
          </cell>
          <cell r="U303">
            <v>4748.6612019000004</v>
          </cell>
          <cell r="V303">
            <v>7530.5809671400002</v>
          </cell>
          <cell r="W303">
            <v>9129.335430419118</v>
          </cell>
          <cell r="X303">
            <v>5409.6506491575883</v>
          </cell>
          <cell r="Y303">
            <v>69246.888608856709</v>
          </cell>
        </row>
        <row r="304">
          <cell r="A304">
            <v>402109</v>
          </cell>
          <cell r="C304" t="str">
            <v>Zaračunljive tiskovine</v>
          </cell>
          <cell r="D304">
            <v>1180629.2275435897</v>
          </cell>
          <cell r="G304">
            <v>99.372724915552709</v>
          </cell>
          <cell r="H304">
            <v>-8.7486456239185486</v>
          </cell>
          <cell r="I304">
            <v>364.05579979999999</v>
          </cell>
          <cell r="J304">
            <v>1168.24477</v>
          </cell>
          <cell r="K304">
            <v>117176.15319871997</v>
          </cell>
          <cell r="N304">
            <v>133711.69423458003</v>
          </cell>
          <cell r="O304">
            <v>125435.09242263999</v>
          </cell>
          <cell r="P304">
            <v>125086.30629879996</v>
          </cell>
          <cell r="Q304">
            <v>502941.54672453995</v>
          </cell>
          <cell r="R304">
            <v>103506.96192298002</v>
          </cell>
          <cell r="S304">
            <v>136399.08886912002</v>
          </cell>
          <cell r="T304">
            <v>109441.42210078004</v>
          </cell>
          <cell r="U304">
            <v>109479.28992307997</v>
          </cell>
          <cell r="V304">
            <v>106102.40472062002</v>
          </cell>
          <cell r="W304">
            <v>128628.11606373332</v>
          </cell>
          <cell r="X304">
            <v>76219.476967136434</v>
          </cell>
          <cell r="Y304">
            <v>1272718.3072919899</v>
          </cell>
        </row>
        <row r="305">
          <cell r="A305">
            <v>402199</v>
          </cell>
          <cell r="C305" t="str">
            <v>Drugi posebni materiali in storitve</v>
          </cell>
          <cell r="D305">
            <v>2672317.8485805732</v>
          </cell>
          <cell r="G305">
            <v>66.511747929826626</v>
          </cell>
          <cell r="H305">
            <v>-38.924014756816696</v>
          </cell>
          <cell r="I305">
            <v>82196.370212880021</v>
          </cell>
          <cell r="J305">
            <v>281129.38716016</v>
          </cell>
          <cell r="K305">
            <v>449339.83776528022</v>
          </cell>
          <cell r="N305">
            <v>276081.59656770003</v>
          </cell>
          <cell r="O305">
            <v>202223.82740714005</v>
          </cell>
          <cell r="P305">
            <v>330183.03059125977</v>
          </cell>
          <cell r="Q305">
            <v>1621154.0497044201</v>
          </cell>
          <cell r="R305">
            <v>202490.16390833992</v>
          </cell>
          <cell r="S305">
            <v>156077.90195382002</v>
          </cell>
          <cell r="T305">
            <v>125113.01631443998</v>
          </cell>
          <cell r="U305">
            <v>137902.18379937997</v>
          </cell>
          <cell r="V305">
            <v>217705.73193292011</v>
          </cell>
          <cell r="W305">
            <v>263925.00932041102</v>
          </cell>
          <cell r="X305">
            <v>156390.58383612678</v>
          </cell>
          <cell r="Y305">
            <v>2880758.6407698574</v>
          </cell>
        </row>
        <row r="306">
          <cell r="Q306" t="str">
            <v xml:space="preserve"> </v>
          </cell>
          <cell r="V306" t="str">
            <v xml:space="preserve"> </v>
          </cell>
        </row>
        <row r="307">
          <cell r="A307">
            <v>4022</v>
          </cell>
          <cell r="C307" t="str">
            <v>Energija, voda, komunalne storitve in komunikacije</v>
          </cell>
          <cell r="D307">
            <v>7928276.7632100005</v>
          </cell>
          <cell r="E307">
            <v>7654163</v>
          </cell>
          <cell r="F307">
            <v>274113.76321000047</v>
          </cell>
          <cell r="G307">
            <v>111.16296940001695</v>
          </cell>
          <cell r="H307">
            <v>2.0780251607134517</v>
          </cell>
          <cell r="I307">
            <v>163301.19316741999</v>
          </cell>
          <cell r="J307">
            <v>592583.79453965987</v>
          </cell>
          <cell r="K307">
            <v>1098595.8167168598</v>
          </cell>
          <cell r="L307">
            <v>1854480.8044239397</v>
          </cell>
          <cell r="N307">
            <v>874461.32424266043</v>
          </cell>
          <cell r="O307">
            <v>727581.30699408019</v>
          </cell>
          <cell r="P307">
            <v>812766.79436106014</v>
          </cell>
          <cell r="Q307">
            <v>4269290.2300217403</v>
          </cell>
          <cell r="R307">
            <v>748696.16046609986</v>
          </cell>
          <cell r="S307">
            <v>560496.90052048012</v>
          </cell>
          <cell r="T307">
            <v>707914.56267994037</v>
          </cell>
          <cell r="U307">
            <v>602865.64018603961</v>
          </cell>
          <cell r="V307">
            <v>583230.66486608004</v>
          </cell>
          <cell r="W307">
            <v>808500</v>
          </cell>
          <cell r="X307">
            <v>265688.19199999998</v>
          </cell>
          <cell r="Y307">
            <v>8546682.3507403806</v>
          </cell>
          <cell r="Z307" t="str">
            <v xml:space="preserve"> </v>
          </cell>
          <cell r="AA307">
            <v>107.8</v>
          </cell>
          <cell r="AB307">
            <v>0</v>
          </cell>
        </row>
        <row r="308">
          <cell r="C308" t="str">
            <v xml:space="preserve">                                 - dinamizirani sprejeti proračun</v>
          </cell>
          <cell r="D308">
            <v>3093807</v>
          </cell>
          <cell r="I308">
            <v>155306</v>
          </cell>
          <cell r="J308">
            <v>155306</v>
          </cell>
          <cell r="K308">
            <v>155306</v>
          </cell>
          <cell r="N308">
            <v>155306</v>
          </cell>
          <cell r="O308">
            <v>155306</v>
          </cell>
          <cell r="P308">
            <v>155306</v>
          </cell>
          <cell r="Q308">
            <v>931836</v>
          </cell>
          <cell r="R308">
            <v>155306</v>
          </cell>
          <cell r="S308">
            <v>155306</v>
          </cell>
          <cell r="T308">
            <v>155306</v>
          </cell>
          <cell r="U308">
            <v>155306</v>
          </cell>
          <cell r="V308">
            <v>633363</v>
          </cell>
          <cell r="W308">
            <v>853455</v>
          </cell>
          <cell r="X308">
            <v>531986</v>
          </cell>
          <cell r="Y308">
            <v>3571864</v>
          </cell>
        </row>
        <row r="309">
          <cell r="A309">
            <v>402200</v>
          </cell>
          <cell r="C309" t="str">
            <v>Električna energija</v>
          </cell>
          <cell r="D309">
            <v>1366246.1587538647</v>
          </cell>
          <cell r="G309">
            <v>109.82567433675308</v>
          </cell>
          <cell r="H309">
            <v>0.85002234779895502</v>
          </cell>
          <cell r="I309">
            <v>30123.312329880002</v>
          </cell>
          <cell r="J309">
            <v>125160.34292916003</v>
          </cell>
          <cell r="K309">
            <v>190409.76405682001</v>
          </cell>
          <cell r="N309">
            <v>159572.79271164013</v>
          </cell>
          <cell r="O309">
            <v>129665.05304368006</v>
          </cell>
          <cell r="P309">
            <v>116100.39570822008</v>
          </cell>
          <cell r="Q309">
            <v>751031.66077940026</v>
          </cell>
          <cell r="R309">
            <v>98442.62003114009</v>
          </cell>
          <cell r="S309">
            <v>88769.173243520097</v>
          </cell>
          <cell r="T309">
            <v>115267.47748824004</v>
          </cell>
          <cell r="U309">
            <v>121752.78570531998</v>
          </cell>
          <cell r="V309">
            <v>104705.0205509001</v>
          </cell>
          <cell r="W309">
            <v>145146.70475161102</v>
          </cell>
          <cell r="X309">
            <v>47697.916586534746</v>
          </cell>
          <cell r="Y309">
            <v>1472813.3591366664</v>
          </cell>
        </row>
        <row r="310">
          <cell r="A310">
            <v>402201</v>
          </cell>
          <cell r="C310" t="str">
            <v>Poraba kuriv in stroški ogrevanja</v>
          </cell>
          <cell r="D310">
            <v>1084527.2157737361</v>
          </cell>
          <cell r="G310">
            <v>109.9643402601445</v>
          </cell>
          <cell r="H310">
            <v>0.97735561078464173</v>
          </cell>
          <cell r="I310">
            <v>34077.814402940006</v>
          </cell>
          <cell r="J310">
            <v>101154.86900134</v>
          </cell>
          <cell r="K310">
            <v>216981.12539642002</v>
          </cell>
          <cell r="N310">
            <v>228708.45104492005</v>
          </cell>
          <cell r="O310">
            <v>117536.44372777996</v>
          </cell>
          <cell r="P310">
            <v>71701.58205209997</v>
          </cell>
          <cell r="Q310">
            <v>770160.28562549991</v>
          </cell>
          <cell r="R310">
            <v>30646.753739140011</v>
          </cell>
          <cell r="S310">
            <v>55661.163581100001</v>
          </cell>
          <cell r="T310">
            <v>43773.759190700002</v>
          </cell>
          <cell r="U310">
            <v>45319.504878339969</v>
          </cell>
          <cell r="V310">
            <v>78668.339492819985</v>
          </cell>
          <cell r="W310">
            <v>109053.51229182951</v>
          </cell>
          <cell r="X310">
            <v>35837.019804657954</v>
          </cell>
          <cell r="Y310">
            <v>1169120.3386040872</v>
          </cell>
        </row>
        <row r="311">
          <cell r="A311">
            <v>402202</v>
          </cell>
          <cell r="C311" t="str">
            <v>Poraba druge energije</v>
          </cell>
          <cell r="D311">
            <v>80344.045198494365</v>
          </cell>
          <cell r="G311">
            <v>64.081639880405945</v>
          </cell>
          <cell r="H311">
            <v>-41.1555189344298</v>
          </cell>
          <cell r="I311">
            <v>5213.4999978599999</v>
          </cell>
          <cell r="J311">
            <v>5018.0047625399993</v>
          </cell>
          <cell r="K311">
            <v>17311.996483319999</v>
          </cell>
          <cell r="N311">
            <v>15980.115463619999</v>
          </cell>
          <cell r="O311">
            <v>14581.337278200001</v>
          </cell>
          <cell r="P311">
            <v>6995.1623526400008</v>
          </cell>
          <cell r="Q311">
            <v>65100.11633818</v>
          </cell>
          <cell r="R311">
            <v>4886.5433416800006</v>
          </cell>
          <cell r="S311">
            <v>2765.9825270000006</v>
          </cell>
          <cell r="T311">
            <v>2720.6710284599999</v>
          </cell>
          <cell r="U311">
            <v>4057.058163619999</v>
          </cell>
          <cell r="V311">
            <v>2491.5670194800009</v>
          </cell>
          <cell r="W311">
            <v>3453.9197895435236</v>
          </cell>
          <cell r="X311">
            <v>1135.0225160134066</v>
          </cell>
          <cell r="Y311">
            <v>86610.880723976908</v>
          </cell>
        </row>
        <row r="312">
          <cell r="A312">
            <v>402203</v>
          </cell>
          <cell r="C312" t="str">
            <v>Voda in komunalne storitve</v>
          </cell>
          <cell r="D312">
            <v>380552.87659793394</v>
          </cell>
          <cell r="G312">
            <v>96.09517922728979</v>
          </cell>
          <cell r="H312">
            <v>-11.758329451524531</v>
          </cell>
          <cell r="I312">
            <v>12087.872666100004</v>
          </cell>
          <cell r="J312">
            <v>20348.267750580013</v>
          </cell>
          <cell r="K312">
            <v>38031.440417740028</v>
          </cell>
          <cell r="N312">
            <v>47158.025750220004</v>
          </cell>
          <cell r="O312">
            <v>36303.957361979999</v>
          </cell>
          <cell r="P312">
            <v>46481.792652679993</v>
          </cell>
          <cell r="Q312">
            <v>200411.35659930002</v>
          </cell>
          <cell r="R312">
            <v>36092.315928900018</v>
          </cell>
          <cell r="S312">
            <v>33994.713765319997</v>
          </cell>
          <cell r="T312">
            <v>34332.287762080035</v>
          </cell>
          <cell r="U312">
            <v>31270.307003319984</v>
          </cell>
          <cell r="V312">
            <v>26087.441189039997</v>
          </cell>
          <cell r="W312">
            <v>36163.558385912125</v>
          </cell>
          <cell r="X312">
            <v>11884.020338700595</v>
          </cell>
          <cell r="Y312">
            <v>410236.00097257283</v>
          </cell>
        </row>
        <row r="313">
          <cell r="A313">
            <v>402204</v>
          </cell>
          <cell r="C313" t="str">
            <v>Odvoz smeti</v>
          </cell>
          <cell r="D313">
            <v>125193.35852767414</v>
          </cell>
          <cell r="G313">
            <v>102.77202202935835</v>
          </cell>
          <cell r="H313">
            <v>-5.6271606709289728</v>
          </cell>
          <cell r="I313">
            <v>4014.4760425000009</v>
          </cell>
          <cell r="J313">
            <v>5590.0537415800063</v>
          </cell>
          <cell r="K313">
            <v>13390.265502460006</v>
          </cell>
          <cell r="N313">
            <v>11938.918442220003</v>
          </cell>
          <cell r="O313">
            <v>13812.10471102</v>
          </cell>
          <cell r="P313">
            <v>12205.575055520001</v>
          </cell>
          <cell r="Q313">
            <v>60951.393495300021</v>
          </cell>
          <cell r="R313">
            <v>11743.532332840001</v>
          </cell>
          <cell r="S313">
            <v>10635.507779819998</v>
          </cell>
          <cell r="T313">
            <v>10215.256260440006</v>
          </cell>
          <cell r="U313">
            <v>13318.263575540001</v>
          </cell>
          <cell r="V313">
            <v>9886.1952081200034</v>
          </cell>
          <cell r="W313">
            <v>13704.678624194687</v>
          </cell>
          <cell r="X313">
            <v>4503.6132165780255</v>
          </cell>
          <cell r="Y313">
            <v>134958.44049283271</v>
          </cell>
        </row>
        <row r="314">
          <cell r="A314">
            <v>402205</v>
          </cell>
          <cell r="C314" t="str">
            <v>Telefon, teleks, faks, elektronska pošta</v>
          </cell>
          <cell r="D314">
            <v>2441402.4934395733</v>
          </cell>
          <cell r="G314">
            <v>112.66385200175128</v>
          </cell>
          <cell r="H314">
            <v>3.4562460989451438</v>
          </cell>
          <cell r="I314">
            <v>56466.570087619977</v>
          </cell>
          <cell r="J314">
            <v>170215.72773897985</v>
          </cell>
          <cell r="K314">
            <v>261349.67139973995</v>
          </cell>
          <cell r="N314">
            <v>220506.83326364012</v>
          </cell>
          <cell r="O314">
            <v>216697.58094291989</v>
          </cell>
          <cell r="P314">
            <v>294603.11291026027</v>
          </cell>
          <cell r="Q314">
            <v>1219839.49634316</v>
          </cell>
          <cell r="R314">
            <v>232610.20514423988</v>
          </cell>
          <cell r="S314">
            <v>211214.25588494001</v>
          </cell>
          <cell r="T314">
            <v>230558.29284642023</v>
          </cell>
          <cell r="U314">
            <v>210100.41796897992</v>
          </cell>
          <cell r="V314">
            <v>185625.71053026011</v>
          </cell>
          <cell r="W314">
            <v>257322.52435350927</v>
          </cell>
          <cell r="X314">
            <v>84560.984856351075</v>
          </cell>
          <cell r="Y314">
            <v>2631831.887927861</v>
          </cell>
        </row>
        <row r="315">
          <cell r="A315">
            <v>402206</v>
          </cell>
          <cell r="C315" t="str">
            <v>Poštnina in kurirske storitve</v>
          </cell>
          <cell r="D315">
            <v>2411406.1757144313</v>
          </cell>
          <cell r="G315">
            <v>115.28654801565762</v>
          </cell>
          <cell r="H315">
            <v>5.86459872879486</v>
          </cell>
          <cell r="I315">
            <v>21317.647640520001</v>
          </cell>
          <cell r="J315">
            <v>164388.34952693994</v>
          </cell>
          <cell r="K315">
            <v>360500.88385695993</v>
          </cell>
          <cell r="N315">
            <v>188044.2379292401</v>
          </cell>
          <cell r="O315">
            <v>189324.25199226019</v>
          </cell>
          <cell r="P315">
            <v>263452.23834621982</v>
          </cell>
          <cell r="Q315">
            <v>1187027.60929214</v>
          </cell>
          <cell r="R315">
            <v>327759.58889211988</v>
          </cell>
          <cell r="S315">
            <v>155313.66443978003</v>
          </cell>
          <cell r="T315">
            <v>268029.9850305001</v>
          </cell>
          <cell r="U315">
            <v>174344.87986915983</v>
          </cell>
          <cell r="V315">
            <v>171377.96700331994</v>
          </cell>
          <cell r="W315">
            <v>237571.67561482685</v>
          </cell>
          <cell r="X315">
            <v>78070.487278310247</v>
          </cell>
          <cell r="Y315">
            <v>2599495.8574201567</v>
          </cell>
        </row>
        <row r="316">
          <cell r="A316">
            <v>402299</v>
          </cell>
          <cell r="C316" t="str">
            <v>Druge storitve komunikacij in komunale</v>
          </cell>
          <cell r="D316">
            <v>38604.439204292234</v>
          </cell>
          <cell r="G316" t="str">
            <v>…</v>
          </cell>
          <cell r="H316" t="str">
            <v>…</v>
          </cell>
          <cell r="I316">
            <v>0</v>
          </cell>
          <cell r="J316">
            <v>708.17908853999995</v>
          </cell>
          <cell r="K316">
            <v>620.66960340000014</v>
          </cell>
          <cell r="N316">
            <v>2551.9496371600003</v>
          </cell>
          <cell r="O316">
            <v>9660.5779362400008</v>
          </cell>
          <cell r="P316">
            <v>1226.9352834199999</v>
          </cell>
          <cell r="Q316">
            <v>14768.311548760001</v>
          </cell>
          <cell r="R316">
            <v>6514.60105604</v>
          </cell>
          <cell r="S316">
            <v>2142.4392989999997</v>
          </cell>
          <cell r="T316">
            <v>3016.8330731000001</v>
          </cell>
          <cell r="U316">
            <v>2702.4230217599998</v>
          </cell>
          <cell r="V316">
            <v>4388.4238721400006</v>
          </cell>
          <cell r="W316">
            <v>6083.4261885730612</v>
          </cell>
          <cell r="X316">
            <v>1999.1274028539615</v>
          </cell>
          <cell r="Y316">
            <v>41615.585462227027</v>
          </cell>
        </row>
        <row r="317">
          <cell r="Q317" t="str">
            <v xml:space="preserve"> </v>
          </cell>
        </row>
        <row r="318">
          <cell r="A318">
            <v>4023</v>
          </cell>
          <cell r="C318" t="str">
            <v>Prevozni stroški in storitve</v>
          </cell>
          <cell r="D318">
            <v>4814563.6945999991</v>
          </cell>
          <cell r="E318">
            <v>4933324</v>
          </cell>
          <cell r="F318">
            <v>-118760.30540000089</v>
          </cell>
          <cell r="G318">
            <v>135.14029512437398</v>
          </cell>
          <cell r="H318">
            <v>24.095771464071603</v>
          </cell>
          <cell r="I318">
            <v>83950.928370540001</v>
          </cell>
          <cell r="J318">
            <v>192577.67757381999</v>
          </cell>
          <cell r="K318">
            <v>503864.99354113993</v>
          </cell>
          <cell r="L318">
            <v>780393.59948550002</v>
          </cell>
          <cell r="N318">
            <v>609989.65848744009</v>
          </cell>
          <cell r="O318">
            <v>420426.80636264017</v>
          </cell>
          <cell r="P318">
            <v>516935.97559142002</v>
          </cell>
          <cell r="Q318">
            <v>2327746.0399270002</v>
          </cell>
          <cell r="R318">
            <v>488836.08666046022</v>
          </cell>
          <cell r="S318">
            <v>436017.55360547983</v>
          </cell>
          <cell r="T318">
            <v>365187.34814561985</v>
          </cell>
          <cell r="U318">
            <v>372210.82679858006</v>
          </cell>
          <cell r="V318">
            <v>420146.16964166</v>
          </cell>
          <cell r="W318">
            <v>571340</v>
          </cell>
          <cell r="X318">
            <v>208615.63799999998</v>
          </cell>
          <cell r="Y318">
            <v>5190099.6627788004</v>
          </cell>
          <cell r="Z318" t="str">
            <v xml:space="preserve"> </v>
          </cell>
          <cell r="AA318">
            <v>107.8</v>
          </cell>
          <cell r="AB318">
            <v>0</v>
          </cell>
        </row>
        <row r="319">
          <cell r="C319" t="str">
            <v xml:space="preserve">                                 - dinamizirani sprejeti proračun</v>
          </cell>
          <cell r="D319">
            <v>1851446</v>
          </cell>
          <cell r="I319">
            <v>77902</v>
          </cell>
          <cell r="J319">
            <v>77902</v>
          </cell>
          <cell r="K319">
            <v>77902</v>
          </cell>
          <cell r="N319">
            <v>77902</v>
          </cell>
          <cell r="O319">
            <v>77902</v>
          </cell>
          <cell r="P319">
            <v>77902</v>
          </cell>
          <cell r="Q319">
            <v>467412</v>
          </cell>
          <cell r="R319">
            <v>77902</v>
          </cell>
          <cell r="S319">
            <v>77902</v>
          </cell>
          <cell r="T319">
            <v>77902</v>
          </cell>
          <cell r="U319">
            <v>77902</v>
          </cell>
          <cell r="V319">
            <v>518602</v>
          </cell>
          <cell r="W319">
            <v>592597</v>
          </cell>
          <cell r="X319">
            <v>401927</v>
          </cell>
          <cell r="Y319">
            <v>2292146</v>
          </cell>
        </row>
        <row r="320">
          <cell r="A320">
            <v>402300</v>
          </cell>
          <cell r="C320" t="str">
            <v>Goriva in maziva za prevozna sredstva</v>
          </cell>
          <cell r="D320">
            <v>1553462.8479367464</v>
          </cell>
          <cell r="G320">
            <v>140.80582576605397</v>
          </cell>
          <cell r="H320">
            <v>29.298278940361769</v>
          </cell>
          <cell r="I320">
            <v>29107.746618719997</v>
          </cell>
          <cell r="J320">
            <v>64846.124306040023</v>
          </cell>
          <cell r="K320">
            <v>110568.2690620201</v>
          </cell>
          <cell r="N320">
            <v>252990.02245132008</v>
          </cell>
          <cell r="O320">
            <v>132845.3286391001</v>
          </cell>
          <cell r="P320">
            <v>195161.26413938004</v>
          </cell>
          <cell r="Q320">
            <v>785518.75521658035</v>
          </cell>
          <cell r="R320">
            <v>164876.29599672009</v>
          </cell>
          <cell r="S320">
            <v>144205.0877544198</v>
          </cell>
          <cell r="T320">
            <v>128532.73793822002</v>
          </cell>
          <cell r="U320">
            <v>131887.41288030005</v>
          </cell>
          <cell r="V320">
            <v>111893.86944890005</v>
          </cell>
          <cell r="W320">
            <v>152160.00523213047</v>
          </cell>
          <cell r="X320">
            <v>55558.785608541737</v>
          </cell>
          <cell r="Y320">
            <v>1674632.9500758124</v>
          </cell>
        </row>
        <row r="321">
          <cell r="A321">
            <v>402301</v>
          </cell>
          <cell r="C321" t="str">
            <v>Vzdrževanje in popravila vozil</v>
          </cell>
          <cell r="D321">
            <v>1436036.7372091669</v>
          </cell>
          <cell r="G321">
            <v>148.6214442869738</v>
          </cell>
          <cell r="H321">
            <v>36.475155451766568</v>
          </cell>
          <cell r="I321">
            <v>11305.237518960001</v>
          </cell>
          <cell r="J321">
            <v>57037.925061039998</v>
          </cell>
          <cell r="K321">
            <v>159228.79522549987</v>
          </cell>
          <cell r="N321">
            <v>152292.49181299994</v>
          </cell>
          <cell r="O321">
            <v>116212.80255200004</v>
          </cell>
          <cell r="P321">
            <v>123939.75342209995</v>
          </cell>
          <cell r="Q321">
            <v>620017.00559259986</v>
          </cell>
          <cell r="R321">
            <v>113261.02483850005</v>
          </cell>
          <cell r="S321">
            <v>102577.78518064003</v>
          </cell>
          <cell r="T321">
            <v>118178.97506337996</v>
          </cell>
          <cell r="U321">
            <v>125693.35663345999</v>
          </cell>
          <cell r="V321">
            <v>163954.94457495984</v>
          </cell>
          <cell r="W321">
            <v>222955.78253956605</v>
          </cell>
          <cell r="X321">
            <v>81408.728288376151</v>
          </cell>
          <cell r="Y321">
            <v>1548047.602711482</v>
          </cell>
        </row>
        <row r="322">
          <cell r="A322">
            <v>402302</v>
          </cell>
          <cell r="C322" t="str">
            <v>Nadomestni deli za vozila</v>
          </cell>
          <cell r="D322">
            <v>646108.65306704375</v>
          </cell>
          <cell r="G322">
            <v>156.1701927437463</v>
          </cell>
          <cell r="H322">
            <v>43.406972216479602</v>
          </cell>
          <cell r="I322">
            <v>7226.0205478999997</v>
          </cell>
          <cell r="J322">
            <v>15073.862822480001</v>
          </cell>
          <cell r="K322">
            <v>130863.06209438</v>
          </cell>
          <cell r="N322">
            <v>103456.22587454</v>
          </cell>
          <cell r="O322">
            <v>64441.412221340011</v>
          </cell>
          <cell r="P322">
            <v>73042.039402639988</v>
          </cell>
          <cell r="Q322">
            <v>394102.62296327995</v>
          </cell>
          <cell r="R322">
            <v>86182.820831799996</v>
          </cell>
          <cell r="S322">
            <v>73226.324127879998</v>
          </cell>
          <cell r="T322">
            <v>23920.851887239995</v>
          </cell>
          <cell r="U322">
            <v>17112.724712160008</v>
          </cell>
          <cell r="V322">
            <v>35695.315360320012</v>
          </cell>
          <cell r="W322">
            <v>48540.634073516099</v>
          </cell>
          <cell r="X322">
            <v>17723.834050077188</v>
          </cell>
          <cell r="Y322">
            <v>696505.12800627341</v>
          </cell>
        </row>
        <row r="323">
          <cell r="A323">
            <v>402303</v>
          </cell>
          <cell r="C323" t="str">
            <v>Najem vozil in selitveni stroški</v>
          </cell>
          <cell r="D323">
            <v>390309.14498604211</v>
          </cell>
          <cell r="G323">
            <v>198.77028537040198</v>
          </cell>
          <cell r="H323">
            <v>82.525514573371879</v>
          </cell>
          <cell r="I323">
            <v>475.42234124000004</v>
          </cell>
          <cell r="J323">
            <v>8418.8950522599971</v>
          </cell>
          <cell r="K323">
            <v>22337.752949820009</v>
          </cell>
          <cell r="N323">
            <v>28014.381227140009</v>
          </cell>
          <cell r="O323">
            <v>25729.067850640007</v>
          </cell>
          <cell r="P323">
            <v>32768.201564560004</v>
          </cell>
          <cell r="Q323">
            <v>117743.72098566004</v>
          </cell>
          <cell r="R323">
            <v>33538.634786580013</v>
          </cell>
          <cell r="S323">
            <v>31657.487757280007</v>
          </cell>
          <cell r="T323">
            <v>26480.520586519997</v>
          </cell>
          <cell r="U323">
            <v>36949.940615279986</v>
          </cell>
          <cell r="V323">
            <v>61050.095520259994</v>
          </cell>
          <cell r="W323">
            <v>83019.587217216773</v>
          </cell>
          <cell r="X323">
            <v>30313.270826156615</v>
          </cell>
          <cell r="Y323">
            <v>420753.25829495344</v>
          </cell>
        </row>
        <row r="324">
          <cell r="A324">
            <v>402304</v>
          </cell>
          <cell r="C324" t="str">
            <v>Pristojbine za registracijo vozil</v>
          </cell>
          <cell r="D324">
            <v>58282.230077073946</v>
          </cell>
          <cell r="G324">
            <v>83.022326668161057</v>
          </cell>
          <cell r="H324">
            <v>-23.762785428685902</v>
          </cell>
          <cell r="I324">
            <v>1960.5537058800003</v>
          </cell>
          <cell r="J324">
            <v>2161.9150614600007</v>
          </cell>
          <cell r="K324">
            <v>4655.0243863199985</v>
          </cell>
          <cell r="N324">
            <v>4850.7885287400004</v>
          </cell>
          <cell r="O324">
            <v>3896.576874960002</v>
          </cell>
          <cell r="P324">
            <v>4963.3862863199993</v>
          </cell>
          <cell r="Q324">
            <v>22488.244843680004</v>
          </cell>
          <cell r="R324">
            <v>5714.2785268800008</v>
          </cell>
          <cell r="S324">
            <v>7279.0606811999996</v>
          </cell>
          <cell r="T324">
            <v>5886.8743256400021</v>
          </cell>
          <cell r="U324">
            <v>5072.5718612800001</v>
          </cell>
          <cell r="V324">
            <v>5737.0341905800033</v>
          </cell>
          <cell r="W324">
            <v>7801.5637206489155</v>
          </cell>
          <cell r="X324">
            <v>2848.61587317679</v>
          </cell>
          <cell r="Y324">
            <v>62828.244023085717</v>
          </cell>
        </row>
        <row r="325">
          <cell r="A325">
            <v>402305</v>
          </cell>
          <cell r="C325" t="str">
            <v>Zavarovalne premije za motorna vozila</v>
          </cell>
          <cell r="D325">
            <v>438453.71156018041</v>
          </cell>
          <cell r="G325">
            <v>88.307145299424619</v>
          </cell>
          <cell r="H325">
            <v>-18.909875758104121</v>
          </cell>
          <cell r="I325">
            <v>25903.111888500003</v>
          </cell>
          <cell r="J325">
            <v>19805.524654299996</v>
          </cell>
          <cell r="K325">
            <v>62348.154182160019</v>
          </cell>
          <cell r="N325">
            <v>42037.130803359985</v>
          </cell>
          <cell r="O325">
            <v>55848.006076940022</v>
          </cell>
          <cell r="P325">
            <v>58437.301288519986</v>
          </cell>
          <cell r="Q325">
            <v>264379.22889378003</v>
          </cell>
          <cell r="R325">
            <v>56293.153564339998</v>
          </cell>
          <cell r="S325">
            <v>45116.734716900006</v>
          </cell>
          <cell r="T325">
            <v>45003.969448899974</v>
          </cell>
          <cell r="U325">
            <v>26075.839785379994</v>
          </cell>
          <cell r="V325">
            <v>12527.757077220002</v>
          </cell>
          <cell r="W325">
            <v>17035.996626135031</v>
          </cell>
          <cell r="X325">
            <v>6220.4209492193913</v>
          </cell>
          <cell r="Y325">
            <v>472653.10106187436</v>
          </cell>
        </row>
        <row r="326">
          <cell r="A326">
            <v>402399</v>
          </cell>
          <cell r="C326" t="str">
            <v>Drugi prevozni stroški</v>
          </cell>
          <cell r="D326">
            <v>291910.36976374651</v>
          </cell>
          <cell r="G326">
            <v>92.276298506675204</v>
          </cell>
          <cell r="H326">
            <v>-15.265106972750047</v>
          </cell>
          <cell r="I326">
            <v>7972.8357493400008</v>
          </cell>
          <cell r="J326">
            <v>25233.430616240006</v>
          </cell>
          <cell r="K326">
            <v>13863.935640940004</v>
          </cell>
          <cell r="N326">
            <v>26348.617789339987</v>
          </cell>
          <cell r="O326">
            <v>21453.612147660002</v>
          </cell>
          <cell r="P326">
            <v>28624.029487900007</v>
          </cell>
          <cell r="Q326">
            <v>123496.46143142</v>
          </cell>
          <cell r="R326">
            <v>28969.878115640011</v>
          </cell>
          <cell r="S326">
            <v>31955.073387160002</v>
          </cell>
          <cell r="T326">
            <v>17183.418895720002</v>
          </cell>
          <cell r="U326">
            <v>29418.980310720002</v>
          </cell>
          <cell r="V326">
            <v>29287.153469420024</v>
          </cell>
          <cell r="W326">
            <v>39826.430590786629</v>
          </cell>
          <cell r="X326">
            <v>14541.982404452114</v>
          </cell>
          <cell r="Y326">
            <v>314679.37860531878</v>
          </cell>
        </row>
        <row r="327">
          <cell r="Q327" t="str">
            <v xml:space="preserve"> </v>
          </cell>
          <cell r="V327" t="str">
            <v xml:space="preserve"> </v>
          </cell>
        </row>
        <row r="328">
          <cell r="A328">
            <v>4024</v>
          </cell>
          <cell r="C328" t="str">
            <v>Izdatki za službena potovanja</v>
          </cell>
          <cell r="D328">
            <v>3015603.53039</v>
          </cell>
          <cell r="E328">
            <v>3712093</v>
          </cell>
          <cell r="F328">
            <v>-696489.46961000003</v>
          </cell>
          <cell r="G328">
            <v>95.303048973155086</v>
          </cell>
          <cell r="H328">
            <v>-12.485721787736381</v>
          </cell>
          <cell r="I328">
            <v>61096.712088719985</v>
          </cell>
          <cell r="J328">
            <v>152153.7851757</v>
          </cell>
          <cell r="K328">
            <v>297750.93470122013</v>
          </cell>
          <cell r="L328">
            <v>511001.43196564011</v>
          </cell>
          <cell r="N328">
            <v>261978.21426238</v>
          </cell>
          <cell r="O328">
            <v>326334.29642351996</v>
          </cell>
          <cell r="P328">
            <v>416735.44850938005</v>
          </cell>
          <cell r="Q328">
            <v>1516049.39116092</v>
          </cell>
          <cell r="R328">
            <v>352201.16875482001</v>
          </cell>
          <cell r="S328">
            <v>203808.06420589998</v>
          </cell>
          <cell r="T328">
            <v>238243.61290883992</v>
          </cell>
          <cell r="U328">
            <v>320706.54341572005</v>
          </cell>
          <cell r="V328">
            <v>324702.85731421999</v>
          </cell>
          <cell r="W328">
            <v>258720</v>
          </cell>
          <cell r="X328">
            <v>36388.968000000001</v>
          </cell>
          <cell r="Y328">
            <v>3250820.6057604202</v>
          </cell>
          <cell r="Z328" t="str">
            <v xml:space="preserve"> </v>
          </cell>
          <cell r="AA328">
            <v>107.8</v>
          </cell>
          <cell r="AB328">
            <v>0</v>
          </cell>
        </row>
        <row r="329">
          <cell r="C329" t="str">
            <v xml:space="preserve">                                 - dinamizirani sprejeti proračun</v>
          </cell>
          <cell r="D329">
            <v>1245625</v>
          </cell>
          <cell r="I329">
            <v>56683</v>
          </cell>
          <cell r="J329">
            <v>56683</v>
          </cell>
          <cell r="K329">
            <v>56683</v>
          </cell>
          <cell r="N329">
            <v>56683</v>
          </cell>
          <cell r="O329">
            <v>56683</v>
          </cell>
          <cell r="P329">
            <v>56683</v>
          </cell>
          <cell r="Q329">
            <v>340098</v>
          </cell>
          <cell r="R329">
            <v>56683</v>
          </cell>
          <cell r="S329">
            <v>56683</v>
          </cell>
          <cell r="T329">
            <v>56683</v>
          </cell>
          <cell r="U329">
            <v>56683</v>
          </cell>
          <cell r="V329">
            <v>418821</v>
          </cell>
          <cell r="W329">
            <v>455235</v>
          </cell>
          <cell r="X329">
            <v>166877</v>
          </cell>
          <cell r="Y329">
            <v>1607763</v>
          </cell>
        </row>
        <row r="330">
          <cell r="A330">
            <v>402400</v>
          </cell>
          <cell r="C330" t="str">
            <v>Dnevnice za službena potovanja v državi</v>
          </cell>
          <cell r="D330">
            <v>513847.21484374313</v>
          </cell>
          <cell r="G330">
            <v>104.63542979857775</v>
          </cell>
          <cell r="H330">
            <v>-3.9160424255484543</v>
          </cell>
          <cell r="I330">
            <v>2838.0576070000011</v>
          </cell>
          <cell r="J330">
            <v>29852.166805999994</v>
          </cell>
          <cell r="K330">
            <v>49012.427125200033</v>
          </cell>
          <cell r="N330">
            <v>48755.875155680013</v>
          </cell>
          <cell r="O330">
            <v>54231.363250679948</v>
          </cell>
          <cell r="P330">
            <v>69398.973567000037</v>
          </cell>
          <cell r="Q330">
            <v>254088.86351156005</v>
          </cell>
          <cell r="R330">
            <v>60830.954451960017</v>
          </cell>
          <cell r="S330">
            <v>30177.287294000012</v>
          </cell>
          <cell r="T330">
            <v>40334.154352799967</v>
          </cell>
          <cell r="U330">
            <v>50784.461344540054</v>
          </cell>
          <cell r="V330">
            <v>61665.950398360044</v>
          </cell>
          <cell r="W330">
            <v>49134.814577946789</v>
          </cell>
          <cell r="X330">
            <v>6910.811670388216</v>
          </cell>
          <cell r="Y330">
            <v>553927.29760155512</v>
          </cell>
        </row>
        <row r="331">
          <cell r="A331">
            <v>402401</v>
          </cell>
          <cell r="C331" t="str">
            <v>Hotelske in restavracijske storitve v državi</v>
          </cell>
          <cell r="D331">
            <v>104712.85814640873</v>
          </cell>
          <cell r="G331">
            <v>45.420686147092617</v>
          </cell>
          <cell r="H331">
            <v>-58.291380948491629</v>
          </cell>
          <cell r="I331">
            <v>1111.7996551199999</v>
          </cell>
          <cell r="J331">
            <v>7755.7123844199969</v>
          </cell>
          <cell r="K331">
            <v>8203.3969124800024</v>
          </cell>
          <cell r="N331">
            <v>6995.6872416200013</v>
          </cell>
          <cell r="O331">
            <v>7921.4451824200014</v>
          </cell>
          <cell r="P331">
            <v>15128.318078720002</v>
          </cell>
          <cell r="Q331">
            <v>47116.359454780002</v>
          </cell>
          <cell r="R331">
            <v>13492.762745000005</v>
          </cell>
          <cell r="S331">
            <v>5076.1542708799998</v>
          </cell>
          <cell r="T331">
            <v>6254.6396204600005</v>
          </cell>
          <cell r="U331">
            <v>16038.8196353</v>
          </cell>
          <cell r="V331">
            <v>13045.348676360003</v>
          </cell>
          <cell r="W331">
            <v>10394.403786480176</v>
          </cell>
          <cell r="X331">
            <v>1461.9728925684367</v>
          </cell>
          <cell r="Y331">
            <v>112880.46108182863</v>
          </cell>
        </row>
        <row r="332">
          <cell r="A332">
            <v>402402</v>
          </cell>
          <cell r="C332" t="str">
            <v>Stroški prevoza v državi</v>
          </cell>
          <cell r="D332">
            <v>181031.64315630033</v>
          </cell>
          <cell r="G332">
            <v>78.580783042800249</v>
          </cell>
          <cell r="H332">
            <v>-27.841337885399213</v>
          </cell>
          <cell r="I332">
            <v>3040.8712118400003</v>
          </cell>
          <cell r="J332">
            <v>10393.345611880002</v>
          </cell>
          <cell r="K332">
            <v>16702.944281100012</v>
          </cell>
          <cell r="N332">
            <v>20033.8178348</v>
          </cell>
          <cell r="O332">
            <v>25306.71049060001</v>
          </cell>
          <cell r="P332">
            <v>18896.4341566</v>
          </cell>
          <cell r="Q332">
            <v>94374.123586820031</v>
          </cell>
          <cell r="R332">
            <v>23936.201421439986</v>
          </cell>
          <cell r="S332">
            <v>9684.8042398800026</v>
          </cell>
          <cell r="T332">
            <v>9664.4593075800021</v>
          </cell>
          <cell r="U332">
            <v>20532.853464200009</v>
          </cell>
          <cell r="V332">
            <v>19362.183388240002</v>
          </cell>
          <cell r="W332">
            <v>15427.594717338123</v>
          </cell>
          <cell r="X332">
            <v>2169.8911969936066</v>
          </cell>
          <cell r="Y332">
            <v>195152.11132249178</v>
          </cell>
        </row>
        <row r="333">
          <cell r="A333">
            <v>402403</v>
          </cell>
          <cell r="C333" t="str">
            <v>Dnevnice za službena potovanja v tujini</v>
          </cell>
          <cell r="D333">
            <v>1159123.1108948914</v>
          </cell>
          <cell r="G333">
            <v>107.35951242316617</v>
          </cell>
          <cell r="H333">
            <v>-1.4145891430981123</v>
          </cell>
          <cell r="I333">
            <v>35686.076803299991</v>
          </cell>
          <cell r="J333">
            <v>60740.630136339998</v>
          </cell>
          <cell r="K333">
            <v>116286.94734888004</v>
          </cell>
          <cell r="N333">
            <v>92451.667834679974</v>
          </cell>
          <cell r="O333">
            <v>139546.18910078003</v>
          </cell>
          <cell r="P333">
            <v>176545.84332462001</v>
          </cell>
          <cell r="Q333">
            <v>621257.35454860015</v>
          </cell>
          <cell r="R333">
            <v>71849.829204999973</v>
          </cell>
          <cell r="S333">
            <v>82676.119980299962</v>
          </cell>
          <cell r="T333">
            <v>135157.53475223994</v>
          </cell>
          <cell r="U333">
            <v>141390.96370937998</v>
          </cell>
          <cell r="V333">
            <v>103309.33707710002</v>
          </cell>
          <cell r="W333">
            <v>82315.849973325108</v>
          </cell>
          <cell r="X333">
            <v>11577.724298748175</v>
          </cell>
          <cell r="Y333">
            <v>1249534.7135446933</v>
          </cell>
        </row>
        <row r="334">
          <cell r="A334">
            <v>402404</v>
          </cell>
          <cell r="C334" t="str">
            <v>Hotelske in restavracijske storitve v tujini</v>
          </cell>
          <cell r="D334">
            <v>223958.33892339378</v>
          </cell>
          <cell r="G334">
            <v>120.21662805164659</v>
          </cell>
          <cell r="H334">
            <v>10.391761296277863</v>
          </cell>
          <cell r="I334">
            <v>14301.022922339998</v>
          </cell>
          <cell r="J334">
            <v>4894.4013580000001</v>
          </cell>
          <cell r="K334">
            <v>12656.727962339999</v>
          </cell>
          <cell r="N334">
            <v>8069.7244597199997</v>
          </cell>
          <cell r="O334">
            <v>14817.450992959999</v>
          </cell>
          <cell r="P334">
            <v>24400.09207328</v>
          </cell>
          <cell r="Q334">
            <v>79139.41976864</v>
          </cell>
          <cell r="R334">
            <v>85205.24517735999</v>
          </cell>
          <cell r="S334">
            <v>14826.521673040004</v>
          </cell>
          <cell r="T334">
            <v>9651.9869338200024</v>
          </cell>
          <cell r="U334">
            <v>9101.1083009000013</v>
          </cell>
          <cell r="V334">
            <v>22789.958696120011</v>
          </cell>
          <cell r="W334">
            <v>18158.81191385485</v>
          </cell>
          <cell r="X334">
            <v>2554.0368956836846</v>
          </cell>
          <cell r="Y334">
            <v>241427.08935941852</v>
          </cell>
        </row>
        <row r="335">
          <cell r="A335">
            <v>402405</v>
          </cell>
          <cell r="C335" t="str">
            <v>Stroški prevoza v tujini</v>
          </cell>
          <cell r="D335">
            <v>773871.08229750022</v>
          </cell>
          <cell r="G335">
            <v>91.5910163534774</v>
          </cell>
          <cell r="H335">
            <v>-15.894383513794864</v>
          </cell>
          <cell r="I335">
            <v>3948.1286891200002</v>
          </cell>
          <cell r="J335">
            <v>37017.555556520005</v>
          </cell>
          <cell r="K335">
            <v>88172.66409952</v>
          </cell>
          <cell r="N335">
            <v>78585.208434040032</v>
          </cell>
          <cell r="O335">
            <v>76689.922238159983</v>
          </cell>
          <cell r="P335">
            <v>106508.57632029998</v>
          </cell>
          <cell r="Q335">
            <v>390922.05533766001</v>
          </cell>
          <cell r="R335">
            <v>85286.704754020058</v>
          </cell>
          <cell r="S335">
            <v>56836.958641539997</v>
          </cell>
          <cell r="T335">
            <v>33842.534478060013</v>
          </cell>
          <cell r="U335">
            <v>76070.18939520001</v>
          </cell>
          <cell r="V335">
            <v>100203.64480895991</v>
          </cell>
          <cell r="W335">
            <v>79841.265332280062</v>
          </cell>
          <cell r="X335">
            <v>11229.673968985189</v>
          </cell>
          <cell r="Y335">
            <v>834233.0267167053</v>
          </cell>
        </row>
        <row r="336">
          <cell r="A336">
            <v>402499</v>
          </cell>
          <cell r="C336" t="str">
            <v>Drugi izdatki za službena potovanja</v>
          </cell>
          <cell r="D336">
            <v>59059.282127762192</v>
          </cell>
          <cell r="G336">
            <v>58.275586918288525</v>
          </cell>
          <cell r="H336">
            <v>-46.487064354188689</v>
          </cell>
          <cell r="I336">
            <v>170.75520000000003</v>
          </cell>
          <cell r="J336">
            <v>1499.97332254</v>
          </cell>
          <cell r="K336">
            <v>6715.8269716999985</v>
          </cell>
          <cell r="N336">
            <v>7086.2333018400041</v>
          </cell>
          <cell r="O336">
            <v>7821.2151679200015</v>
          </cell>
          <cell r="P336">
            <v>5857.2109888600025</v>
          </cell>
          <cell r="Q336">
            <v>29151.214952860006</v>
          </cell>
          <cell r="R336">
            <v>11599.471000039995</v>
          </cell>
          <cell r="S336">
            <v>4530.2181062600002</v>
          </cell>
          <cell r="T336">
            <v>3338.3034638800013</v>
          </cell>
          <cell r="U336">
            <v>6788.1475661999984</v>
          </cell>
          <cell r="V336">
            <v>4326.4342690800004</v>
          </cell>
          <cell r="W336">
            <v>3447.2596987749325</v>
          </cell>
          <cell r="X336">
            <v>484.85707663269426</v>
          </cell>
          <cell r="Y336">
            <v>63665.906133727636</v>
          </cell>
        </row>
        <row r="337">
          <cell r="Q337" t="str">
            <v xml:space="preserve"> </v>
          </cell>
        </row>
        <row r="338">
          <cell r="A338">
            <v>4025</v>
          </cell>
          <cell r="C338" t="str">
            <v>Tekoče vzdrževanje</v>
          </cell>
          <cell r="D338">
            <v>23745712.80446</v>
          </cell>
          <cell r="E338">
            <v>23688949</v>
          </cell>
          <cell r="F338">
            <v>56763.804460000247</v>
          </cell>
          <cell r="G338">
            <v>114.70496922526277</v>
          </cell>
          <cell r="H338">
            <v>5.3305502527665425</v>
          </cell>
          <cell r="I338">
            <v>469611.06682797999</v>
          </cell>
          <cell r="J338">
            <v>484159.29121251998</v>
          </cell>
          <cell r="K338">
            <v>2730227.4818695812</v>
          </cell>
          <cell r="L338">
            <v>3683997.8399100811</v>
          </cell>
          <cell r="N338">
            <v>2506271.2222501803</v>
          </cell>
          <cell r="O338">
            <v>1606482.7044928204</v>
          </cell>
          <cell r="P338">
            <v>2053760.3267381203</v>
          </cell>
          <cell r="Q338">
            <v>9850512.0933912024</v>
          </cell>
          <cell r="R338">
            <v>2140457.3365159607</v>
          </cell>
          <cell r="S338">
            <v>2146638.9874514206</v>
          </cell>
          <cell r="T338">
            <v>2462169.58732206</v>
          </cell>
          <cell r="U338">
            <v>2151969.5079605798</v>
          </cell>
          <cell r="V338">
            <v>2210730.8905666596</v>
          </cell>
          <cell r="W338">
            <v>2587200</v>
          </cell>
          <cell r="X338">
            <v>2048200</v>
          </cell>
          <cell r="Y338">
            <v>25597878.403207883</v>
          </cell>
          <cell r="Z338" t="str">
            <v xml:space="preserve"> </v>
          </cell>
          <cell r="AA338">
            <v>107.8</v>
          </cell>
          <cell r="AB338">
            <v>0</v>
          </cell>
        </row>
        <row r="339">
          <cell r="C339" t="str">
            <v xml:space="preserve">                                 - dinamizirani sprejeti proračun</v>
          </cell>
          <cell r="D339">
            <v>9133517</v>
          </cell>
          <cell r="I339">
            <v>435672</v>
          </cell>
          <cell r="J339">
            <v>435672</v>
          </cell>
          <cell r="K339">
            <v>435672</v>
          </cell>
          <cell r="N339">
            <v>435672</v>
          </cell>
          <cell r="O339">
            <v>435672</v>
          </cell>
          <cell r="P339">
            <v>435672</v>
          </cell>
          <cell r="Q339">
            <v>2614032</v>
          </cell>
          <cell r="R339">
            <v>435672</v>
          </cell>
          <cell r="S339">
            <v>435672</v>
          </cell>
          <cell r="T339">
            <v>435672</v>
          </cell>
          <cell r="U339">
            <v>435672</v>
          </cell>
          <cell r="V339">
            <v>2298620</v>
          </cell>
          <cell r="W339">
            <v>2659973</v>
          </cell>
          <cell r="X339">
            <v>1681152</v>
          </cell>
          <cell r="Y339">
            <v>10996465</v>
          </cell>
        </row>
        <row r="340">
          <cell r="A340">
            <v>402500</v>
          </cell>
          <cell r="C340" t="str">
            <v>Tekoče vzdrževanje poslovnih objektov</v>
          </cell>
          <cell r="D340">
            <v>2122352.4594596573</v>
          </cell>
          <cell r="G340">
            <v>192.89748308863804</v>
          </cell>
          <cell r="H340">
            <v>77.132675012523435</v>
          </cell>
          <cell r="I340">
            <v>37556.084093219994</v>
          </cell>
          <cell r="J340">
            <v>24709.0895513</v>
          </cell>
          <cell r="K340">
            <v>61322.268971040023</v>
          </cell>
          <cell r="N340">
            <v>96703.838759219987</v>
          </cell>
          <cell r="O340">
            <v>90177.137487360043</v>
          </cell>
          <cell r="P340">
            <v>98433.96466134004</v>
          </cell>
          <cell r="Q340">
            <v>408902.38352348009</v>
          </cell>
          <cell r="R340">
            <v>67518.629744720034</v>
          </cell>
          <cell r="S340">
            <v>219023.26358681999</v>
          </cell>
          <cell r="T340">
            <v>900130.3645364804</v>
          </cell>
          <cell r="U340">
            <v>202706.57138424</v>
          </cell>
          <cell r="V340">
            <v>158104.83968663999</v>
          </cell>
          <cell r="W340">
            <v>185028.780745189</v>
          </cell>
          <cell r="X340">
            <v>146481.1180899413</v>
          </cell>
          <cell r="Y340">
            <v>2287895.9512975109</v>
          </cell>
        </row>
        <row r="341">
          <cell r="A341">
            <v>402501</v>
          </cell>
          <cell r="C341" t="str">
            <v>Tekoče vzdrževanje stanovanjskih objektov</v>
          </cell>
          <cell r="D341">
            <v>22261.579219808722</v>
          </cell>
          <cell r="G341">
            <v>19.575918032902472</v>
          </cell>
          <cell r="H341">
            <v>-82.023950383009662</v>
          </cell>
          <cell r="I341">
            <v>0</v>
          </cell>
          <cell r="J341">
            <v>5178.8220961400002</v>
          </cell>
          <cell r="K341">
            <v>801.70482700000002</v>
          </cell>
          <cell r="N341">
            <v>1748.6150574200005</v>
          </cell>
          <cell r="O341">
            <v>2259.47730624</v>
          </cell>
          <cell r="P341">
            <v>5027.0820399799995</v>
          </cell>
          <cell r="Q341">
            <v>15015.701326779999</v>
          </cell>
          <cell r="R341">
            <v>2374.0836473199997</v>
          </cell>
          <cell r="S341">
            <v>1128.2779954600001</v>
          </cell>
          <cell r="T341">
            <v>659.35872156000005</v>
          </cell>
          <cell r="U341">
            <v>1866.3750336000003</v>
          </cell>
          <cell r="V341">
            <v>953.9562755799999</v>
          </cell>
          <cell r="W341">
            <v>1116.4071062253772</v>
          </cell>
          <cell r="X341">
            <v>883.82229242842357</v>
          </cell>
          <cell r="Y341">
            <v>23997.982398953802</v>
          </cell>
        </row>
        <row r="342">
          <cell r="A342">
            <v>402502</v>
          </cell>
          <cell r="C342" t="str">
            <v>Tekoče vzdrževanje počitniških objektov</v>
          </cell>
          <cell r="D342">
            <v>3240.8156203764493</v>
          </cell>
          <cell r="G342">
            <v>15.416931754910273</v>
          </cell>
          <cell r="H342">
            <v>-85.843037874278906</v>
          </cell>
          <cell r="I342">
            <v>0</v>
          </cell>
          <cell r="J342">
            <v>66.139612</v>
          </cell>
          <cell r="K342">
            <v>656.23390140000004</v>
          </cell>
          <cell r="N342">
            <v>50.876102200000005</v>
          </cell>
          <cell r="O342">
            <v>245.82359494000002</v>
          </cell>
          <cell r="P342">
            <v>31.807468000000004</v>
          </cell>
          <cell r="Q342">
            <v>1050.8806785400002</v>
          </cell>
          <cell r="R342">
            <v>27.855153479999998</v>
          </cell>
          <cell r="S342">
            <v>291.03071074000007</v>
          </cell>
          <cell r="T342">
            <v>1283.2211561399999</v>
          </cell>
          <cell r="U342">
            <v>204.54804216000002</v>
          </cell>
          <cell r="V342">
            <v>205.39560888</v>
          </cell>
          <cell r="W342">
            <v>240.37277515859307</v>
          </cell>
          <cell r="X342">
            <v>190.29511366721948</v>
          </cell>
          <cell r="Y342">
            <v>3493.599238765813</v>
          </cell>
        </row>
        <row r="343">
          <cell r="A343">
            <v>402503</v>
          </cell>
          <cell r="C343" t="str">
            <v>Tekoče vzdrževanje drugih objektov</v>
          </cell>
          <cell r="D343">
            <v>15211342.224796701</v>
          </cell>
          <cell r="G343">
            <v>111.06377801739642</v>
          </cell>
          <cell r="H343">
            <v>1.986940328187714</v>
          </cell>
          <cell r="I343">
            <v>333606.36256640003</v>
          </cell>
          <cell r="J343">
            <v>192449.1357866</v>
          </cell>
          <cell r="K343">
            <v>2047727.8710026604</v>
          </cell>
          <cell r="N343">
            <v>1980710.4329089001</v>
          </cell>
          <cell r="O343">
            <v>1076299.0911211001</v>
          </cell>
          <cell r="P343">
            <v>1235903.7605945801</v>
          </cell>
          <cell r="Q343">
            <v>6866696.6539802402</v>
          </cell>
          <cell r="R343">
            <v>1500966.2249505003</v>
          </cell>
          <cell r="S343">
            <v>1327560.7473112601</v>
          </cell>
          <cell r="T343">
            <v>1176442.7377056198</v>
          </cell>
          <cell r="U343">
            <v>1238555.7553476801</v>
          </cell>
          <cell r="V343">
            <v>1384539.7535169201</v>
          </cell>
          <cell r="W343">
            <v>1620315.3742429537</v>
          </cell>
          <cell r="X343">
            <v>1282749.6712756718</v>
          </cell>
          <cell r="Y343">
            <v>16397826.918330846</v>
          </cell>
        </row>
        <row r="344">
          <cell r="A344">
            <v>402504</v>
          </cell>
          <cell r="C344" t="str">
            <v>Zavarovalne premije za objekte</v>
          </cell>
          <cell r="D344">
            <v>297460.85815577442</v>
          </cell>
          <cell r="G344">
            <v>101.06588906322138</v>
          </cell>
          <cell r="H344">
            <v>-7.1938576095304256</v>
          </cell>
          <cell r="I344">
            <v>809.98277822000011</v>
          </cell>
          <cell r="J344">
            <v>5347.7463131399982</v>
          </cell>
          <cell r="K344">
            <v>12953.279412920005</v>
          </cell>
          <cell r="N344">
            <v>62538.317607920013</v>
          </cell>
          <cell r="O344">
            <v>31272.509475900002</v>
          </cell>
          <cell r="P344">
            <v>26858.573386259999</v>
          </cell>
          <cell r="Q344">
            <v>139780.40897436001</v>
          </cell>
          <cell r="R344">
            <v>2585.0892220999995</v>
          </cell>
          <cell r="S344">
            <v>30727.830345520008</v>
          </cell>
          <cell r="T344">
            <v>28951.726633060007</v>
          </cell>
          <cell r="U344">
            <v>56460.381300400004</v>
          </cell>
          <cell r="V344">
            <v>20071.660485799992</v>
          </cell>
          <cell r="W344">
            <v>23489.697561312438</v>
          </cell>
          <cell r="X344">
            <v>18596.010569372345</v>
          </cell>
          <cell r="Y344">
            <v>320662.80509192473</v>
          </cell>
        </row>
        <row r="345">
          <cell r="A345">
            <v>402510</v>
          </cell>
          <cell r="C345" t="str">
            <v>Tekoče vzdrževanje komunikac.opreme in računaln.</v>
          </cell>
          <cell r="D345">
            <v>3278838.0251514511</v>
          </cell>
          <cell r="G345">
            <v>134.38605588630389</v>
          </cell>
          <cell r="H345">
            <v>23.403173449314863</v>
          </cell>
          <cell r="I345">
            <v>34364.83638742</v>
          </cell>
          <cell r="J345">
            <v>184266.34705402004</v>
          </cell>
          <cell r="K345">
            <v>437994.03382350021</v>
          </cell>
          <cell r="N345">
            <v>229599.71951839991</v>
          </cell>
          <cell r="O345">
            <v>240654.99341576011</v>
          </cell>
          <cell r="P345">
            <v>386809.90321358031</v>
          </cell>
          <cell r="Q345">
            <v>1513689.8334126805</v>
          </cell>
          <cell r="R345">
            <v>311418.07697923988</v>
          </cell>
          <cell r="S345">
            <v>289196.74449358025</v>
          </cell>
          <cell r="T345">
            <v>200360.68520929999</v>
          </cell>
          <cell r="U345">
            <v>316666.30341037986</v>
          </cell>
          <cell r="V345">
            <v>291676.4834383399</v>
          </cell>
          <cell r="W345">
            <v>341346.56604822929</v>
          </cell>
          <cell r="X345">
            <v>270232.69812151481</v>
          </cell>
          <cell r="Y345">
            <v>3534587.391113264</v>
          </cell>
        </row>
        <row r="346">
          <cell r="A346">
            <v>402511</v>
          </cell>
          <cell r="C346" t="str">
            <v>Tekoče vzdrževanje druge opreme</v>
          </cell>
          <cell r="D346">
            <v>2453127.0377015816</v>
          </cell>
          <cell r="G346">
            <v>115.62525597109779</v>
          </cell>
          <cell r="H346">
            <v>6.1756253178124609</v>
          </cell>
          <cell r="I346">
            <v>50123.192503999999</v>
          </cell>
          <cell r="J346">
            <v>64124.083625139967</v>
          </cell>
          <cell r="K346">
            <v>112846.94929969993</v>
          </cell>
          <cell r="N346">
            <v>120707.97860814007</v>
          </cell>
          <cell r="O346">
            <v>125430.04645556016</v>
          </cell>
          <cell r="P346">
            <v>196554.41498153991</v>
          </cell>
          <cell r="Q346">
            <v>669786.66547408013</v>
          </cell>
          <cell r="R346">
            <v>203200.90572627998</v>
          </cell>
          <cell r="S346">
            <v>270660.58448044019</v>
          </cell>
          <cell r="T346">
            <v>108931.05401794001</v>
          </cell>
          <cell r="U346">
            <v>325544.23802823998</v>
          </cell>
          <cell r="V346">
            <v>344341.55490350001</v>
          </cell>
          <cell r="W346">
            <v>402980.06177404191</v>
          </cell>
          <cell r="X346">
            <v>319025.88223778317</v>
          </cell>
          <cell r="Y346">
            <v>2644470.9466423052</v>
          </cell>
        </row>
        <row r="347">
          <cell r="A347">
            <v>402512</v>
          </cell>
          <cell r="C347" t="str">
            <v>Zavarovalne premije za opremo</v>
          </cell>
          <cell r="D347">
            <v>170067.14000269084</v>
          </cell>
          <cell r="G347">
            <v>271.0095578678762</v>
          </cell>
          <cell r="H347">
            <v>148.86093468124534</v>
          </cell>
          <cell r="I347">
            <v>788.82045242000004</v>
          </cell>
          <cell r="J347">
            <v>1482.9317271999998</v>
          </cell>
          <cell r="K347">
            <v>46777.374927360019</v>
          </cell>
          <cell r="N347">
            <v>3737.1882039800003</v>
          </cell>
          <cell r="O347">
            <v>1514.0783488600005</v>
          </cell>
          <cell r="P347">
            <v>82021.857126440009</v>
          </cell>
          <cell r="Q347">
            <v>136322.25078626003</v>
          </cell>
          <cell r="R347">
            <v>2455.5570870600009</v>
          </cell>
          <cell r="S347">
            <v>1178.4155706400004</v>
          </cell>
          <cell r="T347">
            <v>40206.565323539995</v>
          </cell>
          <cell r="U347">
            <v>-187.55484902000006</v>
          </cell>
          <cell r="V347">
            <v>1084.0779796000002</v>
          </cell>
          <cell r="W347">
            <v>1268.687455713891</v>
          </cell>
          <cell r="X347">
            <v>1004.3775691068303</v>
          </cell>
          <cell r="Y347">
            <v>183332.37692290076</v>
          </cell>
        </row>
        <row r="348">
          <cell r="A348">
            <v>402599</v>
          </cell>
          <cell r="C348" t="str">
            <v>Drugi izdatki za tekoče vzdrževanje in zavarovanje</v>
          </cell>
          <cell r="D348">
            <v>187022.66435195773</v>
          </cell>
          <cell r="G348">
            <v>21.951961006640353</v>
          </cell>
          <cell r="H348">
            <v>-79.842092739540533</v>
          </cell>
          <cell r="I348">
            <v>12361.788046300002</v>
          </cell>
          <cell r="J348">
            <v>6534.9954469800014</v>
          </cell>
          <cell r="K348">
            <v>9147.7657039999995</v>
          </cell>
          <cell r="N348">
            <v>10474.255484000001</v>
          </cell>
          <cell r="O348">
            <v>38629.547287099987</v>
          </cell>
          <cell r="P348">
            <v>22118.963266399995</v>
          </cell>
          <cell r="Q348">
            <v>99267.315234779977</v>
          </cell>
          <cell r="R348">
            <v>49910.914005260027</v>
          </cell>
          <cell r="S348">
            <v>6872.0929569599966</v>
          </cell>
          <cell r="T348">
            <v>5203.8740184200005</v>
          </cell>
          <cell r="U348">
            <v>10152.8902629</v>
          </cell>
          <cell r="V348">
            <v>9753.1686714000025</v>
          </cell>
          <cell r="W348">
            <v>11414.052291176065</v>
          </cell>
          <cell r="X348">
            <v>9036.1247305143843</v>
          </cell>
          <cell r="Y348">
            <v>201610.43217141047</v>
          </cell>
        </row>
        <row r="349">
          <cell r="Q349" t="str">
            <v xml:space="preserve"> </v>
          </cell>
        </row>
        <row r="350">
          <cell r="A350">
            <v>4026</v>
          </cell>
          <cell r="C350" t="str">
            <v xml:space="preserve">Najemnine in zakupnine </v>
          </cell>
          <cell r="D350">
            <v>9238795.5853899997</v>
          </cell>
          <cell r="E350">
            <v>8945725</v>
          </cell>
          <cell r="F350">
            <v>293070.58538999967</v>
          </cell>
          <cell r="G350">
            <v>121.7636811085985</v>
          </cell>
          <cell r="H350">
            <v>11.812379346738751</v>
          </cell>
          <cell r="I350">
            <v>258728.91388497996</v>
          </cell>
          <cell r="J350">
            <v>513917.37404854002</v>
          </cell>
          <cell r="K350">
            <v>1078284.5787945003</v>
          </cell>
          <cell r="L350">
            <v>1850930.8667280204</v>
          </cell>
          <cell r="N350">
            <v>734254.61163054034</v>
          </cell>
          <cell r="O350">
            <v>889230.30259910005</v>
          </cell>
          <cell r="P350">
            <v>911543.73455376015</v>
          </cell>
          <cell r="Q350">
            <v>4385959.5155114206</v>
          </cell>
          <cell r="R350">
            <v>665380.38027384016</v>
          </cell>
          <cell r="S350">
            <v>793153.25708696013</v>
          </cell>
          <cell r="T350">
            <v>747620.66466010001</v>
          </cell>
          <cell r="U350">
            <v>777055.02322293981</v>
          </cell>
          <cell r="V350">
            <v>865452.80029516015</v>
          </cell>
          <cell r="W350">
            <v>1185800</v>
          </cell>
          <cell r="X350">
            <v>539000</v>
          </cell>
          <cell r="Y350">
            <v>9959421.6410504226</v>
          </cell>
          <cell r="Z350" t="str">
            <v xml:space="preserve"> </v>
          </cell>
          <cell r="AA350">
            <v>107.8</v>
          </cell>
          <cell r="AB350">
            <v>0</v>
          </cell>
        </row>
        <row r="351">
          <cell r="C351" t="str">
            <v xml:space="preserve">                                 - dinamizirani sprejeti proračun</v>
          </cell>
          <cell r="D351">
            <v>4225678</v>
          </cell>
          <cell r="I351">
            <v>232344</v>
          </cell>
          <cell r="J351">
            <v>232344</v>
          </cell>
          <cell r="K351">
            <v>232344</v>
          </cell>
          <cell r="N351">
            <v>232344</v>
          </cell>
          <cell r="O351">
            <v>232344</v>
          </cell>
          <cell r="P351">
            <v>232344</v>
          </cell>
          <cell r="Q351">
            <v>1394064</v>
          </cell>
          <cell r="R351">
            <v>232344</v>
          </cell>
          <cell r="S351">
            <v>232344</v>
          </cell>
          <cell r="T351">
            <v>232344</v>
          </cell>
          <cell r="U351">
            <v>232344</v>
          </cell>
          <cell r="V351">
            <v>937292</v>
          </cell>
          <cell r="W351">
            <v>1200677</v>
          </cell>
          <cell r="X351">
            <v>469217</v>
          </cell>
          <cell r="Y351">
            <v>4930626</v>
          </cell>
        </row>
        <row r="352">
          <cell r="A352">
            <v>402600</v>
          </cell>
          <cell r="C352" t="str">
            <v>Najemnine in zakupnine za poslovne objekte</v>
          </cell>
          <cell r="D352">
            <v>6353331.6473119389</v>
          </cell>
          <cell r="G352">
            <v>129.00824903453224</v>
          </cell>
          <cell r="H352">
            <v>18.464875146494236</v>
          </cell>
          <cell r="I352">
            <v>170040.67994297994</v>
          </cell>
          <cell r="J352">
            <v>328553.26881762</v>
          </cell>
          <cell r="K352">
            <v>644583.70900154032</v>
          </cell>
          <cell r="N352">
            <v>505788.06739692041</v>
          </cell>
          <cell r="O352">
            <v>580696.10556804005</v>
          </cell>
          <cell r="P352">
            <v>624215.22828742012</v>
          </cell>
          <cell r="Q352">
            <v>2853877.0590145211</v>
          </cell>
          <cell r="R352">
            <v>446075.13713378028</v>
          </cell>
          <cell r="S352">
            <v>553786.16494278004</v>
          </cell>
          <cell r="T352">
            <v>487655.58639952017</v>
          </cell>
          <cell r="U352">
            <v>537178.62224949978</v>
          </cell>
          <cell r="V352">
            <v>658321.09095676034</v>
          </cell>
          <cell r="W352">
            <v>901998.52538496885</v>
          </cell>
          <cell r="X352">
            <v>409999.32972044032</v>
          </cell>
          <cell r="Y352">
            <v>6848891.5158022717</v>
          </cell>
        </row>
        <row r="353">
          <cell r="A353">
            <v>402601</v>
          </cell>
          <cell r="C353" t="str">
            <v>Najemnine in zakupnine za stanovanjske objekte</v>
          </cell>
          <cell r="D353">
            <v>424836.08471358824</v>
          </cell>
          <cell r="G353">
            <v>92.428732442711691</v>
          </cell>
          <cell r="H353">
            <v>-15.12513090660083</v>
          </cell>
          <cell r="I353">
            <v>31985.994264840003</v>
          </cell>
          <cell r="J353">
            <v>37057.7323578</v>
          </cell>
          <cell r="K353">
            <v>26510.499928220008</v>
          </cell>
          <cell r="N353">
            <v>30585.743477520005</v>
          </cell>
          <cell r="O353">
            <v>54484.028566659996</v>
          </cell>
          <cell r="P353">
            <v>41016.763098080002</v>
          </cell>
          <cell r="Q353">
            <v>221640.76169312</v>
          </cell>
          <cell r="R353">
            <v>41139.650139279998</v>
          </cell>
          <cell r="S353">
            <v>17717.246145059999</v>
          </cell>
          <cell r="T353">
            <v>43907.871920220001</v>
          </cell>
          <cell r="U353">
            <v>54011.74464994001</v>
          </cell>
          <cell r="V353">
            <v>26581.183277880005</v>
          </cell>
          <cell r="W353">
            <v>36420.203528326805</v>
          </cell>
          <cell r="X353">
            <v>16554.637967421277</v>
          </cell>
          <cell r="Y353">
            <v>457973.29932124814</v>
          </cell>
        </row>
        <row r="354">
          <cell r="A354">
            <v>402602</v>
          </cell>
          <cell r="C354" t="str">
            <v>Najemnine in zakupnine za garaže in parkirne prost.</v>
          </cell>
          <cell r="D354">
            <v>143245.47826051884</v>
          </cell>
          <cell r="G354">
            <v>137.90104423261516</v>
          </cell>
          <cell r="H354">
            <v>26.630894612135123</v>
          </cell>
          <cell r="I354">
            <v>3528.8420228600003</v>
          </cell>
          <cell r="J354">
            <v>7673.9568428600005</v>
          </cell>
          <cell r="K354">
            <v>24250.590354760006</v>
          </cell>
          <cell r="N354">
            <v>17025.196372800001</v>
          </cell>
          <cell r="O354">
            <v>14682.763711</v>
          </cell>
          <cell r="P354">
            <v>12054.855541959994</v>
          </cell>
          <cell r="Q354">
            <v>79216.204846239998</v>
          </cell>
          <cell r="R354">
            <v>10225.349445080003</v>
          </cell>
          <cell r="S354">
            <v>11977.709291240008</v>
          </cell>
          <cell r="T354">
            <v>11450.25718298</v>
          </cell>
          <cell r="U354">
            <v>9714.6455760200042</v>
          </cell>
          <cell r="V354">
            <v>10636.499216419999</v>
          </cell>
          <cell r="W354">
            <v>14573.597504715784</v>
          </cell>
          <cell r="X354">
            <v>6624.3625021435391</v>
          </cell>
          <cell r="Y354">
            <v>154418.62556483934</v>
          </cell>
        </row>
        <row r="355">
          <cell r="A355">
            <v>402603</v>
          </cell>
          <cell r="C355" t="str">
            <v>Najemnine in zakupnine za druge objekte</v>
          </cell>
          <cell r="D355">
            <v>593266.21038119053</v>
          </cell>
          <cell r="G355">
            <v>704.70434611451526</v>
          </cell>
          <cell r="H355">
            <v>547.11142893894873</v>
          </cell>
          <cell r="I355">
            <v>46544.854510000005</v>
          </cell>
          <cell r="J355">
            <v>53126.051376859999</v>
          </cell>
          <cell r="K355">
            <v>48526.88713950001</v>
          </cell>
          <cell r="N355">
            <v>30021.909677760003</v>
          </cell>
          <cell r="O355">
            <v>49995.180715480012</v>
          </cell>
          <cell r="P355">
            <v>66617.057477739989</v>
          </cell>
          <cell r="Q355">
            <v>294831.94089734001</v>
          </cell>
          <cell r="R355">
            <v>69109.387214560003</v>
          </cell>
          <cell r="S355">
            <v>37925.122894120002</v>
          </cell>
          <cell r="T355">
            <v>66859.923762940001</v>
          </cell>
          <cell r="U355">
            <v>64502.587071999995</v>
          </cell>
          <cell r="V355">
            <v>35520.868581660005</v>
          </cell>
          <cell r="W355">
            <v>48668.911753208609</v>
          </cell>
          <cell r="X355">
            <v>22122.232615094825</v>
          </cell>
          <cell r="Y355">
            <v>639540.97479092341</v>
          </cell>
        </row>
        <row r="356">
          <cell r="A356">
            <v>402604</v>
          </cell>
          <cell r="C356" t="str">
            <v>Najem računalniške in programske opreme</v>
          </cell>
          <cell r="D356">
            <v>384431.54014527862</v>
          </cell>
          <cell r="G356">
            <v>77.993049827812541</v>
          </cell>
          <cell r="H356">
            <v>-28.381037807334678</v>
          </cell>
          <cell r="I356">
            <v>203.10738140000001</v>
          </cell>
          <cell r="J356">
            <v>46190.271462719997</v>
          </cell>
          <cell r="K356">
            <v>14055.50721498</v>
          </cell>
          <cell r="N356">
            <v>4948.9331630200004</v>
          </cell>
          <cell r="O356">
            <v>51494.048527459992</v>
          </cell>
          <cell r="P356">
            <v>9869.0999822799986</v>
          </cell>
          <cell r="Q356">
            <v>126760.96773185999</v>
          </cell>
          <cell r="R356">
            <v>5835.0316024000003</v>
          </cell>
          <cell r="S356">
            <v>42780.93388954</v>
          </cell>
          <cell r="T356">
            <v>66449.572326060006</v>
          </cell>
          <cell r="U356">
            <v>1374.05101064</v>
          </cell>
          <cell r="V356">
            <v>57206.742038599987</v>
          </cell>
          <cell r="W356">
            <v>78381.807403288389</v>
          </cell>
          <cell r="X356">
            <v>35628.094274221992</v>
          </cell>
          <cell r="Y356">
            <v>414417.20027661033</v>
          </cell>
        </row>
        <row r="357">
          <cell r="A357">
            <v>402605</v>
          </cell>
          <cell r="C357" t="str">
            <v>Nadomestilo za uporabo stavbnega zemljišča</v>
          </cell>
          <cell r="D357">
            <v>128369.95945165858</v>
          </cell>
          <cell r="G357">
            <v>133.75955866982636</v>
          </cell>
          <cell r="H357">
            <v>22.827877566415381</v>
          </cell>
          <cell r="I357">
            <v>192.09056636000003</v>
          </cell>
          <cell r="J357">
            <v>3624.7415065400014</v>
          </cell>
          <cell r="K357">
            <v>10732.863404340003</v>
          </cell>
          <cell r="N357">
            <v>10694.422991560003</v>
          </cell>
          <cell r="O357">
            <v>12081.454642179997</v>
          </cell>
          <cell r="P357">
            <v>11213.022348220002</v>
          </cell>
          <cell r="Q357">
            <v>48538.595459200005</v>
          </cell>
          <cell r="R357">
            <v>7754.1391727799992</v>
          </cell>
          <cell r="S357">
            <v>16827.274214520003</v>
          </cell>
          <cell r="T357">
            <v>4937.7964743799994</v>
          </cell>
          <cell r="U357">
            <v>8955.3956230200038</v>
          </cell>
          <cell r="V357">
            <v>17163.566986720001</v>
          </cell>
          <cell r="W357">
            <v>23516.658246309209</v>
          </cell>
          <cell r="X357">
            <v>10689.390111958734</v>
          </cell>
          <cell r="Y357">
            <v>138382.81628888796</v>
          </cell>
        </row>
        <row r="358">
          <cell r="A358">
            <v>402606</v>
          </cell>
          <cell r="C358" t="str">
            <v>Druga nadomestila za uporabo zemljišča</v>
          </cell>
          <cell r="D358">
            <v>12262.093537774612</v>
          </cell>
          <cell r="G358">
            <v>96.108791991438608</v>
          </cell>
          <cell r="H358">
            <v>-11.745829208963627</v>
          </cell>
          <cell r="I358">
            <v>10.786058360000002</v>
          </cell>
          <cell r="J358">
            <v>230.48017300000001</v>
          </cell>
          <cell r="K358">
            <v>3750.8513149800006</v>
          </cell>
          <cell r="N358">
            <v>1285.5833236400001</v>
          </cell>
          <cell r="O358">
            <v>2431.00450516</v>
          </cell>
          <cell r="P358">
            <v>-539.42524944000002</v>
          </cell>
          <cell r="Q358">
            <v>7169.280125700001</v>
          </cell>
          <cell r="R358">
            <v>-1894.2706228600002</v>
          </cell>
          <cell r="S358">
            <v>6936.8594664600005</v>
          </cell>
          <cell r="T358">
            <v>200.96830600000001</v>
          </cell>
          <cell r="U358">
            <v>205.3529632</v>
          </cell>
          <cell r="V358">
            <v>200.587233</v>
          </cell>
          <cell r="W358">
            <v>274.83456152695999</v>
          </cell>
          <cell r="X358">
            <v>124.9248006940727</v>
          </cell>
          <cell r="Y358">
            <v>13218.536833721035</v>
          </cell>
        </row>
        <row r="359">
          <cell r="A359">
            <v>402699</v>
          </cell>
          <cell r="C359" t="str">
            <v>Druge najemnine, zakupnine in licenčnine</v>
          </cell>
          <cell r="D359">
            <v>1199052.5715880524</v>
          </cell>
          <cell r="G359">
            <v>84.834650280014955</v>
          </cell>
          <cell r="H359">
            <v>-22.098576418719048</v>
          </cell>
          <cell r="I359">
            <v>6222.5591381800004</v>
          </cell>
          <cell r="J359">
            <v>37460.871511139994</v>
          </cell>
          <cell r="K359">
            <v>305873.67043617996</v>
          </cell>
          <cell r="N359">
            <v>133904.75522732001</v>
          </cell>
          <cell r="O359">
            <v>123365.71636311998</v>
          </cell>
          <cell r="P359">
            <v>147097.13306749999</v>
          </cell>
          <cell r="Q359">
            <v>753924.70574343996</v>
          </cell>
          <cell r="R359">
            <v>87135.956188819953</v>
          </cell>
          <cell r="S359">
            <v>105201.94624323999</v>
          </cell>
          <cell r="T359">
            <v>66158.68828799999</v>
          </cell>
          <cell r="U359">
            <v>101112.62407862004</v>
          </cell>
          <cell r="V359">
            <v>59822.262004119977</v>
          </cell>
          <cell r="W359">
            <v>81965.461617655543</v>
          </cell>
          <cell r="X359">
            <v>37257.028008025249</v>
          </cell>
          <cell r="Y359">
            <v>1292578.6721719208</v>
          </cell>
        </row>
        <row r="360">
          <cell r="Q360" t="str">
            <v xml:space="preserve"> </v>
          </cell>
          <cell r="V360" t="str">
            <v xml:space="preserve"> </v>
          </cell>
          <cell r="W360" t="str">
            <v xml:space="preserve"> </v>
          </cell>
          <cell r="X360" t="str">
            <v xml:space="preserve"> </v>
          </cell>
        </row>
        <row r="361">
          <cell r="A361">
            <v>4027</v>
          </cell>
          <cell r="C361" t="str">
            <v xml:space="preserve">Kazni in odškodnine </v>
          </cell>
          <cell r="D361">
            <v>2622162.7418900002</v>
          </cell>
          <cell r="E361">
            <v>3214946</v>
          </cell>
          <cell r="F361">
            <v>-592783.25810999982</v>
          </cell>
          <cell r="G361">
            <v>143.06548614034955</v>
          </cell>
          <cell r="H361">
            <v>31.373265509962835</v>
          </cell>
          <cell r="I361">
            <v>0</v>
          </cell>
          <cell r="J361">
            <v>1153649.6496725201</v>
          </cell>
          <cell r="K361">
            <v>208934.43307506002</v>
          </cell>
          <cell r="L361">
            <v>1362584.08274758</v>
          </cell>
          <cell r="N361">
            <v>190316.84977073999</v>
          </cell>
          <cell r="O361">
            <v>470583.65202156</v>
          </cell>
          <cell r="P361">
            <v>226165.6523665</v>
          </cell>
          <cell r="Q361">
            <v>2249650.2369063799</v>
          </cell>
          <cell r="R361">
            <v>99129.424568020011</v>
          </cell>
          <cell r="S361">
            <v>113823.42122228</v>
          </cell>
          <cell r="T361">
            <v>79183.540120300007</v>
          </cell>
          <cell r="U361">
            <v>64252.350716400004</v>
          </cell>
          <cell r="V361">
            <v>112852.46222404001</v>
          </cell>
          <cell r="W361">
            <v>53900</v>
          </cell>
          <cell r="X361">
            <v>53900</v>
          </cell>
          <cell r="Y361">
            <v>2826691.4357574196</v>
          </cell>
          <cell r="Z361" t="str">
            <v xml:space="preserve"> </v>
          </cell>
          <cell r="AA361">
            <v>107.8</v>
          </cell>
          <cell r="AB361">
            <v>0</v>
          </cell>
        </row>
        <row r="362">
          <cell r="C362" t="str">
            <v xml:space="preserve">                                 - dinamizirani sprejeti proračun</v>
          </cell>
          <cell r="D362">
            <v>301278</v>
          </cell>
          <cell r="I362">
            <v>0</v>
          </cell>
          <cell r="J362">
            <v>0</v>
          </cell>
          <cell r="K362">
            <v>0</v>
          </cell>
          <cell r="N362">
            <v>0</v>
          </cell>
          <cell r="O362">
            <v>0</v>
          </cell>
          <cell r="P362">
            <v>0</v>
          </cell>
          <cell r="Q362">
            <v>0</v>
          </cell>
          <cell r="R362">
            <v>0</v>
          </cell>
          <cell r="S362">
            <v>0</v>
          </cell>
          <cell r="T362">
            <v>0</v>
          </cell>
          <cell r="U362">
            <v>0</v>
          </cell>
          <cell r="V362">
            <v>202406</v>
          </cell>
          <cell r="W362">
            <v>200769</v>
          </cell>
          <cell r="X362">
            <v>100509</v>
          </cell>
          <cell r="Y362">
            <v>503684</v>
          </cell>
        </row>
        <row r="363">
          <cell r="A363">
            <v>402700</v>
          </cell>
          <cell r="C363" t="str">
            <v>Kazni</v>
          </cell>
          <cell r="D363">
            <v>335873.13422861078</v>
          </cell>
          <cell r="G363" t="str">
            <v>…</v>
          </cell>
          <cell r="H363" t="str">
            <v>…</v>
          </cell>
          <cell r="I363">
            <v>0</v>
          </cell>
          <cell r="J363">
            <v>0</v>
          </cell>
          <cell r="K363">
            <v>0</v>
          </cell>
          <cell r="N363">
            <v>281.27715000000001</v>
          </cell>
          <cell r="O363">
            <v>226224.42088400002</v>
          </cell>
          <cell r="P363">
            <v>62279.593144999999</v>
          </cell>
          <cell r="Q363">
            <v>288785.29117900005</v>
          </cell>
          <cell r="R363">
            <v>30241.800204000003</v>
          </cell>
          <cell r="S363">
            <v>16749.92349954</v>
          </cell>
          <cell r="T363">
            <v>168.148596</v>
          </cell>
          <cell r="U363">
            <v>0</v>
          </cell>
          <cell r="V363">
            <v>13362.152803999999</v>
          </cell>
          <cell r="W363">
            <v>6381.961207951188</v>
          </cell>
          <cell r="X363">
            <v>6381.961207951188</v>
          </cell>
          <cell r="Y363">
            <v>362071.23869844247</v>
          </cell>
        </row>
        <row r="364">
          <cell r="A364">
            <v>402701</v>
          </cell>
          <cell r="C364" t="str">
            <v>Odškodnine neupravičeno obsojenim</v>
          </cell>
          <cell r="D364">
            <v>463645.84187768295</v>
          </cell>
          <cell r="G364">
            <v>151.13085929298225</v>
          </cell>
          <cell r="H364">
            <v>38.779485117522711</v>
          </cell>
          <cell r="I364">
            <v>0</v>
          </cell>
          <cell r="J364">
            <v>1302.4935</v>
          </cell>
          <cell r="K364">
            <v>25255.481559</v>
          </cell>
          <cell r="N364">
            <v>125654.18635</v>
          </cell>
          <cell r="O364">
            <v>81686.063921000008</v>
          </cell>
          <cell r="P364">
            <v>78496.603431399999</v>
          </cell>
          <cell r="Q364">
            <v>312394.82876139996</v>
          </cell>
          <cell r="R364">
            <v>44558.723055000002</v>
          </cell>
          <cell r="S364">
            <v>60393.660614979999</v>
          </cell>
          <cell r="T364">
            <v>39879.643831720001</v>
          </cell>
          <cell r="U364">
            <v>12915.7875</v>
          </cell>
          <cell r="V364">
            <v>15173.448397800001</v>
          </cell>
          <cell r="W364">
            <v>7247.0626916211031</v>
          </cell>
          <cell r="X364">
            <v>7247.0626916211031</v>
          </cell>
          <cell r="Y364">
            <v>499810.21754414204</v>
          </cell>
        </row>
        <row r="365">
          <cell r="A365">
            <v>402702</v>
          </cell>
          <cell r="C365" t="str">
            <v>Druge odškodnine</v>
          </cell>
          <cell r="D365">
            <v>1649591.5743401877</v>
          </cell>
          <cell r="G365">
            <v>108.16158815115809</v>
          </cell>
          <cell r="H365">
            <v>-0.67806414035071327</v>
          </cell>
          <cell r="I365">
            <v>0</v>
          </cell>
          <cell r="J365">
            <v>1145782.4638845201</v>
          </cell>
          <cell r="K365">
            <v>175359.04992606002</v>
          </cell>
          <cell r="N365">
            <v>62929.589770740007</v>
          </cell>
          <cell r="O365">
            <v>158246.99311036</v>
          </cell>
          <cell r="P365">
            <v>58789.7448831</v>
          </cell>
          <cell r="Q365">
            <v>1601107.8415747802</v>
          </cell>
          <cell r="R365">
            <v>17307.653825000001</v>
          </cell>
          <cell r="S365">
            <v>24630.928600740001</v>
          </cell>
          <cell r="T365">
            <v>26019.389582339998</v>
          </cell>
          <cell r="U365">
            <v>20241.548283880002</v>
          </cell>
          <cell r="V365">
            <v>45494.585521000008</v>
          </cell>
          <cell r="W365">
            <v>21728.884875491342</v>
          </cell>
          <cell r="X365">
            <v>21728.884875491342</v>
          </cell>
          <cell r="Y365">
            <v>1778259.7171387225</v>
          </cell>
        </row>
        <row r="366">
          <cell r="A366">
            <v>402799</v>
          </cell>
          <cell r="C366" t="str">
            <v>Druge odškodnine in kazni</v>
          </cell>
          <cell r="D366">
            <v>173052.19144351833</v>
          </cell>
          <cell r="G366" t="str">
            <v>…</v>
          </cell>
          <cell r="H366" t="str">
            <v>…</v>
          </cell>
          <cell r="I366">
            <v>0</v>
          </cell>
          <cell r="J366">
            <v>6564.6922880000002</v>
          </cell>
          <cell r="K366">
            <v>8319.9015900000013</v>
          </cell>
          <cell r="N366">
            <v>1451.7965000000002</v>
          </cell>
          <cell r="O366">
            <v>4426.1741061999992</v>
          </cell>
          <cell r="P366">
            <v>26599.710907000001</v>
          </cell>
          <cell r="Q366">
            <v>47362.275391200004</v>
          </cell>
          <cell r="R366">
            <v>7021.2474840200002</v>
          </cell>
          <cell r="S366">
            <v>12048.908507019998</v>
          </cell>
          <cell r="T366">
            <v>13116.358110240002</v>
          </cell>
          <cell r="U366">
            <v>31095.014932520007</v>
          </cell>
          <cell r="V366">
            <v>38822.275501240001</v>
          </cell>
          <cell r="W366">
            <v>18542.091224936379</v>
          </cell>
          <cell r="X366">
            <v>18542.091224936379</v>
          </cell>
          <cell r="Y366">
            <v>186550.26237611281</v>
          </cell>
        </row>
        <row r="367">
          <cell r="Q367" t="str">
            <v xml:space="preserve"> </v>
          </cell>
          <cell r="V367" t="str">
            <v xml:space="preserve"> </v>
          </cell>
          <cell r="W367" t="str">
            <v xml:space="preserve"> </v>
          </cell>
          <cell r="X367" t="str">
            <v xml:space="preserve"> </v>
          </cell>
        </row>
        <row r="368">
          <cell r="A368">
            <v>4029</v>
          </cell>
          <cell r="C368" t="str">
            <v>Drugi operativni odhodki</v>
          </cell>
          <cell r="D368">
            <v>23869273.753219999</v>
          </cell>
          <cell r="E368">
            <v>27014091</v>
          </cell>
          <cell r="F368">
            <v>-3144817.2467800006</v>
          </cell>
          <cell r="G368">
            <v>109.37367578450549</v>
          </cell>
          <cell r="H368">
            <v>0.43496398944489556</v>
          </cell>
          <cell r="I368">
            <v>894452.61665196007</v>
          </cell>
          <cell r="J368">
            <v>1545324.4808943204</v>
          </cell>
          <cell r="K368">
            <v>2830356.5157762999</v>
          </cell>
          <cell r="L368">
            <v>5270133.6133225802</v>
          </cell>
          <cell r="N368">
            <v>2010095.9405006198</v>
          </cell>
          <cell r="O368">
            <v>2163942.7473035399</v>
          </cell>
          <cell r="P368">
            <v>2266244.7831349205</v>
          </cell>
          <cell r="Q368">
            <v>11710417.084261661</v>
          </cell>
          <cell r="R368">
            <v>2265484.3607599</v>
          </cell>
          <cell r="S368">
            <v>2332192.2953516594</v>
          </cell>
          <cell r="T368">
            <v>1835065.0947893606</v>
          </cell>
          <cell r="U368">
            <v>2510471.2155279405</v>
          </cell>
          <cell r="V368">
            <v>2537863.8505886402</v>
          </cell>
          <cell r="W368">
            <v>2723788.4988653464</v>
          </cell>
          <cell r="X368">
            <v>539000</v>
          </cell>
          <cell r="Y368">
            <v>26454282.400144514</v>
          </cell>
          <cell r="Z368" t="str">
            <v xml:space="preserve"> </v>
          </cell>
          <cell r="AA368">
            <v>110.82985881200425</v>
          </cell>
          <cell r="AB368">
            <v>2.8106296957367789</v>
          </cell>
        </row>
        <row r="369">
          <cell r="C369" t="str">
            <v xml:space="preserve">                                 - dinamizirani sprejeti proračun</v>
          </cell>
          <cell r="D369">
            <v>14166778</v>
          </cell>
          <cell r="I369">
            <v>643444</v>
          </cell>
          <cell r="J369">
            <v>643444</v>
          </cell>
          <cell r="K369">
            <v>643444</v>
          </cell>
          <cell r="N369">
            <v>643444</v>
          </cell>
          <cell r="O369">
            <v>643444</v>
          </cell>
          <cell r="P369">
            <v>643444</v>
          </cell>
          <cell r="Q369">
            <v>3860664</v>
          </cell>
          <cell r="R369">
            <v>643444</v>
          </cell>
          <cell r="S369">
            <v>643444</v>
          </cell>
          <cell r="T369">
            <v>643444</v>
          </cell>
          <cell r="U369">
            <v>643444</v>
          </cell>
          <cell r="V369">
            <v>2194166</v>
          </cell>
          <cell r="W369">
            <v>4705583</v>
          </cell>
          <cell r="X369">
            <v>2383311</v>
          </cell>
          <cell r="Y369">
            <v>15717500</v>
          </cell>
        </row>
        <row r="370">
          <cell r="A370">
            <v>402900</v>
          </cell>
          <cell r="C370" t="str">
            <v>Stroški konferenc, seminarjev in simpozijev</v>
          </cell>
          <cell r="D370">
            <v>541228.95011855068</v>
          </cell>
          <cell r="G370">
            <v>109.08848919275107</v>
          </cell>
          <cell r="H370">
            <v>0.17308465817360741</v>
          </cell>
          <cell r="I370">
            <v>5355.1632873200006</v>
          </cell>
          <cell r="J370">
            <v>22669.816081220004</v>
          </cell>
          <cell r="K370">
            <v>40234.541579540004</v>
          </cell>
          <cell r="N370">
            <v>43828.824023599991</v>
          </cell>
          <cell r="O370">
            <v>51146.518198159931</v>
          </cell>
          <cell r="P370">
            <v>71000.595390339993</v>
          </cell>
          <cell r="Q370">
            <v>234235.45856017992</v>
          </cell>
          <cell r="R370">
            <v>66581.701287640026</v>
          </cell>
          <cell r="S370">
            <v>24791.907591219991</v>
          </cell>
          <cell r="T370">
            <v>25313.560760179993</v>
          </cell>
          <cell r="U370">
            <v>65182.439867159956</v>
          </cell>
          <cell r="V370">
            <v>65064.846000000005</v>
          </cell>
          <cell r="W370">
            <v>85269.8</v>
          </cell>
          <cell r="X370">
            <v>17005.094161417754</v>
          </cell>
          <cell r="Y370">
            <v>583444.80822779774</v>
          </cell>
        </row>
        <row r="371">
          <cell r="A371">
            <v>402901</v>
          </cell>
          <cell r="C371" t="str">
            <v>Plačila avtorskih honorarjev</v>
          </cell>
          <cell r="D371">
            <v>691737.99138482369</v>
          </cell>
          <cell r="G371">
            <v>95.085276281741386</v>
          </cell>
          <cell r="H371">
            <v>-12.68569671098129</v>
          </cell>
          <cell r="I371">
            <v>9347.8300099799999</v>
          </cell>
          <cell r="J371">
            <v>24298.881165020004</v>
          </cell>
          <cell r="K371">
            <v>72118.851209020024</v>
          </cell>
          <cell r="N371">
            <v>64183.154748019981</v>
          </cell>
          <cell r="O371">
            <v>57904.995970359996</v>
          </cell>
          <cell r="P371">
            <v>72819.635249900006</v>
          </cell>
          <cell r="Q371">
            <v>300673.3483523</v>
          </cell>
          <cell r="R371">
            <v>61937.08872119998</v>
          </cell>
          <cell r="S371">
            <v>95792.365946200021</v>
          </cell>
          <cell r="T371">
            <v>43506.285485739994</v>
          </cell>
          <cell r="U371">
            <v>52581.886312340022</v>
          </cell>
          <cell r="V371">
            <v>100693.82400000001</v>
          </cell>
          <cell r="W371">
            <v>75460</v>
          </cell>
          <cell r="X371">
            <v>15048.755895059958</v>
          </cell>
          <cell r="Y371">
            <v>745693.55471284001</v>
          </cell>
        </row>
        <row r="372">
          <cell r="A372">
            <v>402902</v>
          </cell>
          <cell r="C372" t="str">
            <v>Plačila po pogodbah o delu</v>
          </cell>
          <cell r="D372">
            <v>1344335.0908800676</v>
          </cell>
          <cell r="G372">
            <v>117.88137171035468</v>
          </cell>
          <cell r="H372">
            <v>8.2473569424744539</v>
          </cell>
          <cell r="I372">
            <v>38514.625792719991</v>
          </cell>
          <cell r="J372">
            <v>65551.372064640032</v>
          </cell>
          <cell r="K372">
            <v>107597.65249002</v>
          </cell>
          <cell r="N372">
            <v>121703.50038616</v>
          </cell>
          <cell r="O372">
            <v>96484.076267040058</v>
          </cell>
          <cell r="P372">
            <v>115533.26249542001</v>
          </cell>
          <cell r="Q372">
            <v>545384.48949600011</v>
          </cell>
          <cell r="R372">
            <v>131676.30254547999</v>
          </cell>
          <cell r="S372">
            <v>293011.38036786008</v>
          </cell>
          <cell r="T372">
            <v>105495.18464408006</v>
          </cell>
          <cell r="U372">
            <v>98261.827874980052</v>
          </cell>
          <cell r="V372">
            <v>126671.08692699995</v>
          </cell>
          <cell r="W372">
            <v>123970</v>
          </cell>
          <cell r="X372">
            <v>24722.956113312786</v>
          </cell>
          <cell r="Y372">
            <v>1449193.2279687133</v>
          </cell>
        </row>
        <row r="373">
          <cell r="A373">
            <v>402903</v>
          </cell>
          <cell r="C373" t="str">
            <v>Plačila za delo preko študentskega servisa</v>
          </cell>
          <cell r="D373">
            <v>730279.22629699181</v>
          </cell>
          <cell r="G373">
            <v>113.87852746258274</v>
          </cell>
          <cell r="H373">
            <v>4.5716505625185846</v>
          </cell>
          <cell r="I373">
            <v>2217.69240924</v>
          </cell>
          <cell r="J373">
            <v>34357.999732980003</v>
          </cell>
          <cell r="K373">
            <v>64165.428331619958</v>
          </cell>
          <cell r="N373">
            <v>49285.001236240023</v>
          </cell>
          <cell r="O373">
            <v>53886.443708020037</v>
          </cell>
          <cell r="P373">
            <v>61539.995476959986</v>
          </cell>
          <cell r="Q373">
            <v>265452.56089506001</v>
          </cell>
          <cell r="R373">
            <v>54493.856207560006</v>
          </cell>
          <cell r="S373">
            <v>138761.01245006005</v>
          </cell>
          <cell r="T373">
            <v>103071.87132396006</v>
          </cell>
          <cell r="U373">
            <v>82193.727636020005</v>
          </cell>
          <cell r="V373">
            <v>65689.043811160023</v>
          </cell>
          <cell r="W373">
            <v>64680</v>
          </cell>
          <cell r="X373">
            <v>12898.933624337105</v>
          </cell>
          <cell r="Y373">
            <v>787241.00594815728</v>
          </cell>
        </row>
        <row r="374">
          <cell r="A374">
            <v>402904</v>
          </cell>
          <cell r="C374" t="str">
            <v>Nadomestila članom posebnih komisil</v>
          </cell>
          <cell r="D374">
            <v>360016.86828692129</v>
          </cell>
          <cell r="G374">
            <v>209.59168410259247</v>
          </cell>
          <cell r="H374">
            <v>92.462519837091321</v>
          </cell>
          <cell r="I374">
            <v>0</v>
          </cell>
          <cell r="J374">
            <v>2336.4179608000004</v>
          </cell>
          <cell r="K374">
            <v>5426.9302749199996</v>
          </cell>
          <cell r="N374">
            <v>3729.2066488599999</v>
          </cell>
          <cell r="O374">
            <v>8714.1453352800017</v>
          </cell>
          <cell r="P374">
            <v>8539.2467344799988</v>
          </cell>
          <cell r="Q374">
            <v>28745.946954340001</v>
          </cell>
          <cell r="R374">
            <v>12545.142630020002</v>
          </cell>
          <cell r="S374">
            <v>173955.04152180001</v>
          </cell>
          <cell r="T374">
            <v>21952.039741940007</v>
          </cell>
          <cell r="U374">
            <v>6502.250722660001</v>
          </cell>
          <cell r="V374">
            <v>30615.32646018</v>
          </cell>
          <cell r="W374">
            <v>94864</v>
          </cell>
          <cell r="X374">
            <v>18918.43598236109</v>
          </cell>
          <cell r="Y374">
            <v>388098.1840133011</v>
          </cell>
        </row>
        <row r="375">
          <cell r="A375">
            <v>402905</v>
          </cell>
          <cell r="C375" t="str">
            <v>Sejnine udeležencem odborov</v>
          </cell>
          <cell r="D375">
            <v>18447.139036419507</v>
          </cell>
          <cell r="G375">
            <v>152.99798347672473</v>
          </cell>
          <cell r="H375">
            <v>40.494016048415716</v>
          </cell>
          <cell r="I375">
            <v>226.43195960000003</v>
          </cell>
          <cell r="J375">
            <v>0</v>
          </cell>
          <cell r="K375">
            <v>1736.8694389200002</v>
          </cell>
          <cell r="N375">
            <v>705.93530700000008</v>
          </cell>
          <cell r="O375">
            <v>665.43969800000013</v>
          </cell>
          <cell r="P375">
            <v>4022.1258000000003</v>
          </cell>
          <cell r="Q375">
            <v>7356.8022035200011</v>
          </cell>
          <cell r="R375">
            <v>4448.69714828</v>
          </cell>
          <cell r="S375">
            <v>1851.0715300000002</v>
          </cell>
          <cell r="T375">
            <v>306.44090400000005</v>
          </cell>
          <cell r="U375">
            <v>552.69060000000013</v>
          </cell>
          <cell r="V375">
            <v>715.57747800000004</v>
          </cell>
          <cell r="W375">
            <v>3880.8</v>
          </cell>
          <cell r="X375">
            <v>773.93601746022637</v>
          </cell>
          <cell r="Y375">
            <v>19886.015881260228</v>
          </cell>
        </row>
        <row r="376">
          <cell r="A376">
            <v>402906</v>
          </cell>
          <cell r="C376" t="str">
            <v>Stroški izpitni komisij</v>
          </cell>
          <cell r="D376">
            <v>137066.27147783196</v>
          </cell>
          <cell r="G376">
            <v>83.241098126627506</v>
          </cell>
          <cell r="H376">
            <v>-23.561893363978413</v>
          </cell>
          <cell r="I376">
            <v>2076.9545720000001</v>
          </cell>
          <cell r="J376">
            <v>3669.2220179999999</v>
          </cell>
          <cell r="K376">
            <v>5466.8275507999997</v>
          </cell>
          <cell r="N376">
            <v>7381.1750181400002</v>
          </cell>
          <cell r="O376">
            <v>6492.454429999998</v>
          </cell>
          <cell r="P376">
            <v>28010.593534000003</v>
          </cell>
          <cell r="Q376">
            <v>53097.227122940007</v>
          </cell>
          <cell r="R376">
            <v>12667.810848000005</v>
          </cell>
          <cell r="S376">
            <v>37192.542617999999</v>
          </cell>
          <cell r="T376">
            <v>3886.8907000000004</v>
          </cell>
          <cell r="U376">
            <v>13815.898096000001</v>
          </cell>
          <cell r="V376">
            <v>14167.248997439998</v>
          </cell>
          <cell r="W376">
            <v>10780</v>
          </cell>
          <cell r="X376">
            <v>2149.822270722851</v>
          </cell>
          <cell r="Y376">
            <v>147757.44065310288</v>
          </cell>
        </row>
        <row r="377">
          <cell r="A377">
            <v>402907</v>
          </cell>
          <cell r="C377" t="str">
            <v>Izdatki za strokovno izobraževanje zaposlenih</v>
          </cell>
          <cell r="D377">
            <v>969436.15386650118</v>
          </cell>
          <cell r="G377">
            <v>92.541343597541299</v>
          </cell>
          <cell r="H377">
            <v>-15.021723050926269</v>
          </cell>
          <cell r="I377">
            <v>1586.0979442000005</v>
          </cell>
          <cell r="J377">
            <v>54303.975217800013</v>
          </cell>
          <cell r="K377">
            <v>80111.888473539977</v>
          </cell>
          <cell r="N377">
            <v>85940.035569080006</v>
          </cell>
          <cell r="O377">
            <v>129671.97090386003</v>
          </cell>
          <cell r="P377">
            <v>75515.351473100003</v>
          </cell>
          <cell r="Q377">
            <v>427129.31958158006</v>
          </cell>
          <cell r="R377">
            <v>83085.373765239987</v>
          </cell>
          <cell r="S377">
            <v>61521.449877579988</v>
          </cell>
          <cell r="T377">
            <v>109418.92204166003</v>
          </cell>
          <cell r="U377">
            <v>99584.682240120048</v>
          </cell>
          <cell r="V377">
            <v>118205.43470273996</v>
          </cell>
          <cell r="W377">
            <v>121814</v>
          </cell>
          <cell r="X377">
            <v>24292.991659168219</v>
          </cell>
          <cell r="Y377">
            <v>1045052.1738680883</v>
          </cell>
        </row>
        <row r="378">
          <cell r="A378">
            <v>402908</v>
          </cell>
          <cell r="C378" t="str">
            <v>Dodatki poslancem in državnim svetnikom</v>
          </cell>
          <cell r="D378">
            <v>250583.7091770905</v>
          </cell>
          <cell r="G378">
            <v>112.73202456906259</v>
          </cell>
          <cell r="H378">
            <v>3.5188471708563753</v>
          </cell>
          <cell r="I378">
            <v>21008</v>
          </cell>
          <cell r="J378">
            <v>21764.288</v>
          </cell>
          <cell r="K378">
            <v>21764.288</v>
          </cell>
          <cell r="N378">
            <v>21764.288</v>
          </cell>
          <cell r="O378">
            <v>21764.288</v>
          </cell>
          <cell r="P378">
            <v>21764.288</v>
          </cell>
          <cell r="Q378">
            <v>129829.44</v>
          </cell>
          <cell r="R378">
            <v>21764.288</v>
          </cell>
          <cell r="S378">
            <v>21764.288</v>
          </cell>
          <cell r="T378">
            <v>21764.288</v>
          </cell>
          <cell r="U378">
            <v>21764.288</v>
          </cell>
          <cell r="V378">
            <v>22351.923776</v>
          </cell>
          <cell r="W378">
            <v>23246.000727040002</v>
          </cell>
          <cell r="X378">
            <v>4471.6303231035308</v>
          </cell>
          <cell r="Y378">
            <v>266956.14682614355</v>
          </cell>
        </row>
        <row r="379">
          <cell r="A379">
            <v>402909</v>
          </cell>
          <cell r="C379" t="str">
            <v>Stroški sodnih postopkov</v>
          </cell>
          <cell r="D379">
            <v>1366496.0329683197</v>
          </cell>
          <cell r="G379">
            <v>113.55920216145299</v>
          </cell>
          <cell r="H379">
            <v>4.278422554134977</v>
          </cell>
          <cell r="I379">
            <v>16119.084054920002</v>
          </cell>
          <cell r="J379">
            <v>182408.08806682</v>
          </cell>
          <cell r="K379">
            <v>183984.34578986006</v>
          </cell>
          <cell r="N379">
            <v>135582.79307495998</v>
          </cell>
          <cell r="O379">
            <v>110008.19062618005</v>
          </cell>
          <cell r="P379">
            <v>138100.52130028003</v>
          </cell>
          <cell r="Q379">
            <v>766203.0229130201</v>
          </cell>
          <cell r="R379">
            <v>162291.24578744001</v>
          </cell>
          <cell r="S379">
            <v>68954.337903220003</v>
          </cell>
          <cell r="T379">
            <v>88234.15794116004</v>
          </cell>
          <cell r="U379">
            <v>148747.26028778002</v>
          </cell>
          <cell r="V379">
            <v>109354.47600000001</v>
          </cell>
          <cell r="W379">
            <v>107800</v>
          </cell>
          <cell r="X379">
            <v>21498.22270722851</v>
          </cell>
          <cell r="Y379">
            <v>1473082.7235398488</v>
          </cell>
        </row>
        <row r="380">
          <cell r="A380">
            <v>402910</v>
          </cell>
          <cell r="C380" t="str">
            <v>Plačila za delo zaprtih oseb</v>
          </cell>
          <cell r="D380">
            <v>29154.326294992952</v>
          </cell>
          <cell r="G380">
            <v>144.458753557878</v>
          </cell>
          <cell r="H380">
            <v>32.652666260677677</v>
          </cell>
          <cell r="I380">
            <v>2828</v>
          </cell>
          <cell r="J380">
            <v>2929.808</v>
          </cell>
          <cell r="K380">
            <v>2929.808</v>
          </cell>
          <cell r="N380">
            <v>2929.808</v>
          </cell>
          <cell r="O380">
            <v>2929.808</v>
          </cell>
          <cell r="P380">
            <v>2929.808</v>
          </cell>
          <cell r="Q380">
            <v>17477.04</v>
          </cell>
          <cell r="R380">
            <v>2929.808</v>
          </cell>
          <cell r="S380">
            <v>2929.808</v>
          </cell>
          <cell r="T380">
            <v>2929.808</v>
          </cell>
          <cell r="U380">
            <v>2929.808</v>
          </cell>
          <cell r="V380">
            <v>3008.9128159999996</v>
          </cell>
          <cell r="W380">
            <v>3129.2693286399995</v>
          </cell>
          <cell r="X380">
            <v>601.9502358023982</v>
          </cell>
          <cell r="Y380">
            <v>35936.4043804424</v>
          </cell>
        </row>
        <row r="381">
          <cell r="A381">
            <v>402911</v>
          </cell>
          <cell r="C381" t="str">
            <v>Davek na izplačane plače</v>
          </cell>
          <cell r="D381">
            <v>5206853.6214600001</v>
          </cell>
          <cell r="G381">
            <v>120.37724637767188</v>
          </cell>
          <cell r="H381">
            <v>10.539252872058654</v>
          </cell>
          <cell r="I381">
            <v>497610.84</v>
          </cell>
          <cell r="J381">
            <v>515524.83024000004</v>
          </cell>
          <cell r="K381">
            <v>515524.83024000004</v>
          </cell>
          <cell r="N381">
            <v>515524.83024000004</v>
          </cell>
          <cell r="O381">
            <v>515524.83024000004</v>
          </cell>
          <cell r="P381">
            <v>515524.83024000004</v>
          </cell>
          <cell r="Q381">
            <v>3075234.9912</v>
          </cell>
          <cell r="R381">
            <v>515524.83024000004</v>
          </cell>
          <cell r="S381">
            <v>515524.83024000004</v>
          </cell>
          <cell r="T381">
            <v>515524.83024000004</v>
          </cell>
          <cell r="U381">
            <v>515524.83024000004</v>
          </cell>
          <cell r="V381">
            <v>529444.00065647997</v>
          </cell>
          <cell r="W381">
            <v>550621.7606827392</v>
          </cell>
          <cell r="X381">
            <v>0</v>
          </cell>
          <cell r="Y381">
            <v>6217400.0734992195</v>
          </cell>
        </row>
        <row r="382">
          <cell r="A382">
            <v>402912</v>
          </cell>
          <cell r="C382" t="str">
            <v>Posebni davek na določene prejemke</v>
          </cell>
          <cell r="D382">
            <v>68801.336599999981</v>
          </cell>
          <cell r="G382">
            <v>226.79113962031315</v>
          </cell>
          <cell r="H382">
            <v>108.25632655676137</v>
          </cell>
          <cell r="I382">
            <v>15336.85</v>
          </cell>
          <cell r="J382">
            <v>15888.9766</v>
          </cell>
          <cell r="K382">
            <v>15888.9766</v>
          </cell>
          <cell r="N382">
            <v>15888.9766</v>
          </cell>
          <cell r="O382">
            <v>15888.9766</v>
          </cell>
          <cell r="P382">
            <v>15888.9766</v>
          </cell>
          <cell r="Q382">
            <v>94781.732999999993</v>
          </cell>
          <cell r="R382">
            <v>15888.9766</v>
          </cell>
          <cell r="S382">
            <v>15888.9766</v>
          </cell>
          <cell r="T382">
            <v>15888.9766</v>
          </cell>
          <cell r="U382">
            <v>15888.9766</v>
          </cell>
          <cell r="V382">
            <v>16317.978968199999</v>
          </cell>
          <cell r="W382">
            <v>16970.698126928</v>
          </cell>
          <cell r="X382">
            <v>0</v>
          </cell>
          <cell r="Y382">
            <v>191626.31649512801</v>
          </cell>
        </row>
        <row r="383">
          <cell r="A383">
            <v>402920</v>
          </cell>
          <cell r="C383" t="str">
            <v>Sodni stroški</v>
          </cell>
          <cell r="D383">
            <v>369808.30525080347</v>
          </cell>
          <cell r="G383">
            <v>169.88358014156336</v>
          </cell>
          <cell r="H383">
            <v>55.999614455062755</v>
          </cell>
          <cell r="I383">
            <v>6475.2726299799997</v>
          </cell>
          <cell r="J383">
            <v>25742.29765954</v>
          </cell>
          <cell r="K383">
            <v>42582.215908539998</v>
          </cell>
          <cell r="N383">
            <v>23885.613156019997</v>
          </cell>
          <cell r="O383">
            <v>73475.560228839997</v>
          </cell>
          <cell r="P383">
            <v>26241.58409642</v>
          </cell>
          <cell r="Q383">
            <v>198402.54367934001</v>
          </cell>
          <cell r="R383">
            <v>40932.187389940009</v>
          </cell>
          <cell r="S383">
            <v>15833.611005520001</v>
          </cell>
          <cell r="T383">
            <v>24351.237393560008</v>
          </cell>
          <cell r="U383">
            <v>31188.748530940007</v>
          </cell>
          <cell r="V383">
            <v>42044.156000000003</v>
          </cell>
          <cell r="W383">
            <v>38269</v>
          </cell>
          <cell r="X383">
            <v>7631.8690610661215</v>
          </cell>
          <cell r="Y383">
            <v>398653.35306036624</v>
          </cell>
        </row>
        <row r="384">
          <cell r="A384">
            <v>402921</v>
          </cell>
          <cell r="C384" t="str">
            <v>Članarine v mednarodnih organizacijah</v>
          </cell>
          <cell r="D384">
            <v>1024282.9801159768</v>
          </cell>
          <cell r="G384">
            <v>86.559090671399957</v>
          </cell>
          <cell r="H384">
            <v>-20.515068253994528</v>
          </cell>
          <cell r="I384">
            <v>2374.3093158399997</v>
          </cell>
          <cell r="J384">
            <v>23513.626542560003</v>
          </cell>
          <cell r="K384">
            <v>541966.52527094004</v>
          </cell>
          <cell r="N384">
            <v>23748.852761480004</v>
          </cell>
          <cell r="O384">
            <v>39888.873484459997</v>
          </cell>
          <cell r="P384">
            <v>115942.82548310004</v>
          </cell>
          <cell r="Q384">
            <v>747435.0128583801</v>
          </cell>
          <cell r="R384">
            <v>30003.955102659998</v>
          </cell>
          <cell r="S384">
            <v>8315.3594154400016</v>
          </cell>
          <cell r="T384">
            <v>8763.2541642800006</v>
          </cell>
          <cell r="U384">
            <v>71787.631483259989</v>
          </cell>
          <cell r="V384">
            <v>97583.267903660017</v>
          </cell>
          <cell r="W384">
            <v>116963</v>
          </cell>
          <cell r="X384">
            <v>23325.571637342931</v>
          </cell>
          <cell r="Y384">
            <v>1104177.0525650231</v>
          </cell>
        </row>
        <row r="385">
          <cell r="A385">
            <v>402922</v>
          </cell>
          <cell r="C385" t="str">
            <v>Članarine v domačih neprofitnih institucijah</v>
          </cell>
          <cell r="D385">
            <v>2551.1668556069922</v>
          </cell>
          <cell r="G385">
            <v>111.88770004257252</v>
          </cell>
          <cell r="H385">
            <v>2.74352620989211</v>
          </cell>
          <cell r="I385">
            <v>0</v>
          </cell>
          <cell r="J385">
            <v>433.68425100000007</v>
          </cell>
          <cell r="K385">
            <v>448.58544500000005</v>
          </cell>
          <cell r="N385">
            <v>115.34869500000001</v>
          </cell>
          <cell r="O385">
            <v>124.18829500000001</v>
          </cell>
          <cell r="P385">
            <v>650.12293499999998</v>
          </cell>
          <cell r="Q385">
            <v>1771.9296210000002</v>
          </cell>
          <cell r="R385">
            <v>168.75658799999999</v>
          </cell>
          <cell r="S385">
            <v>314.64663999999999</v>
          </cell>
          <cell r="T385">
            <v>98.938840000000013</v>
          </cell>
          <cell r="U385">
            <v>120.43955</v>
          </cell>
          <cell r="V385">
            <v>197.86769772</v>
          </cell>
          <cell r="W385">
            <v>64.680000000000007</v>
          </cell>
          <cell r="X385">
            <v>12.898933624337106</v>
          </cell>
          <cell r="Y385">
            <v>2750.157870344337</v>
          </cell>
        </row>
        <row r="386">
          <cell r="A386">
            <v>402923</v>
          </cell>
          <cell r="C386" t="str">
            <v>Druge članarine</v>
          </cell>
          <cell r="D386">
            <v>2406.8772080444032</v>
          </cell>
          <cell r="G386">
            <v>38.320394685054119</v>
          </cell>
          <cell r="H386">
            <v>-64.811391473779508</v>
          </cell>
          <cell r="I386">
            <v>45.604250999999998</v>
          </cell>
          <cell r="J386">
            <v>249.13604100000001</v>
          </cell>
          <cell r="K386">
            <v>542.27840282</v>
          </cell>
          <cell r="N386">
            <v>157.147606</v>
          </cell>
          <cell r="O386">
            <v>99.447655999999995</v>
          </cell>
          <cell r="P386">
            <v>203.76455176000005</v>
          </cell>
          <cell r="Q386">
            <v>1297.3785085800002</v>
          </cell>
          <cell r="R386">
            <v>100.70201680000001</v>
          </cell>
          <cell r="S386">
            <v>695.55470600000001</v>
          </cell>
          <cell r="T386">
            <v>241.74466932000001</v>
          </cell>
          <cell r="U386">
            <v>77.027412000000012</v>
          </cell>
          <cell r="V386">
            <v>59.373006000000004</v>
          </cell>
          <cell r="W386">
            <v>102.41</v>
          </cell>
          <cell r="X386">
            <v>20.423311571867085</v>
          </cell>
          <cell r="Y386">
            <v>2594.6136302718669</v>
          </cell>
        </row>
        <row r="387">
          <cell r="A387">
            <v>402930</v>
          </cell>
          <cell r="C387" t="str">
            <v>Plačila storitev APP</v>
          </cell>
          <cell r="D387">
            <v>58625.315769872548</v>
          </cell>
          <cell r="G387" t="str">
            <v>…</v>
          </cell>
          <cell r="H387" t="str">
            <v>…</v>
          </cell>
          <cell r="I387">
            <v>636.01375838000001</v>
          </cell>
          <cell r="J387">
            <v>2008.0557327600004</v>
          </cell>
          <cell r="K387">
            <v>3059.9525341000017</v>
          </cell>
          <cell r="N387">
            <v>5222.7713260799965</v>
          </cell>
          <cell r="O387">
            <v>9774.7913139799966</v>
          </cell>
          <cell r="P387">
            <v>4290.6404648800008</v>
          </cell>
          <cell r="Q387">
            <v>24992.225130179999</v>
          </cell>
          <cell r="R387">
            <v>3291.0381442399976</v>
          </cell>
          <cell r="S387">
            <v>1780.9020198199996</v>
          </cell>
          <cell r="T387">
            <v>11475.638197100005</v>
          </cell>
          <cell r="U387">
            <v>2918.3677122599997</v>
          </cell>
          <cell r="V387">
            <v>8318.4824461200024</v>
          </cell>
          <cell r="W387">
            <v>8688.68</v>
          </cell>
          <cell r="X387">
            <v>1732.7567502026179</v>
          </cell>
          <cell r="Y387">
            <v>63198.090399922628</v>
          </cell>
        </row>
        <row r="388">
          <cell r="A388">
            <v>402931</v>
          </cell>
          <cell r="C388" t="str">
            <v>Plačila bančnih storitev</v>
          </cell>
          <cell r="D388">
            <v>3845206.5141499997</v>
          </cell>
          <cell r="G388" t="str">
            <v>…</v>
          </cell>
          <cell r="H388" t="str">
            <v>…</v>
          </cell>
          <cell r="I388">
            <v>210962.02991864004</v>
          </cell>
          <cell r="J388">
            <v>276167.47120116017</v>
          </cell>
          <cell r="K388">
            <v>364365.6393038198</v>
          </cell>
          <cell r="N388">
            <v>486314.00524476002</v>
          </cell>
          <cell r="O388">
            <v>385889.04288549995</v>
          </cell>
          <cell r="P388">
            <v>402421.60708904004</v>
          </cell>
          <cell r="Q388">
            <v>2126119.7956429198</v>
          </cell>
          <cell r="R388">
            <v>343624.95350876002</v>
          </cell>
          <cell r="S388">
            <v>303577.45243210002</v>
          </cell>
          <cell r="T388">
            <v>240443.90398335987</v>
          </cell>
          <cell r="U388">
            <v>336480.57868656004</v>
          </cell>
          <cell r="V388">
            <v>390635.93800000002</v>
          </cell>
          <cell r="W388">
            <v>393470</v>
          </cell>
          <cell r="X388">
            <v>10780</v>
          </cell>
          <cell r="Y388">
            <v>4145132.6222536997</v>
          </cell>
        </row>
        <row r="389">
          <cell r="A389">
            <v>402932</v>
          </cell>
          <cell r="C389" t="str">
            <v>Stroški, povezani z zadolževanjem</v>
          </cell>
          <cell r="D389">
            <v>626686.34308513952</v>
          </cell>
          <cell r="G389">
            <v>114.05576445260255</v>
          </cell>
          <cell r="H389">
            <v>4.7344026194697335</v>
          </cell>
          <cell r="I389">
            <v>8650.0898745800005</v>
          </cell>
          <cell r="J389">
            <v>71482.806662960022</v>
          </cell>
          <cell r="K389">
            <v>337215.15178582002</v>
          </cell>
          <cell r="N389">
            <v>28619.455178160002</v>
          </cell>
          <cell r="O389">
            <v>15601.8687209</v>
          </cell>
          <cell r="P389">
            <v>58596.479490780002</v>
          </cell>
          <cell r="Q389">
            <v>520165.85171319998</v>
          </cell>
          <cell r="R389">
            <v>27066.386830560008</v>
          </cell>
          <cell r="S389">
            <v>40908.543260200007</v>
          </cell>
          <cell r="T389">
            <v>26700.110706500003</v>
          </cell>
          <cell r="U389">
            <v>18864.232744279998</v>
          </cell>
          <cell r="V389">
            <v>21821.528071420002</v>
          </cell>
          <cell r="W389">
            <v>16709</v>
          </cell>
          <cell r="X389">
            <v>3332.224519620419</v>
          </cell>
          <cell r="Y389">
            <v>675567.87784578046</v>
          </cell>
        </row>
        <row r="390">
          <cell r="A390">
            <v>402934</v>
          </cell>
          <cell r="C390" t="str">
            <v>Plačila storitev DURS</v>
          </cell>
          <cell r="D390">
            <v>3575.658476783196</v>
          </cell>
          <cell r="G390" t="str">
            <v>…</v>
          </cell>
          <cell r="H390" t="str">
            <v>…</v>
          </cell>
          <cell r="I390">
            <v>0</v>
          </cell>
          <cell r="J390">
            <v>0</v>
          </cell>
          <cell r="K390">
            <v>0</v>
          </cell>
          <cell r="N390">
            <v>0</v>
          </cell>
          <cell r="O390">
            <v>0</v>
          </cell>
          <cell r="P390">
            <v>0</v>
          </cell>
          <cell r="Q390">
            <v>0</v>
          </cell>
          <cell r="R390">
            <v>25.380281080000003</v>
          </cell>
          <cell r="S390">
            <v>372.74996682000005</v>
          </cell>
          <cell r="T390">
            <v>1.617</v>
          </cell>
          <cell r="U390">
            <v>0</v>
          </cell>
          <cell r="V390">
            <v>2161.830363</v>
          </cell>
          <cell r="W390">
            <v>1078</v>
          </cell>
          <cell r="X390">
            <v>214.9822270722851</v>
          </cell>
          <cell r="Y390">
            <v>3854.5598379722855</v>
          </cell>
        </row>
        <row r="391">
          <cell r="A391">
            <v>402935</v>
          </cell>
          <cell r="C391" t="str">
            <v>Stroški plačilnega agenta</v>
          </cell>
          <cell r="D391">
            <v>90560.26645000001</v>
          </cell>
          <cell r="G391" t="str">
            <v>…</v>
          </cell>
          <cell r="H391" t="str">
            <v>…</v>
          </cell>
          <cell r="I391">
            <v>3495.2449994000003</v>
          </cell>
          <cell r="J391">
            <v>12368.818158620001</v>
          </cell>
          <cell r="K391">
            <v>5697.4644434399997</v>
          </cell>
          <cell r="N391">
            <v>10760.452744579999</v>
          </cell>
          <cell r="O391">
            <v>3625.3810516000008</v>
          </cell>
          <cell r="P391">
            <v>5702.8974017400005</v>
          </cell>
          <cell r="Q391">
            <v>41650.258799380004</v>
          </cell>
          <cell r="R391">
            <v>27621.346458860004</v>
          </cell>
          <cell r="S391">
            <v>2852.8444144199998</v>
          </cell>
          <cell r="T391">
            <v>4294.7679975200008</v>
          </cell>
          <cell r="U391">
            <v>14293.627055400002</v>
          </cell>
          <cell r="V391">
            <v>3353.7225075199995</v>
          </cell>
          <cell r="W391">
            <v>3557.4</v>
          </cell>
          <cell r="X391">
            <v>0</v>
          </cell>
          <cell r="Y391">
            <v>97623.967233100018</v>
          </cell>
        </row>
        <row r="392">
          <cell r="A392">
            <v>402936</v>
          </cell>
          <cell r="C392" t="str">
            <v>Plačilo stroškov kotacije na borzi</v>
          </cell>
          <cell r="D392">
            <v>1570.6453999999999</v>
          </cell>
          <cell r="G392">
            <v>19.777393399156466</v>
          </cell>
          <cell r="H392">
            <v>-81.838940863951819</v>
          </cell>
          <cell r="I392">
            <v>0</v>
          </cell>
          <cell r="J392">
            <v>0</v>
          </cell>
          <cell r="K392">
            <v>0</v>
          </cell>
          <cell r="N392">
            <v>0</v>
          </cell>
          <cell r="O392">
            <v>0</v>
          </cell>
          <cell r="P392">
            <v>0</v>
          </cell>
          <cell r="Q392">
            <v>0</v>
          </cell>
          <cell r="R392">
            <v>0</v>
          </cell>
          <cell r="S392">
            <v>0</v>
          </cell>
          <cell r="T392">
            <v>0</v>
          </cell>
          <cell r="U392">
            <v>1693.1557412</v>
          </cell>
          <cell r="V392">
            <v>0</v>
          </cell>
          <cell r="W392">
            <v>0</v>
          </cell>
          <cell r="X392">
            <v>0</v>
          </cell>
          <cell r="Y392">
            <v>1693.1557412</v>
          </cell>
        </row>
        <row r="393">
          <cell r="A393">
            <v>402999</v>
          </cell>
          <cell r="C393" t="str">
            <v>Drugi operativni odhodki</v>
          </cell>
          <cell r="D393">
            <v>6129562.9626092631</v>
          </cell>
          <cell r="G393">
            <v>79.467273286071233</v>
          </cell>
          <cell r="H393">
            <v>-27.027297257969479</v>
          </cell>
          <cell r="I393">
            <v>49586.481874159988</v>
          </cell>
          <cell r="J393">
            <v>187654.90949743995</v>
          </cell>
          <cell r="K393">
            <v>417527.46470358002</v>
          </cell>
          <cell r="N393">
            <v>362824.76493648003</v>
          </cell>
          <cell r="O393">
            <v>564381.45569035993</v>
          </cell>
          <cell r="P393">
            <v>521005.63132771989</v>
          </cell>
          <cell r="Q393">
            <v>2102980.7080297396</v>
          </cell>
          <cell r="R393">
            <v>646814.53265814006</v>
          </cell>
          <cell r="S393">
            <v>505601.61884539999</v>
          </cell>
          <cell r="T393">
            <v>461400.62545500026</v>
          </cell>
          <cell r="U393">
            <v>909516.84013498039</v>
          </cell>
          <cell r="V393">
            <v>769388.00400000007</v>
          </cell>
          <cell r="W393">
            <v>862400</v>
          </cell>
          <cell r="X393">
            <v>349566.54456952494</v>
          </cell>
          <cell r="Y393">
            <v>6607668.8736927854</v>
          </cell>
        </row>
        <row r="394">
          <cell r="D394" t="str">
            <v xml:space="preserve"> </v>
          </cell>
          <cell r="E394" t="str">
            <v xml:space="preserve"> </v>
          </cell>
          <cell r="I394" t="str">
            <v xml:space="preserve"> </v>
          </cell>
          <cell r="J394" t="str">
            <v xml:space="preserve"> </v>
          </cell>
          <cell r="K394" t="str">
            <v xml:space="preserve"> </v>
          </cell>
          <cell r="N394" t="str">
            <v xml:space="preserve"> </v>
          </cell>
          <cell r="O394" t="str">
            <v xml:space="preserve"> </v>
          </cell>
          <cell r="P394" t="str">
            <v xml:space="preserve"> </v>
          </cell>
          <cell r="Q394" t="str">
            <v xml:space="preserve"> </v>
          </cell>
          <cell r="R394" t="str">
            <v xml:space="preserve"> </v>
          </cell>
          <cell r="S394" t="str">
            <v xml:space="preserve"> </v>
          </cell>
          <cell r="T394" t="str">
            <v xml:space="preserve"> </v>
          </cell>
          <cell r="U394" t="str">
            <v xml:space="preserve"> </v>
          </cell>
          <cell r="Y394" t="str">
            <v xml:space="preserve"> </v>
          </cell>
          <cell r="Z394" t="str">
            <v xml:space="preserve"> </v>
          </cell>
        </row>
        <row r="395">
          <cell r="A395">
            <v>403</v>
          </cell>
          <cell r="C395" t="str">
            <v>PLAČILA DOMAČIH OBRESTI</v>
          </cell>
          <cell r="D395">
            <v>34374929.088209994</v>
          </cell>
          <cell r="E395">
            <v>34674655</v>
          </cell>
          <cell r="F395">
            <v>-299725.91179000586</v>
          </cell>
          <cell r="G395">
            <v>110.84463967622608</v>
          </cell>
          <cell r="H395">
            <v>1.7857113647622498</v>
          </cell>
          <cell r="I395">
            <v>0</v>
          </cell>
          <cell r="J395">
            <v>0</v>
          </cell>
          <cell r="K395">
            <v>0</v>
          </cell>
          <cell r="L395">
            <v>0</v>
          </cell>
          <cell r="N395">
            <v>0</v>
          </cell>
          <cell r="O395">
            <v>0</v>
          </cell>
          <cell r="P395">
            <v>0</v>
          </cell>
          <cell r="Q395">
            <v>0</v>
          </cell>
          <cell r="R395">
            <v>0</v>
          </cell>
          <cell r="S395">
            <v>0</v>
          </cell>
          <cell r="T395">
            <v>0</v>
          </cell>
          <cell r="U395">
            <v>0</v>
          </cell>
          <cell r="V395">
            <v>2844</v>
          </cell>
          <cell r="W395">
            <v>0</v>
          </cell>
          <cell r="X395">
            <v>0</v>
          </cell>
          <cell r="Y395">
            <v>2844</v>
          </cell>
          <cell r="Z395" t="e">
            <v>#VALUE!</v>
          </cell>
          <cell r="AA395">
            <v>8.2734716127034653E-3</v>
          </cell>
          <cell r="AB395">
            <v>-99.992325165479869</v>
          </cell>
        </row>
        <row r="396">
          <cell r="C396" t="str">
            <v xml:space="preserve">                                 - dinamizirani sprejeti proračun</v>
          </cell>
          <cell r="D396">
            <v>51155392</v>
          </cell>
          <cell r="I396">
            <v>4433435</v>
          </cell>
          <cell r="J396">
            <v>4433435</v>
          </cell>
          <cell r="K396">
            <v>4433435</v>
          </cell>
          <cell r="N396">
            <v>4433435</v>
          </cell>
          <cell r="O396">
            <v>4433435</v>
          </cell>
          <cell r="P396">
            <v>4433435</v>
          </cell>
          <cell r="Q396">
            <v>26600610</v>
          </cell>
          <cell r="R396">
            <v>4433435</v>
          </cell>
          <cell r="S396">
            <v>4433435</v>
          </cell>
          <cell r="T396">
            <v>4433435</v>
          </cell>
          <cell r="U396">
            <v>4433435</v>
          </cell>
          <cell r="V396">
            <v>1510567</v>
          </cell>
          <cell r="W396">
            <v>2387607</v>
          </cell>
          <cell r="X396">
            <v>0</v>
          </cell>
          <cell r="Y396">
            <v>48232524</v>
          </cell>
        </row>
        <row r="398">
          <cell r="A398">
            <v>4030</v>
          </cell>
          <cell r="C398" t="str">
            <v>Plačila obresti od kreditov Banki Slovenije</v>
          </cell>
          <cell r="D398">
            <v>0</v>
          </cell>
          <cell r="E398">
            <v>0</v>
          </cell>
          <cell r="F398">
            <v>0</v>
          </cell>
          <cell r="G398" t="str">
            <v>…</v>
          </cell>
          <cell r="H398" t="str">
            <v>…</v>
          </cell>
          <cell r="Q398">
            <v>0</v>
          </cell>
          <cell r="Y398">
            <v>0</v>
          </cell>
          <cell r="Z398" t="str">
            <v xml:space="preserve"> </v>
          </cell>
          <cell r="AA398" t="str">
            <v>…</v>
          </cell>
          <cell r="AB398" t="str">
            <v>…</v>
          </cell>
        </row>
        <row r="399">
          <cell r="A399">
            <v>4031</v>
          </cell>
          <cell r="C399" t="str">
            <v>Plačila obresti od kreditov poslovnim bankam</v>
          </cell>
          <cell r="D399">
            <v>5354377.7062299997</v>
          </cell>
          <cell r="E399">
            <v>5417231</v>
          </cell>
          <cell r="F399">
            <v>-62853.293770000339</v>
          </cell>
          <cell r="G399">
            <v>106.07755518999731</v>
          </cell>
          <cell r="H399">
            <v>-2.5917766850346027</v>
          </cell>
          <cell r="Q399">
            <v>0</v>
          </cell>
          <cell r="Y399">
            <v>0</v>
          </cell>
          <cell r="Z399" t="str">
            <v xml:space="preserve"> </v>
          </cell>
          <cell r="AA399">
            <v>0</v>
          </cell>
          <cell r="AB399">
            <v>-100</v>
          </cell>
        </row>
        <row r="400">
          <cell r="A400">
            <v>4032</v>
          </cell>
          <cell r="C400" t="str">
            <v>Plačila obresti od kreditov drugim finančnim instituc.</v>
          </cell>
          <cell r="D400">
            <v>0</v>
          </cell>
          <cell r="E400">
            <v>0</v>
          </cell>
          <cell r="F400">
            <v>0</v>
          </cell>
          <cell r="G400" t="str">
            <v>…</v>
          </cell>
          <cell r="H400" t="str">
            <v>…</v>
          </cell>
          <cell r="Q400">
            <v>0</v>
          </cell>
          <cell r="Y400">
            <v>0</v>
          </cell>
          <cell r="Z400" t="str">
            <v xml:space="preserve"> </v>
          </cell>
          <cell r="AA400" t="str">
            <v>…</v>
          </cell>
          <cell r="AB400" t="str">
            <v>…</v>
          </cell>
        </row>
        <row r="401">
          <cell r="A401">
            <v>4033</v>
          </cell>
          <cell r="C401" t="str">
            <v>Plačila obresti od kreditov drugim kreditodajalcem</v>
          </cell>
          <cell r="D401">
            <v>4033.3971099999999</v>
          </cell>
          <cell r="E401">
            <v>2010</v>
          </cell>
          <cell r="F401">
            <v>2023.3971099999999</v>
          </cell>
          <cell r="G401">
            <v>174.64326379440078</v>
          </cell>
          <cell r="H401">
            <v>60.370306514601282</v>
          </cell>
          <cell r="I401">
            <v>0</v>
          </cell>
          <cell r="J401">
            <v>0</v>
          </cell>
          <cell r="K401">
            <v>0</v>
          </cell>
          <cell r="N401">
            <v>0</v>
          </cell>
          <cell r="O401">
            <v>0</v>
          </cell>
          <cell r="P401">
            <v>0</v>
          </cell>
          <cell r="Q401">
            <v>0</v>
          </cell>
          <cell r="R401">
            <v>0</v>
          </cell>
          <cell r="S401">
            <v>0</v>
          </cell>
          <cell r="T401">
            <v>0</v>
          </cell>
          <cell r="U401">
            <v>0</v>
          </cell>
          <cell r="V401">
            <v>2844</v>
          </cell>
          <cell r="W401">
            <v>0</v>
          </cell>
          <cell r="X401">
            <v>0</v>
          </cell>
          <cell r="Y401">
            <v>2844</v>
          </cell>
          <cell r="Z401" t="str">
            <v xml:space="preserve"> </v>
          </cell>
          <cell r="AA401">
            <v>70.511281741856564</v>
          </cell>
          <cell r="AB401">
            <v>-34.590647734826931</v>
          </cell>
        </row>
        <row r="402">
          <cell r="A402">
            <v>403300</v>
          </cell>
          <cell r="C402" t="str">
            <v>Plačila obresti od kratkoroč.kreditovdrugim ravnem države</v>
          </cell>
          <cell r="D402">
            <v>310.47068999999999</v>
          </cell>
          <cell r="E402">
            <v>0</v>
          </cell>
          <cell r="F402">
            <v>310.47068999999999</v>
          </cell>
          <cell r="Y402">
            <v>0</v>
          </cell>
          <cell r="Z402" t="str">
            <v xml:space="preserve"> </v>
          </cell>
          <cell r="AA402">
            <v>0</v>
          </cell>
          <cell r="AB402">
            <v>-100</v>
          </cell>
        </row>
        <row r="403">
          <cell r="A403">
            <v>403301</v>
          </cell>
          <cell r="C403" t="str">
            <v>Plačila obresti od kreditov skladom soc.zavarovanja</v>
          </cell>
          <cell r="D403">
            <v>19.478720000000003</v>
          </cell>
          <cell r="E403">
            <v>0</v>
          </cell>
          <cell r="F403">
            <v>19.478720000000003</v>
          </cell>
          <cell r="G403" t="str">
            <v>…</v>
          </cell>
          <cell r="H403" t="str">
            <v>…</v>
          </cell>
          <cell r="Q403">
            <v>0</v>
          </cell>
          <cell r="Y403">
            <v>0</v>
          </cell>
          <cell r="Z403" t="str">
            <v xml:space="preserve"> </v>
          </cell>
          <cell r="AA403">
            <v>0</v>
          </cell>
          <cell r="AB403">
            <v>-100</v>
          </cell>
        </row>
        <row r="404">
          <cell r="A404">
            <v>403302</v>
          </cell>
          <cell r="C404" t="str">
            <v xml:space="preserve">Plačila obresti od kreditov drugim javnim skladom </v>
          </cell>
          <cell r="D404">
            <v>3703.4476999999997</v>
          </cell>
          <cell r="E404">
            <v>2010</v>
          </cell>
          <cell r="F404">
            <v>1693.4476999999997</v>
          </cell>
          <cell r="G404" t="str">
            <v>…</v>
          </cell>
          <cell r="H404" t="str">
            <v>…</v>
          </cell>
          <cell r="Q404">
            <v>0</v>
          </cell>
          <cell r="Y404">
            <v>0</v>
          </cell>
          <cell r="Z404" t="str">
            <v xml:space="preserve"> </v>
          </cell>
          <cell r="AA404">
            <v>0</v>
          </cell>
          <cell r="AB404">
            <v>-100</v>
          </cell>
        </row>
        <row r="405">
          <cell r="A405">
            <v>403303</v>
          </cell>
          <cell r="C405" t="str">
            <v>Plačila obresti od kreditov drugim kreditodajalcem</v>
          </cell>
          <cell r="D405">
            <v>0</v>
          </cell>
          <cell r="E405">
            <v>0</v>
          </cell>
          <cell r="F405">
            <v>0</v>
          </cell>
          <cell r="G405" t="str">
            <v>…</v>
          </cell>
          <cell r="H405" t="str">
            <v>…</v>
          </cell>
          <cell r="Q405">
            <v>0</v>
          </cell>
          <cell r="Y405">
            <v>0</v>
          </cell>
          <cell r="Z405" t="str">
            <v xml:space="preserve"> </v>
          </cell>
          <cell r="AA405" t="str">
            <v>…</v>
          </cell>
          <cell r="AB405" t="str">
            <v>…</v>
          </cell>
        </row>
        <row r="406">
          <cell r="A406">
            <v>4034</v>
          </cell>
          <cell r="C406" t="str">
            <v>Plačila obresti od vrednostnih papirjev</v>
          </cell>
          <cell r="D406">
            <v>29016517.984869994</v>
          </cell>
          <cell r="E406">
            <v>29255414</v>
          </cell>
          <cell r="F406">
            <v>-238896.01513000578</v>
          </cell>
          <cell r="G406">
            <v>111.76579835665363</v>
          </cell>
          <cell r="H406">
            <v>2.6315871043651242</v>
          </cell>
          <cell r="Q406">
            <v>0</v>
          </cell>
          <cell r="Y406">
            <v>0</v>
          </cell>
          <cell r="Z406" t="str">
            <v xml:space="preserve"> </v>
          </cell>
          <cell r="AA406">
            <v>0</v>
          </cell>
          <cell r="AB406">
            <v>-100</v>
          </cell>
        </row>
        <row r="407">
          <cell r="A407">
            <v>403401</v>
          </cell>
          <cell r="C407" t="str">
            <v>Plačila obresti od vrednostnih papirjev  poslovnim bankam</v>
          </cell>
          <cell r="E407" t="str">
            <v xml:space="preserve"> </v>
          </cell>
          <cell r="I407" t="str">
            <v xml:space="preserve"> </v>
          </cell>
          <cell r="J407" t="str">
            <v xml:space="preserve"> </v>
          </cell>
          <cell r="K407" t="str">
            <v xml:space="preserve"> </v>
          </cell>
          <cell r="N407" t="str">
            <v xml:space="preserve"> </v>
          </cell>
          <cell r="O407" t="str">
            <v xml:space="preserve"> </v>
          </cell>
          <cell r="P407" t="str">
            <v xml:space="preserve"> </v>
          </cell>
          <cell r="Q407" t="e">
            <v>#VALUE!</v>
          </cell>
          <cell r="R407" t="str">
            <v xml:space="preserve"> </v>
          </cell>
          <cell r="S407" t="str">
            <v xml:space="preserve"> </v>
          </cell>
          <cell r="T407" t="str">
            <v xml:space="preserve"> </v>
          </cell>
          <cell r="U407" t="str">
            <v xml:space="preserve"> </v>
          </cell>
          <cell r="V407" t="str">
            <v xml:space="preserve"> </v>
          </cell>
          <cell r="W407" t="str">
            <v xml:space="preserve"> </v>
          </cell>
          <cell r="X407" t="str">
            <v xml:space="preserve"> </v>
          </cell>
          <cell r="Z407" t="str">
            <v xml:space="preserve"> </v>
          </cell>
        </row>
        <row r="408">
          <cell r="A408">
            <v>403402</v>
          </cell>
          <cell r="C408" t="str">
            <v>Plačila obresti od vrednostnih papirjev  finanč.instit.</v>
          </cell>
          <cell r="E408" t="str">
            <v xml:space="preserve"> </v>
          </cell>
          <cell r="I408" t="str">
            <v xml:space="preserve"> </v>
          </cell>
          <cell r="J408" t="str">
            <v xml:space="preserve"> </v>
          </cell>
          <cell r="K408" t="str">
            <v xml:space="preserve"> </v>
          </cell>
          <cell r="N408" t="str">
            <v xml:space="preserve"> </v>
          </cell>
          <cell r="O408" t="str">
            <v xml:space="preserve"> </v>
          </cell>
          <cell r="P408" t="str">
            <v xml:space="preserve"> </v>
          </cell>
          <cell r="Q408" t="e">
            <v>#VALUE!</v>
          </cell>
          <cell r="R408" t="str">
            <v xml:space="preserve"> </v>
          </cell>
          <cell r="S408" t="str">
            <v xml:space="preserve"> </v>
          </cell>
          <cell r="T408" t="str">
            <v xml:space="preserve"> </v>
          </cell>
          <cell r="U408" t="str">
            <v xml:space="preserve"> </v>
          </cell>
          <cell r="V408" t="str">
            <v xml:space="preserve"> </v>
          </cell>
          <cell r="W408" t="str">
            <v xml:space="preserve"> </v>
          </cell>
          <cell r="X408" t="str">
            <v xml:space="preserve"> </v>
          </cell>
          <cell r="Z408" t="str">
            <v xml:space="preserve"> </v>
          </cell>
        </row>
        <row r="409">
          <cell r="A409">
            <v>403403</v>
          </cell>
          <cell r="C409" t="str">
            <v>Plačila obresti od vrednostnih papirjev  skladom soc.zavarov.</v>
          </cell>
          <cell r="E409" t="str">
            <v xml:space="preserve"> </v>
          </cell>
          <cell r="I409" t="str">
            <v xml:space="preserve"> </v>
          </cell>
          <cell r="J409" t="str">
            <v xml:space="preserve"> </v>
          </cell>
          <cell r="K409" t="str">
            <v xml:space="preserve"> </v>
          </cell>
          <cell r="N409" t="str">
            <v xml:space="preserve"> </v>
          </cell>
          <cell r="O409" t="str">
            <v xml:space="preserve"> </v>
          </cell>
          <cell r="P409" t="str">
            <v xml:space="preserve"> </v>
          </cell>
          <cell r="Q409" t="e">
            <v>#VALUE!</v>
          </cell>
          <cell r="R409" t="str">
            <v xml:space="preserve"> </v>
          </cell>
          <cell r="S409" t="str">
            <v xml:space="preserve"> </v>
          </cell>
          <cell r="T409" t="str">
            <v xml:space="preserve"> </v>
          </cell>
          <cell r="U409" t="str">
            <v xml:space="preserve"> </v>
          </cell>
          <cell r="V409" t="str">
            <v xml:space="preserve"> </v>
          </cell>
          <cell r="W409" t="str">
            <v xml:space="preserve"> </v>
          </cell>
          <cell r="X409" t="str">
            <v xml:space="preserve"> </v>
          </cell>
          <cell r="Z409" t="str">
            <v xml:space="preserve"> </v>
          </cell>
        </row>
        <row r="410">
          <cell r="A410">
            <v>403404</v>
          </cell>
          <cell r="C410" t="str">
            <v>Plačila obresti od vrednostnih papirjev  drugim javnim skladom</v>
          </cell>
          <cell r="E410" t="str">
            <v xml:space="preserve"> </v>
          </cell>
          <cell r="I410" t="str">
            <v xml:space="preserve"> </v>
          </cell>
          <cell r="J410" t="str">
            <v xml:space="preserve"> </v>
          </cell>
          <cell r="K410" t="str">
            <v xml:space="preserve"> </v>
          </cell>
          <cell r="N410" t="str">
            <v xml:space="preserve"> </v>
          </cell>
          <cell r="O410" t="str">
            <v xml:space="preserve"> </v>
          </cell>
          <cell r="P410" t="str">
            <v xml:space="preserve"> </v>
          </cell>
          <cell r="Q410" t="e">
            <v>#VALUE!</v>
          </cell>
          <cell r="R410" t="str">
            <v xml:space="preserve"> </v>
          </cell>
          <cell r="S410" t="str">
            <v xml:space="preserve"> </v>
          </cell>
          <cell r="T410" t="str">
            <v xml:space="preserve"> </v>
          </cell>
          <cell r="U410" t="str">
            <v xml:space="preserve"> </v>
          </cell>
          <cell r="V410" t="str">
            <v xml:space="preserve"> </v>
          </cell>
          <cell r="W410" t="str">
            <v xml:space="preserve"> </v>
          </cell>
          <cell r="X410" t="str">
            <v xml:space="preserve"> </v>
          </cell>
          <cell r="Z410" t="str">
            <v xml:space="preserve"> </v>
          </cell>
        </row>
        <row r="411">
          <cell r="A411">
            <v>403405</v>
          </cell>
          <cell r="C411" t="str">
            <v>Plačila obresti od vrednostnih papirjev  drugim dom.kred.</v>
          </cell>
          <cell r="E411" t="str">
            <v xml:space="preserve"> </v>
          </cell>
          <cell r="I411" t="str">
            <v xml:space="preserve"> </v>
          </cell>
          <cell r="J411" t="str">
            <v xml:space="preserve"> </v>
          </cell>
          <cell r="K411" t="str">
            <v xml:space="preserve"> </v>
          </cell>
          <cell r="N411" t="str">
            <v xml:space="preserve"> </v>
          </cell>
          <cell r="O411" t="str">
            <v xml:space="preserve"> </v>
          </cell>
          <cell r="P411" t="str">
            <v xml:space="preserve"> </v>
          </cell>
          <cell r="Q411" t="e">
            <v>#VALUE!</v>
          </cell>
          <cell r="R411" t="str">
            <v xml:space="preserve"> </v>
          </cell>
          <cell r="S411" t="str">
            <v xml:space="preserve"> </v>
          </cell>
          <cell r="T411" t="str">
            <v xml:space="preserve"> </v>
          </cell>
          <cell r="U411" t="str">
            <v xml:space="preserve"> </v>
          </cell>
          <cell r="V411" t="str">
            <v xml:space="preserve"> </v>
          </cell>
          <cell r="W411" t="str">
            <v xml:space="preserve"> </v>
          </cell>
          <cell r="X411" t="str">
            <v xml:space="preserve"> </v>
          </cell>
          <cell r="Z411" t="str">
            <v xml:space="preserve"> </v>
          </cell>
        </row>
        <row r="412">
          <cell r="Q412" t="str">
            <v xml:space="preserve"> </v>
          </cell>
        </row>
        <row r="413">
          <cell r="A413">
            <v>404</v>
          </cell>
          <cell r="C413" t="str">
            <v>PLAČILA OBRESTI V TUJINO</v>
          </cell>
          <cell r="D413">
            <v>26011264.121039998</v>
          </cell>
          <cell r="E413">
            <v>26057629</v>
          </cell>
          <cell r="F413">
            <v>-46364.878960002214</v>
          </cell>
          <cell r="G413">
            <v>133.8057481071294</v>
          </cell>
          <cell r="H413">
            <v>22.870292109393375</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-100</v>
          </cell>
        </row>
        <row r="414">
          <cell r="C414" t="str">
            <v xml:space="preserve">                                 - dinamizirani sprejeti proračun</v>
          </cell>
          <cell r="D414">
            <v>8190481</v>
          </cell>
          <cell r="I414">
            <v>593268</v>
          </cell>
          <cell r="J414">
            <v>593268</v>
          </cell>
          <cell r="K414">
            <v>593268</v>
          </cell>
          <cell r="N414">
            <v>593268</v>
          </cell>
          <cell r="O414">
            <v>593268</v>
          </cell>
          <cell r="P414">
            <v>593268</v>
          </cell>
          <cell r="Q414">
            <v>3559608</v>
          </cell>
          <cell r="R414">
            <v>593268</v>
          </cell>
          <cell r="S414">
            <v>593268</v>
          </cell>
          <cell r="T414">
            <v>593268</v>
          </cell>
          <cell r="U414">
            <v>593268</v>
          </cell>
          <cell r="V414">
            <v>457424</v>
          </cell>
          <cell r="W414">
            <v>1664533</v>
          </cell>
          <cell r="X414">
            <v>0</v>
          </cell>
          <cell r="Y414">
            <v>8054637</v>
          </cell>
        </row>
        <row r="415">
          <cell r="Q415" t="str">
            <v xml:space="preserve"> </v>
          </cell>
        </row>
        <row r="416">
          <cell r="A416">
            <v>4040</v>
          </cell>
          <cell r="C416" t="str">
            <v>Plačila obresti mednarodnim finančnim institucijam</v>
          </cell>
          <cell r="D416">
            <v>4415288.7713299999</v>
          </cell>
          <cell r="E416">
            <v>5157568</v>
          </cell>
          <cell r="F416">
            <v>-742279.2286700001</v>
          </cell>
          <cell r="G416">
            <v>111.01563468148304</v>
          </cell>
          <cell r="H416">
            <v>1.9427315716097553</v>
          </cell>
          <cell r="Q416">
            <v>0</v>
          </cell>
          <cell r="Y416">
            <v>0</v>
          </cell>
          <cell r="Z416" t="str">
            <v xml:space="preserve"> </v>
          </cell>
          <cell r="AA416">
            <v>0</v>
          </cell>
          <cell r="AB416">
            <v>-100</v>
          </cell>
        </row>
        <row r="417">
          <cell r="A417">
            <v>4041</v>
          </cell>
          <cell r="C417" t="str">
            <v xml:space="preserve">Plačila obresti tujim vladam </v>
          </cell>
          <cell r="D417">
            <v>175074.14835</v>
          </cell>
          <cell r="E417">
            <v>798862</v>
          </cell>
          <cell r="F417">
            <v>-623787.85164999997</v>
          </cell>
          <cell r="G417">
            <v>34.19123059955934</v>
          </cell>
          <cell r="H417">
            <v>-68.603094031625943</v>
          </cell>
          <cell r="Q417">
            <v>0</v>
          </cell>
          <cell r="Y417">
            <v>0</v>
          </cell>
          <cell r="Z417" t="str">
            <v xml:space="preserve"> </v>
          </cell>
          <cell r="AA417">
            <v>0</v>
          </cell>
          <cell r="AB417">
            <v>-100</v>
          </cell>
        </row>
        <row r="418">
          <cell r="A418">
            <v>4042</v>
          </cell>
          <cell r="C418" t="str">
            <v>Plačila obresti tujim bankam in finanč.instituc.</v>
          </cell>
          <cell r="D418">
            <v>3843861.3075500005</v>
          </cell>
          <cell r="E418">
            <v>3590379</v>
          </cell>
          <cell r="F418">
            <v>253482.30755000049</v>
          </cell>
          <cell r="G418">
            <v>177.55994747636288</v>
          </cell>
          <cell r="H418">
            <v>63.048620272142216</v>
          </cell>
          <cell r="Q418">
            <v>0</v>
          </cell>
          <cell r="Y418">
            <v>0</v>
          </cell>
          <cell r="Z418" t="str">
            <v xml:space="preserve"> </v>
          </cell>
          <cell r="AA418">
            <v>0</v>
          </cell>
          <cell r="AB418">
            <v>-100</v>
          </cell>
        </row>
        <row r="419">
          <cell r="A419">
            <v>4043</v>
          </cell>
          <cell r="C419" t="str">
            <v>Plačila obresti drugim tujim kreditodajalcem</v>
          </cell>
          <cell r="D419">
            <v>11721435.75</v>
          </cell>
          <cell r="E419">
            <v>16510820</v>
          </cell>
          <cell r="F419">
            <v>-4789384.25</v>
          </cell>
          <cell r="G419">
            <v>91.677387055430657</v>
          </cell>
          <cell r="H419">
            <v>-15.815071574443849</v>
          </cell>
          <cell r="Q419">
            <v>0</v>
          </cell>
          <cell r="Y419">
            <v>0</v>
          </cell>
          <cell r="Z419" t="str">
            <v xml:space="preserve"> </v>
          </cell>
          <cell r="AA419">
            <v>0</v>
          </cell>
          <cell r="AB419">
            <v>-100</v>
          </cell>
        </row>
        <row r="420">
          <cell r="A420">
            <v>4044</v>
          </cell>
          <cell r="C420" t="str">
            <v>Plačila obresti od vrednostnih papirjev, izdanih na tujih trgih</v>
          </cell>
          <cell r="D420">
            <v>5855604.1438100003</v>
          </cell>
          <cell r="E420">
            <v>0</v>
          </cell>
          <cell r="F420">
            <v>5855604.1438100003</v>
          </cell>
          <cell r="G420" t="str">
            <v>…</v>
          </cell>
          <cell r="H420" t="str">
            <v>…</v>
          </cell>
          <cell r="Q420">
            <v>0</v>
          </cell>
          <cell r="Y420" t="str">
            <v xml:space="preserve"> </v>
          </cell>
          <cell r="Z420" t="str">
            <v xml:space="preserve"> </v>
          </cell>
          <cell r="AA420" t="str">
            <v xml:space="preserve"> </v>
          </cell>
          <cell r="AB420" t="str">
            <v xml:space="preserve"> </v>
          </cell>
        </row>
        <row r="421">
          <cell r="Q421" t="str">
            <v xml:space="preserve"> </v>
          </cell>
        </row>
        <row r="422">
          <cell r="A422">
            <v>409</v>
          </cell>
          <cell r="C422" t="str">
            <v>SREDSTVA, IZLOČENA V REZERVE</v>
          </cell>
          <cell r="D422">
            <v>10341210.236819999</v>
          </cell>
          <cell r="E422">
            <v>9914000</v>
          </cell>
          <cell r="F422">
            <v>427210.23681999929</v>
          </cell>
          <cell r="G422">
            <v>110.38583147662287</v>
          </cell>
          <cell r="H422">
            <v>1.3643998867060247</v>
          </cell>
          <cell r="I422">
            <v>850000</v>
          </cell>
          <cell r="J422">
            <v>850000</v>
          </cell>
          <cell r="K422">
            <v>800000</v>
          </cell>
          <cell r="L422">
            <v>2500000</v>
          </cell>
          <cell r="N422">
            <v>666666.66666666663</v>
          </cell>
          <cell r="O422">
            <v>666666.66666666663</v>
          </cell>
          <cell r="P422">
            <v>666666.66666666663</v>
          </cell>
          <cell r="Q422">
            <v>4500000</v>
          </cell>
          <cell r="R422">
            <v>666666.66666666663</v>
          </cell>
          <cell r="S422">
            <v>666666.66666666663</v>
          </cell>
          <cell r="T422">
            <v>666666.66666666663</v>
          </cell>
          <cell r="U422">
            <v>666666.66666666663</v>
          </cell>
          <cell r="V422">
            <v>666666.66666666663</v>
          </cell>
          <cell r="W422">
            <v>666666.66666666663</v>
          </cell>
          <cell r="X422">
            <v>0</v>
          </cell>
          <cell r="Y422">
            <v>8500000.0000000019</v>
          </cell>
          <cell r="Z422" t="e">
            <v>#VALUE!</v>
          </cell>
          <cell r="AA422">
            <v>82.195408519359304</v>
          </cell>
          <cell r="AB422">
            <v>-23.751940149017344</v>
          </cell>
        </row>
        <row r="423">
          <cell r="C423" t="str">
            <v xml:space="preserve">                                 - dinamizirani sprejeti proračun</v>
          </cell>
          <cell r="D423">
            <v>1523979</v>
          </cell>
          <cell r="I423">
            <v>0</v>
          </cell>
          <cell r="J423">
            <v>0</v>
          </cell>
          <cell r="K423">
            <v>0</v>
          </cell>
          <cell r="N423">
            <v>0</v>
          </cell>
          <cell r="O423">
            <v>0</v>
          </cell>
          <cell r="P423">
            <v>0</v>
          </cell>
          <cell r="Q423">
            <v>0</v>
          </cell>
          <cell r="R423">
            <v>0</v>
          </cell>
          <cell r="S423">
            <v>0</v>
          </cell>
          <cell r="T423">
            <v>0</v>
          </cell>
          <cell r="U423">
            <v>0</v>
          </cell>
          <cell r="V423">
            <v>1033330</v>
          </cell>
          <cell r="W423">
            <v>1023979</v>
          </cell>
          <cell r="X423">
            <v>500000</v>
          </cell>
          <cell r="Y423">
            <v>2557309</v>
          </cell>
        </row>
        <row r="424">
          <cell r="D424" t="str">
            <v xml:space="preserve"> </v>
          </cell>
          <cell r="Q424" t="str">
            <v xml:space="preserve"> </v>
          </cell>
          <cell r="Y424" t="str">
            <v xml:space="preserve"> </v>
          </cell>
        </row>
        <row r="425">
          <cell r="A425">
            <v>4090</v>
          </cell>
          <cell r="C425" t="str">
            <v>Tekoča proračunska rezerva</v>
          </cell>
          <cell r="D425">
            <v>0</v>
          </cell>
          <cell r="E425">
            <v>2914000</v>
          </cell>
          <cell r="F425">
            <v>-2914000</v>
          </cell>
          <cell r="G425" t="str">
            <v>…</v>
          </cell>
          <cell r="H425" t="str">
            <v>…</v>
          </cell>
          <cell r="I425">
            <v>350000</v>
          </cell>
          <cell r="J425">
            <v>350000</v>
          </cell>
          <cell r="K425">
            <v>300000</v>
          </cell>
          <cell r="L425">
            <v>1000000</v>
          </cell>
          <cell r="N425">
            <v>166666.66666666666</v>
          </cell>
          <cell r="O425">
            <v>166666.66666666666</v>
          </cell>
          <cell r="P425">
            <v>166666.66666666666</v>
          </cell>
          <cell r="Q425">
            <v>1500000</v>
          </cell>
          <cell r="R425">
            <v>166666.66666666666</v>
          </cell>
          <cell r="S425">
            <v>166666.66666666666</v>
          </cell>
          <cell r="T425">
            <v>166666.66666666666</v>
          </cell>
          <cell r="U425">
            <v>166666.66666666666</v>
          </cell>
          <cell r="V425">
            <v>166666.66666666666</v>
          </cell>
          <cell r="W425">
            <v>166666.66666666666</v>
          </cell>
          <cell r="X425">
            <v>0</v>
          </cell>
          <cell r="Y425">
            <v>2500000</v>
          </cell>
          <cell r="Z425" t="str">
            <v xml:space="preserve"> </v>
          </cell>
          <cell r="AA425" t="str">
            <v>…</v>
          </cell>
          <cell r="AB425" t="str">
            <v>…</v>
          </cell>
        </row>
        <row r="426">
          <cell r="A426">
            <v>4091</v>
          </cell>
          <cell r="C426" t="str">
            <v>Rezerva za naravne nesreče</v>
          </cell>
          <cell r="D426">
            <v>10341210.236819999</v>
          </cell>
          <cell r="E426">
            <v>7000000</v>
          </cell>
          <cell r="F426">
            <v>3341210.2368199993</v>
          </cell>
          <cell r="G426">
            <v>110.38583147662287</v>
          </cell>
          <cell r="H426">
            <v>1.3643998867060247</v>
          </cell>
          <cell r="I426">
            <v>500000</v>
          </cell>
          <cell r="J426">
            <v>500000</v>
          </cell>
          <cell r="K426">
            <v>500000</v>
          </cell>
          <cell r="L426">
            <v>1500000</v>
          </cell>
          <cell r="N426">
            <v>500000</v>
          </cell>
          <cell r="O426">
            <v>500000</v>
          </cell>
          <cell r="P426">
            <v>500000</v>
          </cell>
          <cell r="Q426">
            <v>3000000</v>
          </cell>
          <cell r="R426">
            <v>500000</v>
          </cell>
          <cell r="S426">
            <v>500000</v>
          </cell>
          <cell r="T426">
            <v>500000</v>
          </cell>
          <cell r="U426">
            <v>500000</v>
          </cell>
          <cell r="V426">
            <v>500000</v>
          </cell>
          <cell r="W426">
            <v>500000</v>
          </cell>
          <cell r="X426">
            <v>0</v>
          </cell>
          <cell r="Y426">
            <v>6000000</v>
          </cell>
          <cell r="Z426" t="str">
            <v xml:space="preserve"> </v>
          </cell>
          <cell r="AA426">
            <v>58.02028836660655</v>
          </cell>
          <cell r="AB426">
            <v>-46.177840105188729</v>
          </cell>
        </row>
        <row r="427">
          <cell r="A427">
            <v>4092</v>
          </cell>
          <cell r="C427" t="str">
            <v>Druge rezerve</v>
          </cell>
          <cell r="D427">
            <v>0</v>
          </cell>
          <cell r="E427">
            <v>0</v>
          </cell>
          <cell r="F427">
            <v>0</v>
          </cell>
          <cell r="G427" t="str">
            <v>…</v>
          </cell>
          <cell r="H427" t="str">
            <v>…</v>
          </cell>
          <cell r="I427">
            <v>0</v>
          </cell>
          <cell r="J427">
            <v>0</v>
          </cell>
          <cell r="K427">
            <v>0</v>
          </cell>
          <cell r="N427">
            <v>0</v>
          </cell>
          <cell r="O427">
            <v>0</v>
          </cell>
          <cell r="P427">
            <v>0</v>
          </cell>
          <cell r="Q427">
            <v>0</v>
          </cell>
          <cell r="R427">
            <v>0</v>
          </cell>
          <cell r="S427">
            <v>0</v>
          </cell>
          <cell r="T427">
            <v>0</v>
          </cell>
          <cell r="U427">
            <v>0</v>
          </cell>
          <cell r="V427">
            <v>0</v>
          </cell>
          <cell r="W427">
            <v>0</v>
          </cell>
          <cell r="X427">
            <v>0</v>
          </cell>
          <cell r="Y427">
            <v>0</v>
          </cell>
          <cell r="Z427" t="str">
            <v xml:space="preserve"> </v>
          </cell>
          <cell r="AA427" t="str">
            <v>…</v>
          </cell>
          <cell r="AB427" t="str">
            <v>…</v>
          </cell>
        </row>
        <row r="428">
          <cell r="Q428" t="str">
            <v xml:space="preserve"> </v>
          </cell>
        </row>
        <row r="429">
          <cell r="A429">
            <v>41</v>
          </cell>
          <cell r="C429" t="str">
            <v>TEKOČI TRANSFERI</v>
          </cell>
          <cell r="D429">
            <v>610041848.96235001</v>
          </cell>
          <cell r="E429">
            <v>617479667</v>
          </cell>
          <cell r="F429">
            <v>-7437818.0376499891</v>
          </cell>
          <cell r="G429">
            <v>105.48527487655497</v>
          </cell>
          <cell r="H429">
            <v>-3.1356520876446581</v>
          </cell>
          <cell r="I429">
            <v>52178491.982609995</v>
          </cell>
          <cell r="J429">
            <v>48179470.303500004</v>
          </cell>
          <cell r="K429">
            <v>49518334.83557</v>
          </cell>
          <cell r="L429">
            <v>149876297.12167999</v>
          </cell>
          <cell r="N429">
            <v>53227042.962459996</v>
          </cell>
          <cell r="O429">
            <v>49849918.004000001</v>
          </cell>
          <cell r="P429">
            <v>66684377.59499</v>
          </cell>
          <cell r="Q429">
            <v>319637635.68313003</v>
          </cell>
          <cell r="R429">
            <v>49585239.646369994</v>
          </cell>
          <cell r="S429">
            <v>52036901.006230004</v>
          </cell>
          <cell r="T429">
            <v>49210524.512610003</v>
          </cell>
          <cell r="U429">
            <v>41412486.216960005</v>
          </cell>
          <cell r="V429">
            <v>43766906.400247999</v>
          </cell>
          <cell r="W429">
            <v>39359464.174250484</v>
          </cell>
          <cell r="X429">
            <v>12481000</v>
          </cell>
          <cell r="Y429">
            <v>607490157.63979852</v>
          </cell>
          <cell r="Z429" t="e">
            <v>#VALUE!</v>
          </cell>
          <cell r="AA429">
            <v>99.581718643255073</v>
          </cell>
          <cell r="AB429">
            <v>-7.623637622212371</v>
          </cell>
        </row>
        <row r="430">
          <cell r="C430" t="str">
            <v xml:space="preserve">                                 - dinamizirani sprejeti proračun</v>
          </cell>
          <cell r="D430">
            <v>622568976</v>
          </cell>
          <cell r="I430">
            <v>52202410</v>
          </cell>
          <cell r="J430">
            <v>52202410</v>
          </cell>
          <cell r="K430">
            <v>52202410</v>
          </cell>
          <cell r="N430">
            <v>52202410</v>
          </cell>
          <cell r="O430">
            <v>52202410</v>
          </cell>
          <cell r="P430">
            <v>52202410</v>
          </cell>
          <cell r="Q430">
            <v>313214460</v>
          </cell>
          <cell r="R430">
            <v>52202410</v>
          </cell>
          <cell r="S430">
            <v>52202410</v>
          </cell>
          <cell r="T430">
            <v>52202410</v>
          </cell>
          <cell r="U430">
            <v>52202410</v>
          </cell>
          <cell r="V430">
            <v>46866606</v>
          </cell>
          <cell r="W430">
            <v>42862302</v>
          </cell>
          <cell r="X430">
            <v>5480164</v>
          </cell>
          <cell r="Y430">
            <v>617233172</v>
          </cell>
        </row>
        <row r="431">
          <cell r="Q431" t="str">
            <v xml:space="preserve"> </v>
          </cell>
        </row>
        <row r="432">
          <cell r="A432">
            <v>410</v>
          </cell>
          <cell r="C432" t="str">
            <v>SUBVENCIJE</v>
          </cell>
          <cell r="D432">
            <v>49554531.673899993</v>
          </cell>
          <cell r="E432">
            <v>62439168</v>
          </cell>
          <cell r="F432">
            <v>-12884636.326100007</v>
          </cell>
          <cell r="G432">
            <v>84.894054306403476</v>
          </cell>
          <cell r="H432">
            <v>-22.044027266847138</v>
          </cell>
          <cell r="I432">
            <v>0</v>
          </cell>
          <cell r="J432">
            <v>1897243.5510599997</v>
          </cell>
          <cell r="K432">
            <v>2804991.4123299997</v>
          </cell>
          <cell r="L432">
            <v>4702234.9633899992</v>
          </cell>
          <cell r="N432">
            <v>3051027.82278</v>
          </cell>
          <cell r="O432">
            <v>4730840.1845399998</v>
          </cell>
          <cell r="P432">
            <v>3858301.3584799999</v>
          </cell>
          <cell r="Q432">
            <v>16342404.329189997</v>
          </cell>
          <cell r="R432">
            <v>2933851.0799099999</v>
          </cell>
          <cell r="S432">
            <v>3353262.4417099999</v>
          </cell>
          <cell r="T432">
            <v>2977167.8297700002</v>
          </cell>
          <cell r="U432">
            <v>4430722.6374100009</v>
          </cell>
          <cell r="V432">
            <v>5527824</v>
          </cell>
          <cell r="W432">
            <v>5500000</v>
          </cell>
          <cell r="X432">
            <v>8216000</v>
          </cell>
          <cell r="Y432">
            <v>49281232.31798999</v>
          </cell>
          <cell r="Z432" t="e">
            <v>#VALUE!</v>
          </cell>
          <cell r="AA432">
            <v>99.448487662624913</v>
          </cell>
          <cell r="AB432">
            <v>-7.7472285133349601</v>
          </cell>
        </row>
        <row r="433">
          <cell r="C433" t="str">
            <v xml:space="preserve">                                 - dinamizirani sprejeti proračun</v>
          </cell>
          <cell r="D433">
            <v>11432461</v>
          </cell>
          <cell r="I433">
            <v>0</v>
          </cell>
          <cell r="J433">
            <v>0</v>
          </cell>
          <cell r="K433">
            <v>0</v>
          </cell>
          <cell r="N433">
            <v>0</v>
          </cell>
          <cell r="O433">
            <v>0</v>
          </cell>
          <cell r="P433">
            <v>0</v>
          </cell>
          <cell r="Q433">
            <v>0</v>
          </cell>
          <cell r="R433">
            <v>0</v>
          </cell>
          <cell r="S433">
            <v>0</v>
          </cell>
          <cell r="T433">
            <v>0</v>
          </cell>
          <cell r="U433">
            <v>0</v>
          </cell>
          <cell r="V433">
            <v>8179105</v>
          </cell>
          <cell r="W433">
            <v>7157514</v>
          </cell>
          <cell r="X433">
            <v>4274947</v>
          </cell>
          <cell r="Y433">
            <v>19611566</v>
          </cell>
        </row>
        <row r="434">
          <cell r="D434" t="str">
            <v xml:space="preserve"> </v>
          </cell>
          <cell r="Q434" t="str">
            <v xml:space="preserve"> </v>
          </cell>
          <cell r="Y434" t="str">
            <v xml:space="preserve"> </v>
          </cell>
        </row>
        <row r="435">
          <cell r="A435">
            <v>4100</v>
          </cell>
          <cell r="C435" t="str">
            <v>Subvencije javnim podjetjem</v>
          </cell>
          <cell r="D435">
            <v>14501229.34317</v>
          </cell>
          <cell r="E435">
            <v>15601297</v>
          </cell>
          <cell r="F435">
            <v>-1100067.6568299998</v>
          </cell>
          <cell r="G435">
            <v>75.380211425650074</v>
          </cell>
          <cell r="H435">
            <v>-30.780338452111963</v>
          </cell>
          <cell r="I435">
            <v>0</v>
          </cell>
          <cell r="J435">
            <v>3400.96</v>
          </cell>
          <cell r="K435">
            <v>1854554.7149199999</v>
          </cell>
          <cell r="L435">
            <v>1857955.6749199999</v>
          </cell>
          <cell r="N435">
            <v>962134.09400000004</v>
          </cell>
          <cell r="O435">
            <v>1882481.96</v>
          </cell>
          <cell r="P435">
            <v>1336451.87858</v>
          </cell>
          <cell r="Q435">
            <v>6039023.6074999999</v>
          </cell>
          <cell r="R435">
            <v>1027341.7924599999</v>
          </cell>
          <cell r="S435">
            <v>805308.41243999999</v>
          </cell>
          <cell r="T435">
            <v>861956.66817999992</v>
          </cell>
          <cell r="U435">
            <v>1560171.9922600002</v>
          </cell>
          <cell r="V435">
            <v>2107814</v>
          </cell>
          <cell r="W435">
            <v>1000000</v>
          </cell>
          <cell r="X435">
            <v>1516000</v>
          </cell>
          <cell r="Y435">
            <v>14917616.47284</v>
          </cell>
          <cell r="Z435" t="str">
            <v xml:space="preserve"> </v>
          </cell>
          <cell r="AA435">
            <v>102.87139193385777</v>
          </cell>
          <cell r="AB435">
            <v>-4.5719926402061617</v>
          </cell>
        </row>
        <row r="436">
          <cell r="C436" t="str">
            <v xml:space="preserve">                                 - dinamizirani sprejeti proračun</v>
          </cell>
          <cell r="D436">
            <v>1378020</v>
          </cell>
          <cell r="I436">
            <v>0</v>
          </cell>
          <cell r="J436">
            <v>0</v>
          </cell>
          <cell r="K436">
            <v>0</v>
          </cell>
          <cell r="N436">
            <v>0</v>
          </cell>
          <cell r="O436">
            <v>0</v>
          </cell>
          <cell r="P436">
            <v>0</v>
          </cell>
          <cell r="Q436">
            <v>0</v>
          </cell>
          <cell r="R436">
            <v>0</v>
          </cell>
          <cell r="S436">
            <v>0</v>
          </cell>
          <cell r="T436">
            <v>0</v>
          </cell>
          <cell r="U436">
            <v>0</v>
          </cell>
          <cell r="V436">
            <v>2871502</v>
          </cell>
          <cell r="W436">
            <v>1219883</v>
          </cell>
          <cell r="X436">
            <v>158137</v>
          </cell>
          <cell r="Y436">
            <v>4249522</v>
          </cell>
        </row>
        <row r="437">
          <cell r="A437">
            <v>410000</v>
          </cell>
          <cell r="C437" t="str">
            <v>Subvencioniranje cen javnim podjetjem</v>
          </cell>
          <cell r="D437">
            <v>10036976.314505862</v>
          </cell>
          <cell r="E437" t="str">
            <v xml:space="preserve"> </v>
          </cell>
          <cell r="G437" t="str">
            <v>…</v>
          </cell>
          <cell r="H437" t="str">
            <v>…</v>
          </cell>
          <cell r="I437">
            <v>0</v>
          </cell>
          <cell r="J437">
            <v>0</v>
          </cell>
          <cell r="K437">
            <v>1565911.30192</v>
          </cell>
          <cell r="N437">
            <v>836007.09400000004</v>
          </cell>
          <cell r="O437">
            <v>790916.08600000001</v>
          </cell>
          <cell r="P437">
            <v>803001.73858</v>
          </cell>
          <cell r="Q437">
            <v>3995836.2205000003</v>
          </cell>
          <cell r="R437">
            <v>685184.07155999995</v>
          </cell>
          <cell r="S437">
            <v>640044.81544000003</v>
          </cell>
          <cell r="T437">
            <v>532322.58418000001</v>
          </cell>
          <cell r="U437">
            <v>813111.31625999999</v>
          </cell>
          <cell r="V437">
            <v>1768321</v>
          </cell>
          <cell r="W437">
            <v>838935.97822198726</v>
          </cell>
          <cell r="X437">
            <v>1271826.9429845328</v>
          </cell>
          <cell r="Y437">
            <v>10545582.929146519</v>
          </cell>
          <cell r="Z437" t="str">
            <v xml:space="preserve"> </v>
          </cell>
        </row>
        <row r="438">
          <cell r="A438">
            <v>410001</v>
          </cell>
          <cell r="C438" t="str">
            <v>Subvencioniranje obresti  javnim podjetjem</v>
          </cell>
          <cell r="D438">
            <v>0</v>
          </cell>
          <cell r="E438" t="str">
            <v xml:space="preserve"> </v>
          </cell>
          <cell r="G438" t="str">
            <v>…</v>
          </cell>
          <cell r="H438" t="str">
            <v>…</v>
          </cell>
          <cell r="I438">
            <v>0</v>
          </cell>
          <cell r="J438">
            <v>0</v>
          </cell>
          <cell r="K438">
            <v>0</v>
          </cell>
          <cell r="N438">
            <v>0</v>
          </cell>
          <cell r="O438">
            <v>0</v>
          </cell>
          <cell r="P438">
            <v>0</v>
          </cell>
          <cell r="Q438">
            <v>0</v>
          </cell>
          <cell r="R438">
            <v>0</v>
          </cell>
          <cell r="S438">
            <v>0</v>
          </cell>
          <cell r="T438">
            <v>0</v>
          </cell>
          <cell r="U438">
            <v>0</v>
          </cell>
          <cell r="V438">
            <v>0</v>
          </cell>
          <cell r="W438">
            <v>0</v>
          </cell>
          <cell r="X438">
            <v>0</v>
          </cell>
          <cell r="Y438">
            <v>0</v>
          </cell>
          <cell r="Z438" t="str">
            <v xml:space="preserve"> </v>
          </cell>
        </row>
        <row r="439">
          <cell r="A439">
            <v>410002</v>
          </cell>
          <cell r="C439" t="str">
            <v xml:space="preserve">Subvencioniranje prispevkov za socialno varnost </v>
          </cell>
          <cell r="D439">
            <v>9150</v>
          </cell>
          <cell r="E439" t="str">
            <v xml:space="preserve"> </v>
          </cell>
          <cell r="G439" t="str">
            <v>…</v>
          </cell>
          <cell r="H439" t="str">
            <v>…</v>
          </cell>
          <cell r="I439">
            <v>0</v>
          </cell>
          <cell r="J439">
            <v>0</v>
          </cell>
          <cell r="K439">
            <v>0</v>
          </cell>
          <cell r="N439">
            <v>0</v>
          </cell>
          <cell r="O439">
            <v>0</v>
          </cell>
          <cell r="P439">
            <v>0</v>
          </cell>
          <cell r="Q439">
            <v>0</v>
          </cell>
          <cell r="R439">
            <v>9150</v>
          </cell>
          <cell r="S439">
            <v>0</v>
          </cell>
          <cell r="T439">
            <v>0</v>
          </cell>
          <cell r="U439">
            <v>0</v>
          </cell>
          <cell r="V439">
            <v>0</v>
          </cell>
          <cell r="W439">
            <v>0</v>
          </cell>
          <cell r="X439">
            <v>0</v>
          </cell>
          <cell r="Y439">
            <v>9150</v>
          </cell>
          <cell r="Z439" t="str">
            <v xml:space="preserve"> </v>
          </cell>
        </row>
        <row r="440">
          <cell r="A440">
            <v>410003</v>
          </cell>
          <cell r="C440" t="str">
            <v xml:space="preserve">Sredstva za preusposabljanje presežnih delavcev </v>
          </cell>
          <cell r="D440">
            <v>21172.458316030967</v>
          </cell>
          <cell r="E440" t="str">
            <v xml:space="preserve"> </v>
          </cell>
          <cell r="G440">
            <v>15.478106402220579</v>
          </cell>
          <cell r="H440">
            <v>-85.786862807878251</v>
          </cell>
          <cell r="I440">
            <v>0</v>
          </cell>
          <cell r="J440">
            <v>3060.96</v>
          </cell>
          <cell r="K440">
            <v>413.41300000000001</v>
          </cell>
          <cell r="N440">
            <v>0</v>
          </cell>
          <cell r="O440">
            <v>5060</v>
          </cell>
          <cell r="P440">
            <v>2756.66</v>
          </cell>
          <cell r="Q440">
            <v>11291.032999999999</v>
          </cell>
          <cell r="R440">
            <v>1190</v>
          </cell>
          <cell r="S440">
            <v>0</v>
          </cell>
          <cell r="T440">
            <v>1800.7</v>
          </cell>
          <cell r="U440">
            <v>1375.9639999999999</v>
          </cell>
          <cell r="V440">
            <v>2893</v>
          </cell>
          <cell r="W440">
            <v>1372.5119958402402</v>
          </cell>
          <cell r="X440">
            <v>2080.7281856938039</v>
          </cell>
          <cell r="Y440">
            <v>22003.937181534042</v>
          </cell>
          <cell r="Z440" t="str">
            <v xml:space="preserve"> </v>
          </cell>
        </row>
        <row r="441">
          <cell r="A441">
            <v>410005</v>
          </cell>
          <cell r="C441" t="str">
            <v>Sredstva za prestrukturiranje in prenovo proizvodnje</v>
          </cell>
          <cell r="D441">
            <v>0</v>
          </cell>
          <cell r="E441" t="str">
            <v xml:space="preserve"> </v>
          </cell>
          <cell r="G441" t="str">
            <v>…</v>
          </cell>
          <cell r="H441" t="str">
            <v>…</v>
          </cell>
          <cell r="I441">
            <v>0</v>
          </cell>
          <cell r="J441">
            <v>0</v>
          </cell>
          <cell r="K441">
            <v>0</v>
          </cell>
          <cell r="N441">
            <v>0</v>
          </cell>
          <cell r="O441">
            <v>0</v>
          </cell>
          <cell r="P441">
            <v>0</v>
          </cell>
          <cell r="Q441">
            <v>0</v>
          </cell>
          <cell r="R441">
            <v>0</v>
          </cell>
          <cell r="S441">
            <v>0</v>
          </cell>
          <cell r="T441">
            <v>0</v>
          </cell>
          <cell r="U441">
            <v>0</v>
          </cell>
          <cell r="V441">
            <v>0</v>
          </cell>
          <cell r="W441">
            <v>0</v>
          </cell>
          <cell r="X441">
            <v>0</v>
          </cell>
          <cell r="Y441">
            <v>0</v>
          </cell>
          <cell r="Z441" t="str">
            <v xml:space="preserve"> </v>
          </cell>
        </row>
        <row r="442">
          <cell r="A442">
            <v>410006</v>
          </cell>
          <cell r="C442" t="str">
            <v xml:space="preserve">Sredstva za zapiranje proizvodnje </v>
          </cell>
          <cell r="D442">
            <v>1630082.8960261184</v>
          </cell>
          <cell r="E442" t="str">
            <v xml:space="preserve"> </v>
          </cell>
          <cell r="G442">
            <v>112.9102553397924</v>
          </cell>
          <cell r="H442">
            <v>3.682511790442959</v>
          </cell>
          <cell r="I442">
            <v>0</v>
          </cell>
          <cell r="J442">
            <v>0</v>
          </cell>
          <cell r="K442">
            <v>79000</v>
          </cell>
          <cell r="N442">
            <v>42000</v>
          </cell>
          <cell r="O442">
            <v>529577.18700000003</v>
          </cell>
          <cell r="P442">
            <v>47000</v>
          </cell>
          <cell r="Q442">
            <v>697577.18700000003</v>
          </cell>
          <cell r="R442">
            <v>35000</v>
          </cell>
          <cell r="S442">
            <v>0</v>
          </cell>
          <cell r="T442">
            <v>66658.528999999995</v>
          </cell>
          <cell r="U442">
            <v>603534.99400000006</v>
          </cell>
          <cell r="V442">
            <v>119300</v>
          </cell>
          <cell r="W442">
            <v>56598.921916260158</v>
          </cell>
          <cell r="X442">
            <v>85803.965625050405</v>
          </cell>
          <cell r="Y442">
            <v>1664473.5975413106</v>
          </cell>
          <cell r="Z442" t="str">
            <v xml:space="preserve"> </v>
          </cell>
        </row>
        <row r="443">
          <cell r="A443">
            <v>410007</v>
          </cell>
          <cell r="C443" t="str">
            <v xml:space="preserve">Subvencioniranje glavnic dolga </v>
          </cell>
          <cell r="D443">
            <v>0</v>
          </cell>
          <cell r="E443" t="str">
            <v xml:space="preserve"> </v>
          </cell>
          <cell r="G443" t="str">
            <v>…</v>
          </cell>
          <cell r="H443" t="str">
            <v>…</v>
          </cell>
          <cell r="I443">
            <v>0</v>
          </cell>
          <cell r="J443">
            <v>0</v>
          </cell>
          <cell r="K443">
            <v>0</v>
          </cell>
          <cell r="N443">
            <v>0</v>
          </cell>
          <cell r="O443">
            <v>0</v>
          </cell>
          <cell r="P443">
            <v>0</v>
          </cell>
          <cell r="Q443">
            <v>0</v>
          </cell>
          <cell r="R443">
            <v>0</v>
          </cell>
          <cell r="S443">
            <v>0</v>
          </cell>
          <cell r="T443">
            <v>0</v>
          </cell>
          <cell r="U443">
            <v>0</v>
          </cell>
          <cell r="V443">
            <v>0</v>
          </cell>
          <cell r="W443">
            <v>0</v>
          </cell>
          <cell r="X443">
            <v>0</v>
          </cell>
          <cell r="Y443">
            <v>0</v>
          </cell>
          <cell r="Z443" t="str">
            <v xml:space="preserve"> </v>
          </cell>
        </row>
        <row r="444">
          <cell r="A444">
            <v>410015</v>
          </cell>
          <cell r="C444" t="str">
            <v xml:space="preserve">Sredstva za izvajanje ekoloških programov </v>
          </cell>
          <cell r="D444">
            <v>234445.23336207785</v>
          </cell>
          <cell r="E444" t="str">
            <v xml:space="preserve"> </v>
          </cell>
          <cell r="G444">
            <v>61.267563558602674</v>
          </cell>
          <cell r="H444">
            <v>-43.739611057297822</v>
          </cell>
          <cell r="I444">
            <v>0</v>
          </cell>
          <cell r="J444">
            <v>0</v>
          </cell>
          <cell r="K444">
            <v>0</v>
          </cell>
          <cell r="N444">
            <v>0</v>
          </cell>
          <cell r="O444">
            <v>45000</v>
          </cell>
          <cell r="P444">
            <v>0</v>
          </cell>
          <cell r="Q444">
            <v>45000</v>
          </cell>
          <cell r="R444">
            <v>0</v>
          </cell>
          <cell r="S444">
            <v>93000</v>
          </cell>
          <cell r="T444">
            <v>0</v>
          </cell>
          <cell r="U444">
            <v>0</v>
          </cell>
          <cell r="V444">
            <v>0</v>
          </cell>
          <cell r="W444">
            <v>0</v>
          </cell>
          <cell r="X444">
            <v>0</v>
          </cell>
          <cell r="Y444">
            <v>138000</v>
          </cell>
          <cell r="Z444" t="str">
            <v xml:space="preserve"> </v>
          </cell>
        </row>
        <row r="445">
          <cell r="A445">
            <v>410099</v>
          </cell>
          <cell r="C445" t="str">
            <v>Druge subvencije javnim podjetjem</v>
          </cell>
          <cell r="D445">
            <v>2569402.4409599113</v>
          </cell>
          <cell r="E445" t="str">
            <v xml:space="preserve"> </v>
          </cell>
          <cell r="G445">
            <v>15.23772331465916</v>
          </cell>
          <cell r="H445">
            <v>-86.007600262020972</v>
          </cell>
          <cell r="I445">
            <v>0</v>
          </cell>
          <cell r="J445">
            <v>340</v>
          </cell>
          <cell r="K445">
            <v>209230</v>
          </cell>
          <cell r="N445">
            <v>84127</v>
          </cell>
          <cell r="O445">
            <v>511928.68700000003</v>
          </cell>
          <cell r="P445">
            <v>483693.48</v>
          </cell>
          <cell r="Q445">
            <v>1289319.1669999999</v>
          </cell>
          <cell r="R445">
            <v>296817.72090000001</v>
          </cell>
          <cell r="S445">
            <v>72263.596999999994</v>
          </cell>
          <cell r="T445">
            <v>261174.85499999998</v>
          </cell>
          <cell r="U445">
            <v>142149.71799999999</v>
          </cell>
          <cell r="V445">
            <v>217300</v>
          </cell>
          <cell r="W445">
            <v>103092.58786591227</v>
          </cell>
          <cell r="X445">
            <v>156288.36320472299</v>
          </cell>
          <cell r="Y445">
            <v>2538406.008970635</v>
          </cell>
          <cell r="Z445" t="str">
            <v xml:space="preserve"> </v>
          </cell>
        </row>
        <row r="446">
          <cell r="Q446" t="str">
            <v xml:space="preserve"> </v>
          </cell>
        </row>
        <row r="447">
          <cell r="A447">
            <v>4101</v>
          </cell>
          <cell r="C447" t="str">
            <v>Subvencije finančnim institucijam</v>
          </cell>
          <cell r="D447">
            <v>0</v>
          </cell>
          <cell r="E447">
            <v>0</v>
          </cell>
          <cell r="F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X447">
            <v>0</v>
          </cell>
          <cell r="Y447">
            <v>0</v>
          </cell>
          <cell r="Z447" t="str">
            <v xml:space="preserve"> </v>
          </cell>
        </row>
        <row r="448">
          <cell r="C448" t="str">
            <v xml:space="preserve"> </v>
          </cell>
          <cell r="Q448" t="str">
            <v xml:space="preserve"> </v>
          </cell>
        </row>
        <row r="449">
          <cell r="A449">
            <v>4102</v>
          </cell>
          <cell r="C449" t="str">
            <v>Subvencije privatnim podjetjem in zasebnikom</v>
          </cell>
          <cell r="D449">
            <v>35053302.330730006</v>
          </cell>
          <cell r="E449">
            <v>46837871</v>
          </cell>
          <cell r="F449">
            <v>-11784568.669269994</v>
          </cell>
          <cell r="G449">
            <v>89.570768235767261</v>
          </cell>
          <cell r="H449">
            <v>-17.749524117752742</v>
          </cell>
          <cell r="I449">
            <v>0</v>
          </cell>
          <cell r="J449">
            <v>1893842.5910599998</v>
          </cell>
          <cell r="K449">
            <v>950436.69740999979</v>
          </cell>
          <cell r="L449">
            <v>2844279.2884699996</v>
          </cell>
          <cell r="N449">
            <v>2088893.72878</v>
          </cell>
          <cell r="O449">
            <v>2848358.2245400003</v>
          </cell>
          <cell r="P449">
            <v>2521849.4798999997</v>
          </cell>
          <cell r="Q449">
            <v>10303380.721689999</v>
          </cell>
          <cell r="R449">
            <v>1906509.2874499999</v>
          </cell>
          <cell r="S449">
            <v>2547954.0292699998</v>
          </cell>
          <cell r="T449">
            <v>2115211.1615900001</v>
          </cell>
          <cell r="U449">
            <v>2870550.6451500007</v>
          </cell>
          <cell r="V449">
            <v>3420010</v>
          </cell>
          <cell r="W449">
            <v>4500000</v>
          </cell>
          <cell r="X449">
            <v>6700000</v>
          </cell>
          <cell r="Y449">
            <v>34363615.845150001</v>
          </cell>
          <cell r="Z449" t="str">
            <v xml:space="preserve"> </v>
          </cell>
          <cell r="AA449">
            <v>98.032463591952705</v>
          </cell>
          <cell r="AB449">
            <v>-9.0607944416023116</v>
          </cell>
        </row>
        <row r="450">
          <cell r="C450" t="str">
            <v xml:space="preserve">                                 - dinamizirani sprejeti proračun</v>
          </cell>
          <cell r="D450">
            <v>10054441</v>
          </cell>
          <cell r="I450">
            <v>0</v>
          </cell>
          <cell r="J450">
            <v>0</v>
          </cell>
          <cell r="K450">
            <v>0</v>
          </cell>
          <cell r="N450">
            <v>0</v>
          </cell>
          <cell r="O450">
            <v>0</v>
          </cell>
          <cell r="P450">
            <v>0</v>
          </cell>
          <cell r="Q450">
            <v>0</v>
          </cell>
          <cell r="R450">
            <v>0</v>
          </cell>
          <cell r="S450">
            <v>0</v>
          </cell>
          <cell r="T450">
            <v>0</v>
          </cell>
          <cell r="U450">
            <v>0</v>
          </cell>
          <cell r="V450">
            <v>5307603</v>
          </cell>
          <cell r="W450">
            <v>5937631</v>
          </cell>
          <cell r="X450">
            <v>4116810</v>
          </cell>
          <cell r="Y450">
            <v>15362044</v>
          </cell>
        </row>
        <row r="451">
          <cell r="A451">
            <v>410200</v>
          </cell>
          <cell r="C451" t="str">
            <v>Subvencioniranje cen privat.podj.in zasebnikom</v>
          </cell>
          <cell r="D451">
            <v>1646972.6071116617</v>
          </cell>
          <cell r="E451" t="str">
            <v xml:space="preserve"> </v>
          </cell>
          <cell r="G451">
            <v>23.429443354923446</v>
          </cell>
          <cell r="H451">
            <v>-78.485359637352204</v>
          </cell>
          <cell r="I451">
            <v>0</v>
          </cell>
          <cell r="J451">
            <v>0</v>
          </cell>
          <cell r="K451">
            <v>0</v>
          </cell>
          <cell r="N451">
            <v>349797.56949999998</v>
          </cell>
          <cell r="O451">
            <v>157773.09049999999</v>
          </cell>
          <cell r="P451">
            <v>-2905.54</v>
          </cell>
          <cell r="Q451">
            <v>504665.12</v>
          </cell>
          <cell r="R451">
            <v>110.96</v>
          </cell>
          <cell r="S451">
            <v>622784.28</v>
          </cell>
          <cell r="T451">
            <v>188627.239</v>
          </cell>
          <cell r="U451">
            <v>90471.771280000001</v>
          </cell>
          <cell r="V451">
            <v>41450</v>
          </cell>
          <cell r="W451">
            <v>54539.314212531543</v>
          </cell>
          <cell r="X451">
            <v>81202.978938658081</v>
          </cell>
          <cell r="Y451">
            <v>1583851.6634311897</v>
          </cell>
          <cell r="Z451" t="str">
            <v xml:space="preserve"> </v>
          </cell>
        </row>
        <row r="452">
          <cell r="A452">
            <v>410201</v>
          </cell>
          <cell r="C452" t="str">
            <v>Subvencioniranje obresti privat.podj.in zasebnikom</v>
          </cell>
          <cell r="D452">
            <v>801060.78899999999</v>
          </cell>
          <cell r="E452" t="str">
            <v xml:space="preserve"> </v>
          </cell>
          <cell r="G452">
            <v>55.522678066014485</v>
          </cell>
          <cell r="H452">
            <v>-49.014988001823248</v>
          </cell>
          <cell r="I452">
            <v>0</v>
          </cell>
          <cell r="J452">
            <v>800000</v>
          </cell>
          <cell r="K452">
            <v>0</v>
          </cell>
          <cell r="N452">
            <v>0</v>
          </cell>
          <cell r="O452">
            <v>0</v>
          </cell>
          <cell r="P452">
            <v>0</v>
          </cell>
          <cell r="Q452">
            <v>800000</v>
          </cell>
          <cell r="R452">
            <v>0</v>
          </cell>
          <cell r="S452">
            <v>642.82600000000002</v>
          </cell>
          <cell r="T452">
            <v>0</v>
          </cell>
          <cell r="U452">
            <v>384.71300000000002</v>
          </cell>
          <cell r="V452">
            <v>35</v>
          </cell>
          <cell r="W452">
            <v>46.052496922523616</v>
          </cell>
          <cell r="X452">
            <v>68.56705097353516</v>
          </cell>
          <cell r="Y452">
            <v>801177.15854789608</v>
          </cell>
          <cell r="Z452" t="str">
            <v xml:space="preserve"> </v>
          </cell>
        </row>
        <row r="453">
          <cell r="A453">
            <v>410202</v>
          </cell>
          <cell r="C453" t="str">
            <v xml:space="preserve">Subvencioniranje prispevkov za socialno varnost </v>
          </cell>
          <cell r="D453">
            <v>2682563.1137700002</v>
          </cell>
          <cell r="E453" t="str">
            <v xml:space="preserve"> </v>
          </cell>
          <cell r="G453">
            <v>343.6886028395171</v>
          </cell>
          <cell r="H453">
            <v>215.60018626218277</v>
          </cell>
          <cell r="I453">
            <v>0</v>
          </cell>
          <cell r="J453">
            <v>199981.06009000001</v>
          </cell>
          <cell r="K453">
            <v>170018.93990999999</v>
          </cell>
          <cell r="N453">
            <v>170000</v>
          </cell>
          <cell r="O453">
            <v>280000</v>
          </cell>
          <cell r="P453">
            <v>147413.04609000002</v>
          </cell>
          <cell r="Q453">
            <v>967413.04609000008</v>
          </cell>
          <cell r="R453">
            <v>233064.253</v>
          </cell>
          <cell r="S453">
            <v>287028.34576999996</v>
          </cell>
          <cell r="T453">
            <v>275400.78490999999</v>
          </cell>
          <cell r="U453">
            <v>251925.14499999999</v>
          </cell>
          <cell r="V453">
            <v>250000</v>
          </cell>
          <cell r="W453">
            <v>328946.40658945439</v>
          </cell>
          <cell r="X453">
            <v>489764.64981096546</v>
          </cell>
          <cell r="Y453">
            <v>3083542.63117042</v>
          </cell>
          <cell r="Z453" t="str">
            <v xml:space="preserve"> </v>
          </cell>
        </row>
        <row r="454">
          <cell r="A454">
            <v>410204</v>
          </cell>
          <cell r="C454" t="str">
            <v>Pokrivanje izgub privatnim podjetjem</v>
          </cell>
          <cell r="D454">
            <v>5562</v>
          </cell>
          <cell r="G454" t="str">
            <v>…</v>
          </cell>
          <cell r="H454" t="str">
            <v>…</v>
          </cell>
          <cell r="I454">
            <v>0</v>
          </cell>
          <cell r="J454">
            <v>0</v>
          </cell>
          <cell r="K454">
            <v>0</v>
          </cell>
          <cell r="N454">
            <v>0</v>
          </cell>
          <cell r="O454">
            <v>0</v>
          </cell>
          <cell r="P454">
            <v>0</v>
          </cell>
          <cell r="R454">
            <v>0</v>
          </cell>
          <cell r="S454">
            <v>5562</v>
          </cell>
          <cell r="T454">
            <v>0</v>
          </cell>
          <cell r="U454">
            <v>0</v>
          </cell>
          <cell r="V454">
            <v>0</v>
          </cell>
          <cell r="W454">
            <v>0</v>
          </cell>
          <cell r="X454">
            <v>0</v>
          </cell>
          <cell r="Y454">
            <v>5562</v>
          </cell>
        </row>
        <row r="455">
          <cell r="A455">
            <v>410205</v>
          </cell>
          <cell r="C455" t="str">
            <v>Sredstva za prestrukturiranje in prenovo proizvodnje</v>
          </cell>
          <cell r="D455">
            <v>1653000</v>
          </cell>
          <cell r="E455" t="str">
            <v xml:space="preserve"> </v>
          </cell>
          <cell r="G455">
            <v>586.44560616689739</v>
          </cell>
          <cell r="H455">
            <v>438.51754468952925</v>
          </cell>
          <cell r="I455">
            <v>0</v>
          </cell>
          <cell r="J455">
            <v>0</v>
          </cell>
          <cell r="K455">
            <v>0</v>
          </cell>
          <cell r="N455">
            <v>0</v>
          </cell>
          <cell r="O455">
            <v>0</v>
          </cell>
          <cell r="P455">
            <v>712000</v>
          </cell>
          <cell r="Q455">
            <v>712000</v>
          </cell>
          <cell r="R455">
            <v>0</v>
          </cell>
          <cell r="S455">
            <v>0</v>
          </cell>
          <cell r="T455">
            <v>0</v>
          </cell>
          <cell r="U455">
            <v>500000</v>
          </cell>
          <cell r="V455">
            <v>391000</v>
          </cell>
          <cell r="W455">
            <v>514472.17990590667</v>
          </cell>
          <cell r="X455">
            <v>765991.91230434994</v>
          </cell>
          <cell r="Y455">
            <v>2883464.0922102565</v>
          </cell>
          <cell r="Z455" t="str">
            <v xml:space="preserve"> </v>
          </cell>
        </row>
        <row r="456">
          <cell r="A456">
            <v>410206</v>
          </cell>
          <cell r="C456" t="str">
            <v>Sredstva za zapiranje proizvodnje</v>
          </cell>
          <cell r="D456">
            <v>989085</v>
          </cell>
          <cell r="E456" t="str">
            <v xml:space="preserve"> </v>
          </cell>
          <cell r="G456">
            <v>90.286170698311281</v>
          </cell>
          <cell r="H456">
            <v>-17.0925888904396</v>
          </cell>
          <cell r="I456">
            <v>0</v>
          </cell>
          <cell r="J456">
            <v>164685</v>
          </cell>
          <cell r="K456">
            <v>82800</v>
          </cell>
          <cell r="N456">
            <v>82400</v>
          </cell>
          <cell r="O456">
            <v>82400</v>
          </cell>
          <cell r="P456">
            <v>82400</v>
          </cell>
          <cell r="Q456">
            <v>494685</v>
          </cell>
          <cell r="R456">
            <v>82400</v>
          </cell>
          <cell r="S456">
            <v>82400</v>
          </cell>
          <cell r="T456">
            <v>82400</v>
          </cell>
          <cell r="U456">
            <v>82400</v>
          </cell>
          <cell r="V456">
            <v>82400</v>
          </cell>
          <cell r="W456">
            <v>108420.73561188417</v>
          </cell>
          <cell r="X456">
            <v>161426.42857769423</v>
          </cell>
          <cell r="Y456">
            <v>1176532.1641895785</v>
          </cell>
          <cell r="Z456" t="str">
            <v xml:space="preserve"> </v>
          </cell>
        </row>
        <row r="457">
          <cell r="A457">
            <v>410207</v>
          </cell>
          <cell r="C457" t="str">
            <v>Regresiranje tekoče proizvodnje</v>
          </cell>
          <cell r="D457">
            <v>200</v>
          </cell>
          <cell r="E457" t="str">
            <v xml:space="preserve"> </v>
          </cell>
          <cell r="G457" t="str">
            <v>…</v>
          </cell>
          <cell r="H457" t="str">
            <v>…</v>
          </cell>
          <cell r="I457">
            <v>0</v>
          </cell>
          <cell r="J457">
            <v>0</v>
          </cell>
          <cell r="K457">
            <v>0</v>
          </cell>
          <cell r="N457">
            <v>0</v>
          </cell>
          <cell r="O457">
            <v>0</v>
          </cell>
          <cell r="P457">
            <v>0</v>
          </cell>
          <cell r="Q457">
            <v>0</v>
          </cell>
          <cell r="R457">
            <v>0</v>
          </cell>
          <cell r="S457">
            <v>200</v>
          </cell>
          <cell r="T457">
            <v>0</v>
          </cell>
          <cell r="U457">
            <v>0</v>
          </cell>
          <cell r="V457">
            <v>0</v>
          </cell>
          <cell r="W457">
            <v>0</v>
          </cell>
          <cell r="X457">
            <v>0</v>
          </cell>
          <cell r="Y457">
            <v>200</v>
          </cell>
          <cell r="Z457" t="str">
            <v xml:space="preserve"> </v>
          </cell>
        </row>
        <row r="458">
          <cell r="A458">
            <v>410208</v>
          </cell>
          <cell r="C458" t="str">
            <v>Sredstva za pripravo brezposelnih na zaposlitev</v>
          </cell>
          <cell r="D458">
            <v>2073932.2350500003</v>
          </cell>
          <cell r="E458" t="str">
            <v xml:space="preserve"> </v>
          </cell>
          <cell r="G458">
            <v>54.761839681636161</v>
          </cell>
          <cell r="H458">
            <v>-49.713645838717945</v>
          </cell>
          <cell r="I458">
            <v>0</v>
          </cell>
          <cell r="J458">
            <v>163394.25007000001</v>
          </cell>
          <cell r="K458">
            <v>229144.26029999997</v>
          </cell>
          <cell r="N458">
            <v>187092.17043999996</v>
          </cell>
          <cell r="O458">
            <v>180598.61882000003</v>
          </cell>
          <cell r="P458">
            <v>175731.67872</v>
          </cell>
          <cell r="Q458">
            <v>935960.97834999999</v>
          </cell>
          <cell r="R458">
            <v>175531.56590000002</v>
          </cell>
          <cell r="S458">
            <v>204106.88187000004</v>
          </cell>
          <cell r="T458">
            <v>144432.09948000003</v>
          </cell>
          <cell r="U458">
            <v>123905.56163000001</v>
          </cell>
          <cell r="V458">
            <v>190550</v>
          </cell>
          <cell r="W458">
            <v>250722.95110248215</v>
          </cell>
          <cell r="X458">
            <v>373298.61608591786</v>
          </cell>
          <cell r="Y458">
            <v>2398508.6544184</v>
          </cell>
          <cell r="Z458" t="str">
            <v xml:space="preserve"> </v>
          </cell>
        </row>
        <row r="459">
          <cell r="A459">
            <v>410209</v>
          </cell>
          <cell r="C459" t="str">
            <v>Sredstva za preusposabljanje zaposlenih</v>
          </cell>
          <cell r="D459">
            <v>96422.002010000011</v>
          </cell>
          <cell r="E459" t="str">
            <v xml:space="preserve"> </v>
          </cell>
          <cell r="G459">
            <v>194.16110136528673</v>
          </cell>
          <cell r="H459">
            <v>78.293022374000657</v>
          </cell>
          <cell r="I459">
            <v>0</v>
          </cell>
          <cell r="J459">
            <v>7857.99</v>
          </cell>
          <cell r="K459">
            <v>0</v>
          </cell>
          <cell r="N459">
            <v>2949.3330000000001</v>
          </cell>
          <cell r="O459">
            <v>0</v>
          </cell>
          <cell r="P459">
            <v>22134.665000000001</v>
          </cell>
          <cell r="Q459">
            <v>32941.987999999998</v>
          </cell>
          <cell r="R459">
            <v>0</v>
          </cell>
          <cell r="S459">
            <v>20683.980500000001</v>
          </cell>
          <cell r="T459">
            <v>0</v>
          </cell>
          <cell r="U459">
            <v>15654.767</v>
          </cell>
          <cell r="V459">
            <v>1000</v>
          </cell>
          <cell r="W459">
            <v>1315.7856263578176</v>
          </cell>
          <cell r="X459">
            <v>1959.0585992438619</v>
          </cell>
          <cell r="Y459">
            <v>73555.579725601681</v>
          </cell>
          <cell r="Z459" t="str">
            <v xml:space="preserve"> </v>
          </cell>
        </row>
        <row r="460">
          <cell r="A460">
            <v>410210</v>
          </cell>
          <cell r="C460" t="str">
            <v>Sredstva za zaposlovanje invalidnih oseb</v>
          </cell>
          <cell r="D460">
            <v>1683985.8535199999</v>
          </cell>
          <cell r="E460" t="str">
            <v xml:space="preserve"> </v>
          </cell>
          <cell r="G460">
            <v>93.636858160402497</v>
          </cell>
          <cell r="H460">
            <v>-14.015740899538571</v>
          </cell>
          <cell r="I460">
            <v>0</v>
          </cell>
          <cell r="J460">
            <v>118832.73288</v>
          </cell>
          <cell r="K460">
            <v>148488.24498000002</v>
          </cell>
          <cell r="N460">
            <v>122247.61025999999</v>
          </cell>
          <cell r="O460">
            <v>158000.85815000001</v>
          </cell>
          <cell r="P460">
            <v>145971.84105000002</v>
          </cell>
          <cell r="Q460">
            <v>693541.28732</v>
          </cell>
          <cell r="R460">
            <v>155443.12251999998</v>
          </cell>
          <cell r="S460">
            <v>170711.38316</v>
          </cell>
          <cell r="T460">
            <v>143651.60165</v>
          </cell>
          <cell r="U460">
            <v>182969.25245999999</v>
          </cell>
          <cell r="V460">
            <v>126000</v>
          </cell>
          <cell r="W460">
            <v>165788.98892108502</v>
          </cell>
          <cell r="X460">
            <v>246841.3835047266</v>
          </cell>
          <cell r="Y460">
            <v>1884947.0195358114</v>
          </cell>
          <cell r="Z460" t="str">
            <v xml:space="preserve"> </v>
          </cell>
        </row>
        <row r="461">
          <cell r="A461">
            <v>410211</v>
          </cell>
          <cell r="C461" t="str">
            <v>Sredstva za izvajanje javnih del</v>
          </cell>
          <cell r="D461">
            <v>4907385.2573300004</v>
          </cell>
          <cell r="E461" t="str">
            <v xml:space="preserve"> </v>
          </cell>
          <cell r="G461">
            <v>75.882194029849543</v>
          </cell>
          <cell r="H461">
            <v>-30.319381056152864</v>
          </cell>
          <cell r="I461">
            <v>0</v>
          </cell>
          <cell r="J461">
            <v>393493.53721999994</v>
          </cell>
          <cell r="K461">
            <v>259085.28177999999</v>
          </cell>
          <cell r="N461">
            <v>365578.38506</v>
          </cell>
          <cell r="O461">
            <v>442221.85210000002</v>
          </cell>
          <cell r="P461">
            <v>432172.09060999996</v>
          </cell>
          <cell r="Q461">
            <v>1892551.14677</v>
          </cell>
          <cell r="R461">
            <v>470917.61075000005</v>
          </cell>
          <cell r="S461">
            <v>497479.84237000003</v>
          </cell>
          <cell r="T461">
            <v>448037.20173000003</v>
          </cell>
          <cell r="U461">
            <v>505000.00599999999</v>
          </cell>
          <cell r="V461">
            <v>517500</v>
          </cell>
          <cell r="W461">
            <v>680919.06164017064</v>
          </cell>
          <cell r="X461">
            <v>1013812.8251086986</v>
          </cell>
          <cell r="Y461">
            <v>6026217.6943688691</v>
          </cell>
          <cell r="Z461" t="str">
            <v xml:space="preserve"> </v>
          </cell>
        </row>
        <row r="462">
          <cell r="A462">
            <v>410212</v>
          </cell>
          <cell r="C462" t="str">
            <v>Sredstva za delovna mesta</v>
          </cell>
          <cell r="D462">
            <v>360582.32440591243</v>
          </cell>
          <cell r="E462" t="str">
            <v xml:space="preserve"> </v>
          </cell>
          <cell r="G462">
            <v>38.073831987122816</v>
          </cell>
          <cell r="H462">
            <v>-65.037803501264634</v>
          </cell>
          <cell r="I462">
            <v>0</v>
          </cell>
          <cell r="J462">
            <v>17908.919999999998</v>
          </cell>
          <cell r="K462">
            <v>31226.50909</v>
          </cell>
          <cell r="N462">
            <v>22482.149390000002</v>
          </cell>
          <cell r="O462">
            <v>8636.3481400000001</v>
          </cell>
          <cell r="P462">
            <v>15487.460509999999</v>
          </cell>
          <cell r="Q462">
            <v>95741.387130000003</v>
          </cell>
          <cell r="R462">
            <v>59462.137759999998</v>
          </cell>
          <cell r="S462">
            <v>23500.751319999999</v>
          </cell>
          <cell r="T462">
            <v>14216.157670000001</v>
          </cell>
          <cell r="U462">
            <v>29190.721300000001</v>
          </cell>
          <cell r="V462">
            <v>35515</v>
          </cell>
          <cell r="W462">
            <v>46730.126520097889</v>
          </cell>
          <cell r="X462">
            <v>69575.966152145746</v>
          </cell>
          <cell r="Y462">
            <v>373932.24785224366</v>
          </cell>
          <cell r="Z462" t="str">
            <v xml:space="preserve"> </v>
          </cell>
        </row>
        <row r="463">
          <cell r="A463">
            <v>410213</v>
          </cell>
          <cell r="C463" t="str">
            <v>Sredstva za spodbujanje izvoznih aktivnosti</v>
          </cell>
          <cell r="D463">
            <v>5416893.5576166166</v>
          </cell>
          <cell r="E463" t="str">
            <v xml:space="preserve"> </v>
          </cell>
          <cell r="G463">
            <v>89.417759557572907</v>
          </cell>
          <cell r="H463">
            <v>-17.890027954478498</v>
          </cell>
          <cell r="I463">
            <v>0</v>
          </cell>
          <cell r="J463">
            <v>0</v>
          </cell>
          <cell r="K463">
            <v>0</v>
          </cell>
          <cell r="N463">
            <v>598323.39</v>
          </cell>
          <cell r="O463">
            <v>1286849.9491300001</v>
          </cell>
          <cell r="P463">
            <v>500449.10777</v>
          </cell>
          <cell r="Q463">
            <v>2385622.4469000003</v>
          </cell>
          <cell r="R463">
            <v>394917.603</v>
          </cell>
          <cell r="S463">
            <v>22679</v>
          </cell>
          <cell r="T463">
            <v>536094.75150000001</v>
          </cell>
          <cell r="U463">
            <v>403989.52799999999</v>
          </cell>
          <cell r="V463">
            <v>507350</v>
          </cell>
          <cell r="W463">
            <v>667563.8375326388</v>
          </cell>
          <cell r="X463">
            <v>993928.38032637339</v>
          </cell>
          <cell r="Y463">
            <v>5912145.5472590122</v>
          </cell>
          <cell r="Z463" t="str">
            <v xml:space="preserve"> </v>
          </cell>
        </row>
        <row r="464">
          <cell r="A464">
            <v>410214</v>
          </cell>
          <cell r="C464" t="str">
            <v xml:space="preserve">Sredstva za pospeševanje tehnološkega razvoja </v>
          </cell>
          <cell r="D464">
            <v>1692325.1914274623</v>
          </cell>
          <cell r="E464" t="str">
            <v xml:space="preserve"> </v>
          </cell>
          <cell r="G464">
            <v>93.743352291246183</v>
          </cell>
          <cell r="H464">
            <v>-13.917950145779457</v>
          </cell>
          <cell r="I464">
            <v>0</v>
          </cell>
          <cell r="J464">
            <v>2163</v>
          </cell>
          <cell r="K464">
            <v>19720.38</v>
          </cell>
          <cell r="N464">
            <v>44477.501499999998</v>
          </cell>
          <cell r="O464">
            <v>81286.3505</v>
          </cell>
          <cell r="P464">
            <v>38228.408000000003</v>
          </cell>
          <cell r="Q464">
            <v>185875.64</v>
          </cell>
          <cell r="R464">
            <v>28236.8105</v>
          </cell>
          <cell r="S464">
            <v>152493.26863999999</v>
          </cell>
          <cell r="T464">
            <v>9843.7999999999993</v>
          </cell>
          <cell r="U464">
            <v>14071.453</v>
          </cell>
          <cell r="V464">
            <v>433500</v>
          </cell>
          <cell r="W464">
            <v>570393.06902611395</v>
          </cell>
          <cell r="X464">
            <v>849251.90277221415</v>
          </cell>
          <cell r="Y464">
            <v>2243665.943938328</v>
          </cell>
          <cell r="Z464" t="str">
            <v xml:space="preserve"> </v>
          </cell>
        </row>
        <row r="465">
          <cell r="A465">
            <v>410215</v>
          </cell>
          <cell r="C465" t="str">
            <v xml:space="preserve">Sredstva za izvajanje ekoloških programov </v>
          </cell>
          <cell r="D465">
            <v>344124.79885166168</v>
          </cell>
          <cell r="E465" t="str">
            <v xml:space="preserve"> </v>
          </cell>
          <cell r="G465">
            <v>79.45137065651781</v>
          </cell>
          <cell r="H465">
            <v>-27.041900223583283</v>
          </cell>
          <cell r="I465">
            <v>0</v>
          </cell>
          <cell r="J465">
            <v>0</v>
          </cell>
          <cell r="K465">
            <v>0</v>
          </cell>
          <cell r="N465">
            <v>33816.802000000003</v>
          </cell>
          <cell r="O465">
            <v>27058.994999999999</v>
          </cell>
          <cell r="P465">
            <v>17353.575000000001</v>
          </cell>
          <cell r="Q465">
            <v>78229.372000000003</v>
          </cell>
          <cell r="R465">
            <v>500</v>
          </cell>
          <cell r="S465">
            <v>36322.471770000004</v>
          </cell>
          <cell r="T465">
            <v>37749.743499999997</v>
          </cell>
          <cell r="U465">
            <v>20489.170999999998</v>
          </cell>
          <cell r="V465">
            <v>54210</v>
          </cell>
          <cell r="W465">
            <v>71328.73880485729</v>
          </cell>
          <cell r="X465">
            <v>106200.56666500974</v>
          </cell>
          <cell r="Y465">
            <v>405030.06373986707</v>
          </cell>
          <cell r="Z465" t="str">
            <v xml:space="preserve"> </v>
          </cell>
        </row>
        <row r="466">
          <cell r="A466">
            <v>410216</v>
          </cell>
          <cell r="C466" t="str">
            <v>Subvencioniranje glavnic dolga privatnim podjetjem</v>
          </cell>
          <cell r="D466">
            <v>0</v>
          </cell>
          <cell r="E466" t="str">
            <v xml:space="preserve"> </v>
          </cell>
          <cell r="G466" t="str">
            <v>…</v>
          </cell>
          <cell r="H466" t="str">
            <v>…</v>
          </cell>
          <cell r="I466">
            <v>0</v>
          </cell>
          <cell r="J466">
            <v>0</v>
          </cell>
          <cell r="K466">
            <v>0</v>
          </cell>
          <cell r="N466">
            <v>0</v>
          </cell>
          <cell r="O466">
            <v>0</v>
          </cell>
          <cell r="P466">
            <v>0</v>
          </cell>
          <cell r="Q466">
            <v>0</v>
          </cell>
          <cell r="R466">
            <v>0</v>
          </cell>
          <cell r="S466">
            <v>0</v>
          </cell>
          <cell r="T466">
            <v>0</v>
          </cell>
          <cell r="U466">
            <v>0</v>
          </cell>
          <cell r="V466">
            <v>0</v>
          </cell>
          <cell r="W466">
            <v>0</v>
          </cell>
          <cell r="X466">
            <v>0</v>
          </cell>
          <cell r="Y466">
            <v>0</v>
          </cell>
          <cell r="Z466" t="str">
            <v xml:space="preserve"> </v>
          </cell>
        </row>
        <row r="467">
          <cell r="A467">
            <v>410217</v>
          </cell>
          <cell r="C467" t="str">
            <v>Kompleksne subvencije v kmetijstvu</v>
          </cell>
          <cell r="D467">
            <v>7089929.2012097891</v>
          </cell>
          <cell r="E467" t="str">
            <v xml:space="preserve"> </v>
          </cell>
          <cell r="G467">
            <v>266.71921342385878</v>
          </cell>
          <cell r="H467">
            <v>144.92122444798784</v>
          </cell>
          <cell r="I467">
            <v>0</v>
          </cell>
          <cell r="J467">
            <v>0</v>
          </cell>
          <cell r="K467">
            <v>0</v>
          </cell>
          <cell r="N467">
            <v>0</v>
          </cell>
          <cell r="O467">
            <v>0</v>
          </cell>
          <cell r="P467">
            <v>0</v>
          </cell>
          <cell r="Q467">
            <v>0</v>
          </cell>
          <cell r="R467">
            <v>0</v>
          </cell>
          <cell r="S467">
            <v>193653.99</v>
          </cell>
          <cell r="T467">
            <v>0</v>
          </cell>
          <cell r="U467">
            <v>461101.04</v>
          </cell>
          <cell r="V467">
            <v>450000</v>
          </cell>
          <cell r="W467">
            <v>592103.53186101792</v>
          </cell>
          <cell r="X467">
            <v>881576.3696597378</v>
          </cell>
          <cell r="Y467">
            <v>2578434.9315207559</v>
          </cell>
          <cell r="Z467" t="str">
            <v xml:space="preserve"> </v>
          </cell>
        </row>
        <row r="468">
          <cell r="A468">
            <v>410299</v>
          </cell>
          <cell r="C468" t="str">
            <v>Druge subvencije privatnim podjetjem in zasebnikom</v>
          </cell>
          <cell r="D468">
            <v>3361993.8631616011</v>
          </cell>
          <cell r="E468" t="str">
            <v xml:space="preserve"> </v>
          </cell>
          <cell r="G468">
            <v>74.700956058176686</v>
          </cell>
          <cell r="H468">
            <v>-31.404080754658693</v>
          </cell>
          <cell r="I468">
            <v>0</v>
          </cell>
          <cell r="J468">
            <v>25526.1008</v>
          </cell>
          <cell r="K468">
            <v>9953.0813500000004</v>
          </cell>
          <cell r="N468">
            <v>109728.81763000001</v>
          </cell>
          <cell r="O468">
            <v>143532.16220000002</v>
          </cell>
          <cell r="P468">
            <v>235413.14714999995</v>
          </cell>
          <cell r="Q468">
            <v>524153.30912999995</v>
          </cell>
          <cell r="R468">
            <v>305925.22402000002</v>
          </cell>
          <cell r="S468">
            <v>227705.00786999997</v>
          </cell>
          <cell r="T468">
            <v>234757.78214999998</v>
          </cell>
          <cell r="U468">
            <v>188997.51547999997</v>
          </cell>
          <cell r="V468">
            <v>339500</v>
          </cell>
          <cell r="W468">
            <v>446709.2201484791</v>
          </cell>
          <cell r="X468">
            <v>665100.39444329112</v>
          </cell>
          <cell r="Y468">
            <v>2932848.4532417702</v>
          </cell>
          <cell r="Z468" t="str">
            <v xml:space="preserve"> </v>
          </cell>
        </row>
        <row r="469">
          <cell r="D469" t="str">
            <v xml:space="preserve"> </v>
          </cell>
          <cell r="Q469" t="str">
            <v xml:space="preserve"> </v>
          </cell>
        </row>
        <row r="470">
          <cell r="A470">
            <v>411</v>
          </cell>
          <cell r="C470" t="str">
            <v>TRANSFERI POSAMEZNIKOM IN GOSPODINJSTVOM</v>
          </cell>
          <cell r="D470">
            <v>150330157.29315001</v>
          </cell>
          <cell r="E470">
            <v>152322942</v>
          </cell>
          <cell r="F470">
            <v>-1992784.7068499923</v>
          </cell>
          <cell r="G470">
            <v>107.66496902603787</v>
          </cell>
          <cell r="H470">
            <v>-1.1340963948229046</v>
          </cell>
          <cell r="I470">
            <v>12066946.171020001</v>
          </cell>
          <cell r="J470">
            <v>12793299.812460002</v>
          </cell>
          <cell r="K470">
            <v>13038942.713639999</v>
          </cell>
          <cell r="L470">
            <v>37899188.697120003</v>
          </cell>
          <cell r="N470">
            <v>12155604.453290001</v>
          </cell>
          <cell r="O470">
            <v>12545884.314440001</v>
          </cell>
          <cell r="P470">
            <v>12474452.73222</v>
          </cell>
          <cell r="Q470">
            <v>75075130.197070003</v>
          </cell>
          <cell r="R470">
            <v>12463126.536429998</v>
          </cell>
          <cell r="S470">
            <v>12389510.694739999</v>
          </cell>
          <cell r="T470">
            <v>12329095.079399999</v>
          </cell>
          <cell r="U470">
            <v>12425815.92668</v>
          </cell>
          <cell r="V470">
            <v>12629579.400248</v>
          </cell>
          <cell r="W470">
            <v>12364115.17425048</v>
          </cell>
          <cell r="X470">
            <v>665000</v>
          </cell>
          <cell r="Y470">
            <v>150341373.00881848</v>
          </cell>
          <cell r="Z470" t="e">
            <v>#VALUE!</v>
          </cell>
          <cell r="AA470">
            <v>100.0074607223663</v>
          </cell>
          <cell r="AB470">
            <v>-7.2287006286026809</v>
          </cell>
        </row>
        <row r="471">
          <cell r="C471" t="str">
            <v xml:space="preserve">                                 - dinamizirani sprejeti proračun</v>
          </cell>
          <cell r="D471">
            <v>146318567</v>
          </cell>
          <cell r="I471">
            <v>12090367</v>
          </cell>
          <cell r="J471">
            <v>12090367</v>
          </cell>
          <cell r="K471">
            <v>12090367</v>
          </cell>
          <cell r="N471">
            <v>12090367</v>
          </cell>
          <cell r="O471">
            <v>12090367</v>
          </cell>
          <cell r="P471">
            <v>12090367</v>
          </cell>
          <cell r="Q471">
            <v>72542202</v>
          </cell>
          <cell r="R471">
            <v>12090367</v>
          </cell>
          <cell r="S471">
            <v>12090367</v>
          </cell>
          <cell r="T471">
            <v>12090367</v>
          </cell>
          <cell r="U471">
            <v>12090367</v>
          </cell>
          <cell r="V471">
            <v>13166454</v>
          </cell>
          <cell r="W471">
            <v>13268820</v>
          </cell>
          <cell r="X471">
            <v>55710</v>
          </cell>
          <cell r="Y471">
            <v>147394654</v>
          </cell>
        </row>
        <row r="472">
          <cell r="D472" t="str">
            <v xml:space="preserve"> </v>
          </cell>
          <cell r="Q472" t="str">
            <v xml:space="preserve"> </v>
          </cell>
          <cell r="Y472" t="str">
            <v xml:space="preserve"> </v>
          </cell>
        </row>
        <row r="473">
          <cell r="A473">
            <v>4110</v>
          </cell>
          <cell r="C473" t="str">
            <v>Transferi nezaposlenim</v>
          </cell>
          <cell r="D473">
            <v>24170431.557260003</v>
          </cell>
          <cell r="E473">
            <v>26465995</v>
          </cell>
          <cell r="F473">
            <v>-2295563.4427399971</v>
          </cell>
          <cell r="G473">
            <v>83.877061731783598</v>
          </cell>
          <cell r="H473">
            <v>-22.977904745836923</v>
          </cell>
          <cell r="I473">
            <v>2236945.1503099999</v>
          </cell>
          <cell r="J473">
            <v>2263808.1548699997</v>
          </cell>
          <cell r="K473">
            <v>2247673.68769</v>
          </cell>
          <cell r="L473">
            <v>6748426.9928700002</v>
          </cell>
          <cell r="N473">
            <v>2136653.3700999999</v>
          </cell>
          <cell r="O473">
            <v>2039559.20799</v>
          </cell>
          <cell r="P473">
            <v>2011831.4417099999</v>
          </cell>
          <cell r="Q473">
            <v>12936471.012669999</v>
          </cell>
          <cell r="R473">
            <v>1958219.9782100001</v>
          </cell>
          <cell r="S473">
            <v>1952109.36607</v>
          </cell>
          <cell r="T473">
            <v>1917914.2086700001</v>
          </cell>
          <cell r="U473">
            <v>1822869.8470400004</v>
          </cell>
          <cell r="V473">
            <v>1767331</v>
          </cell>
          <cell r="W473">
            <v>1736771</v>
          </cell>
          <cell r="X473">
            <v>0</v>
          </cell>
          <cell r="Y473">
            <v>24091686.412660003</v>
          </cell>
          <cell r="Z473" t="str">
            <v xml:space="preserve"> </v>
          </cell>
          <cell r="AA473">
            <v>99.67420877689564</v>
          </cell>
          <cell r="AB473">
            <v>-7.537839724586604</v>
          </cell>
        </row>
        <row r="474">
          <cell r="C474" t="str">
            <v xml:space="preserve">                                 - dinamizirani sprejeti proračun</v>
          </cell>
          <cell r="D474">
            <v>26798514</v>
          </cell>
          <cell r="I474">
            <v>2236946</v>
          </cell>
          <cell r="J474">
            <v>2236946</v>
          </cell>
          <cell r="K474">
            <v>2236946</v>
          </cell>
          <cell r="N474">
            <v>2236946</v>
          </cell>
          <cell r="O474">
            <v>2236946</v>
          </cell>
          <cell r="P474">
            <v>2236946</v>
          </cell>
          <cell r="Q474">
            <v>13421676</v>
          </cell>
          <cell r="R474">
            <v>2236946</v>
          </cell>
          <cell r="S474">
            <v>2236946</v>
          </cell>
          <cell r="T474">
            <v>2236946</v>
          </cell>
          <cell r="U474">
            <v>2236946</v>
          </cell>
          <cell r="V474">
            <v>2124667</v>
          </cell>
          <cell r="W474">
            <v>2192108</v>
          </cell>
          <cell r="X474">
            <v>0</v>
          </cell>
          <cell r="Y474">
            <v>26686235</v>
          </cell>
        </row>
        <row r="475">
          <cell r="A475">
            <v>411000</v>
          </cell>
          <cell r="C475" t="str">
            <v>Denarno nadomestilo</v>
          </cell>
          <cell r="D475">
            <v>22565010.175170001</v>
          </cell>
          <cell r="E475" t="str">
            <v xml:space="preserve"> </v>
          </cell>
          <cell r="G475">
            <v>80.851660464936685</v>
          </cell>
          <cell r="H475">
            <v>-25.756050996385056</v>
          </cell>
          <cell r="I475">
            <v>2153431.9720999999</v>
          </cell>
          <cell r="J475">
            <v>2157976.0584299997</v>
          </cell>
          <cell r="K475">
            <v>2130435.6837200001</v>
          </cell>
          <cell r="N475">
            <v>2015380.4625899999</v>
          </cell>
          <cell r="O475">
            <v>1894169.13212</v>
          </cell>
          <cell r="P475">
            <v>1857312.2642399999</v>
          </cell>
          <cell r="Q475">
            <v>12208705.5732</v>
          </cell>
          <cell r="R475">
            <v>1805078.72551</v>
          </cell>
          <cell r="S475">
            <v>1806811.4964999999</v>
          </cell>
          <cell r="T475">
            <v>1784446.0215400001</v>
          </cell>
          <cell r="U475">
            <v>1695470.3584200004</v>
          </cell>
          <cell r="V475">
            <v>1638959</v>
          </cell>
          <cell r="W475">
            <v>1610000</v>
          </cell>
          <cell r="X475">
            <v>0</v>
          </cell>
          <cell r="Y475">
            <v>22549471.175170001</v>
          </cell>
          <cell r="Z475" t="str">
            <v xml:space="preserve"> </v>
          </cell>
          <cell r="AA475">
            <v>99.931136747205642</v>
          </cell>
          <cell r="AB475">
            <v>-7.2995020897906784</v>
          </cell>
        </row>
        <row r="476">
          <cell r="A476">
            <v>411001</v>
          </cell>
          <cell r="C476" t="str">
            <v>Denarno nadomestilo v enkratnem znesku</v>
          </cell>
          <cell r="D476">
            <v>0</v>
          </cell>
          <cell r="E476" t="str">
            <v xml:space="preserve"> </v>
          </cell>
          <cell r="G476" t="str">
            <v>…</v>
          </cell>
          <cell r="H476" t="str">
            <v>…</v>
          </cell>
          <cell r="I476">
            <v>0</v>
          </cell>
          <cell r="J476">
            <v>0</v>
          </cell>
          <cell r="K476">
            <v>0</v>
          </cell>
          <cell r="N476">
            <v>0</v>
          </cell>
          <cell r="O476">
            <v>0</v>
          </cell>
          <cell r="P476">
            <v>0</v>
          </cell>
          <cell r="Q476">
            <v>0</v>
          </cell>
          <cell r="R476">
            <v>0</v>
          </cell>
          <cell r="S476">
            <v>0</v>
          </cell>
          <cell r="T476">
            <v>0</v>
          </cell>
          <cell r="U476">
            <v>0</v>
          </cell>
          <cell r="V476">
            <v>0</v>
          </cell>
          <cell r="W476">
            <v>0</v>
          </cell>
          <cell r="X476">
            <v>0</v>
          </cell>
          <cell r="Y476">
            <v>0</v>
          </cell>
          <cell r="Z476" t="str">
            <v xml:space="preserve"> </v>
          </cell>
          <cell r="AA476" t="str">
            <v>…</v>
          </cell>
          <cell r="AB476" t="str">
            <v>…</v>
          </cell>
        </row>
        <row r="477">
          <cell r="A477">
            <v>411002</v>
          </cell>
          <cell r="C477" t="str">
            <v>Denarna pomoč</v>
          </cell>
          <cell r="D477">
            <v>1199203.8165799999</v>
          </cell>
          <cell r="E477" t="str">
            <v xml:space="preserve"> </v>
          </cell>
          <cell r="G477">
            <v>132.33899753072512</v>
          </cell>
          <cell r="H477">
            <v>21.523413710491383</v>
          </cell>
          <cell r="I477">
            <v>83157.636209999997</v>
          </cell>
          <cell r="J477">
            <v>94855.824629999988</v>
          </cell>
          <cell r="K477">
            <v>101699.85127</v>
          </cell>
          <cell r="N477">
            <v>96686.702430000005</v>
          </cell>
          <cell r="O477">
            <v>99284.101269999999</v>
          </cell>
          <cell r="P477">
            <v>101610.97356999999</v>
          </cell>
          <cell r="Q477">
            <v>577295.08938000002</v>
          </cell>
          <cell r="R477">
            <v>101279.9164</v>
          </cell>
          <cell r="S477">
            <v>105255.29871999999</v>
          </cell>
          <cell r="T477">
            <v>107553.18682999999</v>
          </cell>
          <cell r="U477">
            <v>103078.32524999999</v>
          </cell>
          <cell r="V477">
            <v>102601</v>
          </cell>
          <cell r="W477">
            <v>101000</v>
          </cell>
          <cell r="X477">
            <v>0</v>
          </cell>
          <cell r="Y477">
            <v>1198062.8165799999</v>
          </cell>
          <cell r="Z477" t="str">
            <v xml:space="preserve"> </v>
          </cell>
          <cell r="AA477">
            <v>99.904853538303939</v>
          </cell>
          <cell r="AB477">
            <v>-7.3238835451725919</v>
          </cell>
        </row>
        <row r="478">
          <cell r="A478">
            <v>411003</v>
          </cell>
          <cell r="C478" t="str">
            <v>Drugi transferi nezaposlenim</v>
          </cell>
          <cell r="D478">
            <v>406217.56551000004</v>
          </cell>
          <cell r="E478" t="str">
            <v xml:space="preserve"> </v>
          </cell>
          <cell r="G478" t="str">
            <v>…</v>
          </cell>
          <cell r="H478" t="str">
            <v>…</v>
          </cell>
          <cell r="I478">
            <v>355.54199999999997</v>
          </cell>
          <cell r="J478">
            <v>10976.271810000002</v>
          </cell>
          <cell r="K478">
            <v>15538.152700000001</v>
          </cell>
          <cell r="N478">
            <v>24586.205079999996</v>
          </cell>
          <cell r="O478">
            <v>46105.974600000001</v>
          </cell>
          <cell r="P478">
            <v>52908.2039</v>
          </cell>
          <cell r="Q478">
            <v>150470.35008999999</v>
          </cell>
          <cell r="R478">
            <v>51861.336299999995</v>
          </cell>
          <cell r="S478">
            <v>40042.570850000004</v>
          </cell>
          <cell r="T478">
            <v>25915.0003</v>
          </cell>
          <cell r="U478">
            <v>24321.163369999998</v>
          </cell>
          <cell r="V478">
            <v>25771</v>
          </cell>
          <cell r="W478">
            <v>25771</v>
          </cell>
          <cell r="X478">
            <v>0</v>
          </cell>
          <cell r="Y478">
            <v>344152.42091000004</v>
          </cell>
          <cell r="Z478" t="str">
            <v xml:space="preserve"> </v>
          </cell>
          <cell r="AA478">
            <v>84.721206104891564</v>
          </cell>
          <cell r="AB478">
            <v>-21.408899717169234</v>
          </cell>
        </row>
        <row r="479">
          <cell r="Q479" t="str">
            <v xml:space="preserve"> </v>
          </cell>
        </row>
        <row r="480">
          <cell r="A480">
            <v>4111</v>
          </cell>
          <cell r="C480" t="str">
            <v>Družinski prejemki in starševska nadomestila</v>
          </cell>
          <cell r="D480">
            <v>73514345.374569997</v>
          </cell>
          <cell r="E480">
            <v>69181690</v>
          </cell>
          <cell r="F480">
            <v>4332655.3745699972</v>
          </cell>
          <cell r="G480">
            <v>120.03747663809918</v>
          </cell>
          <cell r="H480">
            <v>10.22725127465489</v>
          </cell>
          <cell r="I480">
            <v>5474921.3489999995</v>
          </cell>
          <cell r="J480">
            <v>6067781.4665000001</v>
          </cell>
          <cell r="K480">
            <v>6313151.8876499999</v>
          </cell>
          <cell r="L480">
            <v>17855854.703149997</v>
          </cell>
          <cell r="N480">
            <v>5561878.4370999997</v>
          </cell>
          <cell r="O480">
            <v>5951432.9170000004</v>
          </cell>
          <cell r="P480">
            <v>6001485.7675000001</v>
          </cell>
          <cell r="Q480">
            <v>35370651.824749999</v>
          </cell>
          <cell r="R480">
            <v>6200655.5329</v>
          </cell>
          <cell r="S480">
            <v>6436901.2577499999</v>
          </cell>
          <cell r="T480">
            <v>6323322.7280000001</v>
          </cell>
          <cell r="U480">
            <v>6441112.0229499992</v>
          </cell>
          <cell r="V480">
            <v>6507391</v>
          </cell>
          <cell r="W480">
            <v>6553671</v>
          </cell>
          <cell r="X480">
            <v>0</v>
          </cell>
          <cell r="Y480">
            <v>73833705.366349995</v>
          </cell>
          <cell r="Z480" t="str">
            <v xml:space="preserve"> </v>
          </cell>
          <cell r="AA480">
            <v>100.43441860245478</v>
          </cell>
          <cell r="AB480">
            <v>-6.8326358047729201</v>
          </cell>
        </row>
        <row r="481">
          <cell r="C481" t="str">
            <v xml:space="preserve">                                 - dinamizirani sprejeti proračun</v>
          </cell>
          <cell r="D481">
            <v>70966943</v>
          </cell>
          <cell r="I481">
            <v>5975349</v>
          </cell>
          <cell r="J481">
            <v>5975349</v>
          </cell>
          <cell r="K481">
            <v>5975349</v>
          </cell>
          <cell r="N481">
            <v>5975349</v>
          </cell>
          <cell r="O481">
            <v>5975349</v>
          </cell>
          <cell r="P481">
            <v>5975349</v>
          </cell>
          <cell r="Q481">
            <v>35852094</v>
          </cell>
          <cell r="R481">
            <v>5975349</v>
          </cell>
          <cell r="S481">
            <v>5975349</v>
          </cell>
          <cell r="T481">
            <v>5975349</v>
          </cell>
          <cell r="U481">
            <v>5975349</v>
          </cell>
          <cell r="V481">
            <v>5812995</v>
          </cell>
          <cell r="W481">
            <v>5238104</v>
          </cell>
          <cell r="X481">
            <v>0</v>
          </cell>
          <cell r="Y481">
            <v>70804589</v>
          </cell>
        </row>
        <row r="482">
          <cell r="A482">
            <v>411100</v>
          </cell>
          <cell r="C482" t="str">
            <v>Otroški dodatek</v>
          </cell>
          <cell r="D482">
            <v>44449097.336000003</v>
          </cell>
          <cell r="E482" t="str">
            <v xml:space="preserve"> </v>
          </cell>
          <cell r="G482">
            <v>126.4199007809024</v>
          </cell>
          <cell r="H482">
            <v>16.08806315968998</v>
          </cell>
          <cell r="I482">
            <v>3281556.898</v>
          </cell>
          <cell r="J482">
            <v>3586146.7080000001</v>
          </cell>
          <cell r="K482">
            <v>3603773.65</v>
          </cell>
          <cell r="N482">
            <v>3629395.3339999998</v>
          </cell>
          <cell r="O482">
            <v>3643155.068</v>
          </cell>
          <cell r="P482">
            <v>3569087.14</v>
          </cell>
          <cell r="Q482">
            <v>21313114.798</v>
          </cell>
          <cell r="R482">
            <v>3876088.84</v>
          </cell>
          <cell r="S482">
            <v>3878692.3990000002</v>
          </cell>
          <cell r="T482">
            <v>3877287.773</v>
          </cell>
          <cell r="U482">
            <v>3888336.5260000001</v>
          </cell>
          <cell r="V482">
            <v>3898921</v>
          </cell>
          <cell r="W482">
            <v>3898921</v>
          </cell>
          <cell r="X482">
            <v>0</v>
          </cell>
          <cell r="Y482">
            <v>44631362.336000003</v>
          </cell>
          <cell r="Z482" t="str">
            <v xml:space="preserve"> </v>
          </cell>
          <cell r="AA482">
            <v>100.41005332149318</v>
          </cell>
          <cell r="AB482">
            <v>-6.8552381062215346</v>
          </cell>
        </row>
        <row r="483">
          <cell r="A483">
            <v>411101</v>
          </cell>
          <cell r="C483" t="str">
            <v>Dodatek za nego otroka</v>
          </cell>
          <cell r="D483">
            <v>716864.61899999983</v>
          </cell>
          <cell r="E483" t="str">
            <v xml:space="preserve"> </v>
          </cell>
          <cell r="G483">
            <v>113.58469651995371</v>
          </cell>
          <cell r="H483">
            <v>4.301833351656299</v>
          </cell>
          <cell r="I483">
            <v>56688.872000000003</v>
          </cell>
          <cell r="J483">
            <v>56665.906000000003</v>
          </cell>
          <cell r="K483">
            <v>55927.618000000002</v>
          </cell>
          <cell r="N483">
            <v>56478.165999999997</v>
          </cell>
          <cell r="O483">
            <v>55443.345999999998</v>
          </cell>
          <cell r="P483">
            <v>59306.067000000003</v>
          </cell>
          <cell r="Q483">
            <v>340509.97499999998</v>
          </cell>
          <cell r="R483">
            <v>58098.398000000001</v>
          </cell>
          <cell r="S483">
            <v>64824.377999999997</v>
          </cell>
          <cell r="T483">
            <v>64323.616999999998</v>
          </cell>
          <cell r="U483">
            <v>64580.747000000003</v>
          </cell>
          <cell r="V483">
            <v>63000</v>
          </cell>
          <cell r="W483">
            <v>63000</v>
          </cell>
          <cell r="X483">
            <v>0</v>
          </cell>
          <cell r="Y483">
            <v>718337.11499999987</v>
          </cell>
          <cell r="Z483" t="str">
            <v xml:space="preserve"> </v>
          </cell>
          <cell r="AA483">
            <v>100.20540782191958</v>
          </cell>
          <cell r="AB483">
            <v>-7.0450762319855471</v>
          </cell>
        </row>
        <row r="484">
          <cell r="A484">
            <v>411102</v>
          </cell>
          <cell r="C484" t="str">
            <v>Dodatek za veliko družino</v>
          </cell>
          <cell r="D484">
            <v>0</v>
          </cell>
          <cell r="E484" t="str">
            <v xml:space="preserve"> </v>
          </cell>
          <cell r="G484" t="str">
            <v>…</v>
          </cell>
          <cell r="H484" t="str">
            <v>…</v>
          </cell>
          <cell r="I484">
            <v>0</v>
          </cell>
          <cell r="J484">
            <v>0</v>
          </cell>
          <cell r="K484">
            <v>0</v>
          </cell>
          <cell r="N484">
            <v>0</v>
          </cell>
          <cell r="O484">
            <v>0</v>
          </cell>
          <cell r="P484">
            <v>0</v>
          </cell>
          <cell r="Q484">
            <v>0</v>
          </cell>
          <cell r="R484">
            <v>0</v>
          </cell>
          <cell r="S484">
            <v>0</v>
          </cell>
          <cell r="T484">
            <v>0</v>
          </cell>
          <cell r="U484">
            <v>0</v>
          </cell>
          <cell r="V484">
            <v>0</v>
          </cell>
          <cell r="W484">
            <v>0</v>
          </cell>
          <cell r="X484">
            <v>0</v>
          </cell>
          <cell r="Y484">
            <v>0</v>
          </cell>
          <cell r="Z484" t="str">
            <v xml:space="preserve"> </v>
          </cell>
          <cell r="AA484" t="e">
            <v>#DIV/0!</v>
          </cell>
          <cell r="AB484" t="e">
            <v>#DIV/0!</v>
          </cell>
        </row>
        <row r="485">
          <cell r="A485">
            <v>411103</v>
          </cell>
          <cell r="C485" t="str">
            <v>Darilo ob rojstvu otroka</v>
          </cell>
          <cell r="D485">
            <v>482610.56007000001</v>
          </cell>
          <cell r="E485" t="str">
            <v xml:space="preserve"> </v>
          </cell>
          <cell r="G485">
            <v>107.46084336921358</v>
          </cell>
          <cell r="H485">
            <v>-1.321539605864487</v>
          </cell>
          <cell r="I485">
            <v>15172.3</v>
          </cell>
          <cell r="J485">
            <v>43183.131500000003</v>
          </cell>
          <cell r="K485">
            <v>41154.784650000001</v>
          </cell>
          <cell r="N485">
            <v>41298.917099999999</v>
          </cell>
          <cell r="O485">
            <v>40678.660499999998</v>
          </cell>
          <cell r="P485">
            <v>42233.842499999999</v>
          </cell>
          <cell r="Q485">
            <v>223721.63625000001</v>
          </cell>
          <cell r="R485">
            <v>43811.215899999996</v>
          </cell>
          <cell r="S485">
            <v>42066.439749999998</v>
          </cell>
          <cell r="T485">
            <v>44400.457999999999</v>
          </cell>
          <cell r="U485">
            <v>43988.288950000002</v>
          </cell>
          <cell r="V485">
            <v>41400</v>
          </cell>
          <cell r="W485">
            <v>41400</v>
          </cell>
          <cell r="X485">
            <v>0</v>
          </cell>
          <cell r="Y485">
            <v>480788.03885000001</v>
          </cell>
          <cell r="Z485" t="str">
            <v xml:space="preserve"> </v>
          </cell>
          <cell r="AA485">
            <v>99.622361926822407</v>
          </cell>
          <cell r="AB485">
            <v>-7.5859351328177951</v>
          </cell>
        </row>
        <row r="486">
          <cell r="A486">
            <v>411104</v>
          </cell>
          <cell r="C486" t="str">
            <v>Porodniško nadomestilo</v>
          </cell>
          <cell r="D486">
            <v>27260232.526500002</v>
          </cell>
          <cell r="E486" t="str">
            <v xml:space="preserve"> </v>
          </cell>
          <cell r="G486">
            <v>111.71732088358395</v>
          </cell>
          <cell r="H486">
            <v>2.5870715184425563</v>
          </cell>
          <cell r="I486">
            <v>2072790.2220000001</v>
          </cell>
          <cell r="J486">
            <v>2331517.8190000001</v>
          </cell>
          <cell r="K486">
            <v>2561896.2549999999</v>
          </cell>
          <cell r="N486">
            <v>1784202.1229999999</v>
          </cell>
          <cell r="O486">
            <v>2161765.4835000001</v>
          </cell>
          <cell r="P486">
            <v>2280429.04</v>
          </cell>
          <cell r="Q486">
            <v>13192600.942499999</v>
          </cell>
          <cell r="R486">
            <v>2172857.7570000002</v>
          </cell>
          <cell r="S486">
            <v>2400384.48</v>
          </cell>
          <cell r="T486">
            <v>2285989.0120000001</v>
          </cell>
          <cell r="U486">
            <v>2392998.9180000001</v>
          </cell>
          <cell r="V486">
            <v>2453720</v>
          </cell>
          <cell r="W486">
            <v>2500000</v>
          </cell>
          <cell r="X486">
            <v>0</v>
          </cell>
          <cell r="Y486">
            <v>27398551.109500002</v>
          </cell>
          <cell r="Z486" t="str">
            <v xml:space="preserve"> </v>
          </cell>
          <cell r="AA486">
            <v>100.50740059852951</v>
          </cell>
          <cell r="AB486">
            <v>-6.7649345097128872</v>
          </cell>
        </row>
        <row r="487">
          <cell r="A487">
            <v>411105</v>
          </cell>
          <cell r="C487" t="str">
            <v>Očetovsko nadomestilo</v>
          </cell>
          <cell r="D487">
            <v>0</v>
          </cell>
          <cell r="E487" t="str">
            <v xml:space="preserve"> </v>
          </cell>
          <cell r="G487" t="str">
            <v>…</v>
          </cell>
          <cell r="H487" t="str">
            <v>…</v>
          </cell>
          <cell r="I487">
            <v>0</v>
          </cell>
          <cell r="J487">
            <v>0</v>
          </cell>
          <cell r="K487">
            <v>0</v>
          </cell>
          <cell r="N487">
            <v>0</v>
          </cell>
          <cell r="O487">
            <v>0</v>
          </cell>
          <cell r="P487">
            <v>0</v>
          </cell>
          <cell r="Q487">
            <v>0</v>
          </cell>
          <cell r="R487">
            <v>0</v>
          </cell>
          <cell r="S487">
            <v>0</v>
          </cell>
          <cell r="T487">
            <v>0</v>
          </cell>
          <cell r="U487">
            <v>0</v>
          </cell>
          <cell r="V487">
            <v>0</v>
          </cell>
          <cell r="W487">
            <v>0</v>
          </cell>
          <cell r="X487">
            <v>0</v>
          </cell>
          <cell r="Y487">
            <v>0</v>
          </cell>
          <cell r="Z487" t="str">
            <v xml:space="preserve"> </v>
          </cell>
          <cell r="AA487" t="e">
            <v>#DIV/0!</v>
          </cell>
          <cell r="AB487" t="e">
            <v>#DIV/0!</v>
          </cell>
        </row>
        <row r="488">
          <cell r="A488">
            <v>411106</v>
          </cell>
          <cell r="C488" t="str">
            <v>Nadomestilo za nego in varstvo otroka</v>
          </cell>
          <cell r="D488">
            <v>0</v>
          </cell>
          <cell r="E488" t="str">
            <v xml:space="preserve"> </v>
          </cell>
          <cell r="G488" t="str">
            <v>…</v>
          </cell>
          <cell r="H488" t="str">
            <v>…</v>
          </cell>
          <cell r="I488">
            <v>0</v>
          </cell>
          <cell r="J488">
            <v>0</v>
          </cell>
          <cell r="K488">
            <v>0</v>
          </cell>
          <cell r="N488">
            <v>0</v>
          </cell>
          <cell r="O488">
            <v>0</v>
          </cell>
          <cell r="P488">
            <v>0</v>
          </cell>
          <cell r="Q488">
            <v>0</v>
          </cell>
          <cell r="R488">
            <v>0</v>
          </cell>
          <cell r="S488">
            <v>0</v>
          </cell>
          <cell r="T488">
            <v>0</v>
          </cell>
          <cell r="U488">
            <v>0</v>
          </cell>
          <cell r="V488">
            <v>0</v>
          </cell>
          <cell r="W488">
            <v>0</v>
          </cell>
          <cell r="X488">
            <v>0</v>
          </cell>
          <cell r="Y488">
            <v>0</v>
          </cell>
          <cell r="Z488" t="str">
            <v xml:space="preserve"> </v>
          </cell>
          <cell r="AA488" t="e">
            <v>#DIV/0!</v>
          </cell>
          <cell r="AB488" t="e">
            <v>#DIV/0!</v>
          </cell>
        </row>
        <row r="489">
          <cell r="A489">
            <v>411107</v>
          </cell>
          <cell r="C489" t="str">
            <v>Posvojiteljsko nadomestilo</v>
          </cell>
          <cell r="D489">
            <v>0</v>
          </cell>
          <cell r="E489" t="str">
            <v xml:space="preserve"> </v>
          </cell>
          <cell r="G489" t="str">
            <v>…</v>
          </cell>
          <cell r="H489" t="str">
            <v>…</v>
          </cell>
          <cell r="I489">
            <v>0</v>
          </cell>
          <cell r="J489">
            <v>0</v>
          </cell>
          <cell r="K489">
            <v>0</v>
          </cell>
          <cell r="N489">
            <v>0</v>
          </cell>
          <cell r="O489">
            <v>0</v>
          </cell>
          <cell r="P489">
            <v>0</v>
          </cell>
          <cell r="Q489">
            <v>0</v>
          </cell>
          <cell r="R489">
            <v>0</v>
          </cell>
          <cell r="S489">
            <v>0</v>
          </cell>
          <cell r="T489">
            <v>0</v>
          </cell>
          <cell r="U489">
            <v>0</v>
          </cell>
          <cell r="V489">
            <v>0</v>
          </cell>
          <cell r="W489">
            <v>0</v>
          </cell>
          <cell r="X489">
            <v>0</v>
          </cell>
          <cell r="Y489">
            <v>0</v>
          </cell>
          <cell r="Z489" t="str">
            <v xml:space="preserve"> </v>
          </cell>
          <cell r="AA489" t="e">
            <v>#DIV/0!</v>
          </cell>
          <cell r="AB489" t="e">
            <v>#DIV/0!</v>
          </cell>
        </row>
        <row r="490">
          <cell r="A490">
            <v>411108</v>
          </cell>
          <cell r="C490" t="str">
            <v>Starševski dodatek</v>
          </cell>
          <cell r="D490">
            <v>605540.33299999998</v>
          </cell>
          <cell r="E490" t="str">
            <v xml:space="preserve"> </v>
          </cell>
          <cell r="G490">
            <v>100.65039025058911</v>
          </cell>
          <cell r="H490">
            <v>-7.5753992189264352</v>
          </cell>
          <cell r="I490">
            <v>48713.057000000001</v>
          </cell>
          <cell r="J490">
            <v>50267.902000000002</v>
          </cell>
          <cell r="K490">
            <v>50399.58</v>
          </cell>
          <cell r="N490">
            <v>50503.896999999997</v>
          </cell>
          <cell r="O490">
            <v>50390.358999999997</v>
          </cell>
          <cell r="P490">
            <v>50429.678</v>
          </cell>
          <cell r="Q490">
            <v>300704.473</v>
          </cell>
          <cell r="R490">
            <v>49799.322</v>
          </cell>
          <cell r="S490">
            <v>50933.561000000002</v>
          </cell>
          <cell r="T490">
            <v>51321.868000000002</v>
          </cell>
          <cell r="U490">
            <v>51207.542999999998</v>
          </cell>
          <cell r="V490">
            <v>50350</v>
          </cell>
          <cell r="W490">
            <v>50350</v>
          </cell>
          <cell r="X490">
            <v>0</v>
          </cell>
          <cell r="Y490">
            <v>604666.76699999999</v>
          </cell>
          <cell r="Z490" t="str">
            <v xml:space="preserve"> </v>
          </cell>
          <cell r="AA490">
            <v>99.8557377680076</v>
          </cell>
          <cell r="AB490">
            <v>-7.3694454842230073</v>
          </cell>
        </row>
        <row r="491">
          <cell r="D491" t="str">
            <v xml:space="preserve"> </v>
          </cell>
          <cell r="Q491" t="str">
            <v xml:space="preserve"> </v>
          </cell>
          <cell r="Y491" t="str">
            <v xml:space="preserve"> </v>
          </cell>
        </row>
        <row r="492">
          <cell r="A492">
            <v>4112</v>
          </cell>
          <cell r="C492" t="str">
            <v>Transferi za zagotavljanje socialne varnosti</v>
          </cell>
          <cell r="D492">
            <v>14896666.676109999</v>
          </cell>
          <cell r="E492">
            <v>14712080</v>
          </cell>
          <cell r="F492">
            <v>184586.67610999942</v>
          </cell>
          <cell r="G492">
            <v>110.53303013624117</v>
          </cell>
          <cell r="H492">
            <v>1.4995685364932712</v>
          </cell>
          <cell r="I492">
            <v>1179872.3561100001</v>
          </cell>
          <cell r="J492">
            <v>1219550.86368</v>
          </cell>
          <cell r="K492">
            <v>1334379.9410999999</v>
          </cell>
          <cell r="L492">
            <v>3733803.1608899999</v>
          </cell>
          <cell r="N492">
            <v>1238465.9368899998</v>
          </cell>
          <cell r="O492">
            <v>1291009.7910100003</v>
          </cell>
          <cell r="P492">
            <v>1256191.4211300001</v>
          </cell>
          <cell r="Q492">
            <v>7519470.3099199999</v>
          </cell>
          <cell r="R492">
            <v>1196386.8522000001</v>
          </cell>
          <cell r="S492">
            <v>1191509.31057</v>
          </cell>
          <cell r="T492">
            <v>1199726.8638200001</v>
          </cell>
          <cell r="U492">
            <v>1205882.2320799998</v>
          </cell>
          <cell r="V492">
            <v>1254353</v>
          </cell>
          <cell r="W492">
            <v>1255688</v>
          </cell>
          <cell r="X492">
            <v>0</v>
          </cell>
          <cell r="Y492">
            <v>14823016.568589998</v>
          </cell>
          <cell r="Z492" t="str">
            <v xml:space="preserve"> </v>
          </cell>
          <cell r="AA492">
            <v>99.505593371179373</v>
          </cell>
          <cell r="AB492">
            <v>-7.694254757718582</v>
          </cell>
        </row>
        <row r="493">
          <cell r="C493" t="str">
            <v xml:space="preserve">                                 - dinamizirani sprejeti proračun</v>
          </cell>
          <cell r="D493">
            <v>14368176</v>
          </cell>
          <cell r="I493">
            <v>1179872</v>
          </cell>
          <cell r="J493">
            <v>1179872</v>
          </cell>
          <cell r="K493">
            <v>1179872</v>
          </cell>
          <cell r="N493">
            <v>1179872</v>
          </cell>
          <cell r="O493">
            <v>1179872</v>
          </cell>
          <cell r="P493">
            <v>1179872</v>
          </cell>
          <cell r="Q493">
            <v>7079232</v>
          </cell>
          <cell r="R493">
            <v>1179872</v>
          </cell>
          <cell r="S493">
            <v>1179872</v>
          </cell>
          <cell r="T493">
            <v>1179872</v>
          </cell>
          <cell r="U493">
            <v>1179872</v>
          </cell>
          <cell r="V493">
            <v>1195532</v>
          </cell>
          <cell r="W493">
            <v>1389584</v>
          </cell>
          <cell r="X493">
            <v>0</v>
          </cell>
          <cell r="Y493">
            <v>14383836</v>
          </cell>
        </row>
        <row r="494">
          <cell r="A494">
            <v>411200</v>
          </cell>
          <cell r="C494" t="str">
            <v>Denarni dodatek</v>
          </cell>
          <cell r="D494">
            <v>10336756.872370001</v>
          </cell>
          <cell r="E494" t="str">
            <v xml:space="preserve"> </v>
          </cell>
          <cell r="G494">
            <v>111.40226249145823</v>
          </cell>
          <cell r="H494">
            <v>2.297761700145287</v>
          </cell>
          <cell r="I494">
            <v>827300.69861000008</v>
          </cell>
          <cell r="J494">
            <v>864864.51059000008</v>
          </cell>
          <cell r="K494">
            <v>977703.53422999999</v>
          </cell>
          <cell r="N494">
            <v>881471.93452000001</v>
          </cell>
          <cell r="O494">
            <v>934093.49867000012</v>
          </cell>
          <cell r="P494">
            <v>825542.33019000001</v>
          </cell>
          <cell r="Q494">
            <v>5310976.5068100011</v>
          </cell>
          <cell r="R494">
            <v>811868.51843000005</v>
          </cell>
          <cell r="S494">
            <v>804589.65400999994</v>
          </cell>
          <cell r="T494">
            <v>815917.57984999986</v>
          </cell>
          <cell r="U494">
            <v>823962.97349999996</v>
          </cell>
          <cell r="V494">
            <v>859265</v>
          </cell>
          <cell r="W494">
            <v>860500</v>
          </cell>
          <cell r="X494">
            <v>0</v>
          </cell>
          <cell r="Y494">
            <v>10287080.232600002</v>
          </cell>
          <cell r="Z494" t="str">
            <v xml:space="preserve"> </v>
          </cell>
          <cell r="AA494">
            <v>99.519417546689297</v>
          </cell>
          <cell r="AB494">
            <v>-7.6814308472270056</v>
          </cell>
        </row>
        <row r="495">
          <cell r="A495">
            <v>411201</v>
          </cell>
          <cell r="C495" t="str">
            <v>Denarne pomoči kot edini vir</v>
          </cell>
          <cell r="D495">
            <v>366718.34560000006</v>
          </cell>
          <cell r="E495" t="str">
            <v xml:space="preserve"> </v>
          </cell>
          <cell r="G495">
            <v>101.01776003333811</v>
          </cell>
          <cell r="H495">
            <v>-7.2380532292579431</v>
          </cell>
          <cell r="I495">
            <v>30345.6878</v>
          </cell>
          <cell r="J495">
            <v>31131.855660000001</v>
          </cell>
          <cell r="K495">
            <v>30600.485960000002</v>
          </cell>
          <cell r="N495">
            <v>30200.37686</v>
          </cell>
          <cell r="O495">
            <v>29783.106500000002</v>
          </cell>
          <cell r="P495">
            <v>29764.794600000001</v>
          </cell>
          <cell r="Q495">
            <v>181826.30738000001</v>
          </cell>
          <cell r="R495">
            <v>30047.398719999997</v>
          </cell>
          <cell r="S495">
            <v>32977.613360000003</v>
          </cell>
          <cell r="T495">
            <v>29249.551920000002</v>
          </cell>
          <cell r="U495">
            <v>30354.061760000001</v>
          </cell>
          <cell r="V495">
            <v>30740</v>
          </cell>
          <cell r="W495">
            <v>30740</v>
          </cell>
          <cell r="X495">
            <v>0</v>
          </cell>
          <cell r="Y495">
            <v>365934.93314000004</v>
          </cell>
          <cell r="Z495" t="str">
            <v xml:space="preserve"> </v>
          </cell>
          <cell r="AA495">
            <v>99.786372165614395</v>
          </cell>
          <cell r="AB495">
            <v>-7.4337920541610316</v>
          </cell>
        </row>
        <row r="496">
          <cell r="A496">
            <v>411202</v>
          </cell>
          <cell r="C496" t="str">
            <v>Sredstva za varstvo duševno in telesno prizadetih</v>
          </cell>
          <cell r="D496">
            <v>3256594.2056999998</v>
          </cell>
          <cell r="E496" t="str">
            <v xml:space="preserve"> </v>
          </cell>
          <cell r="G496">
            <v>110.87330938486856</v>
          </cell>
          <cell r="H496">
            <v>1.8120380026341252</v>
          </cell>
          <cell r="I496">
            <v>251042.9362</v>
          </cell>
          <cell r="J496">
            <v>254537.32390000002</v>
          </cell>
          <cell r="K496">
            <v>250491.75890000002</v>
          </cell>
          <cell r="N496">
            <v>250687.55559999999</v>
          </cell>
          <cell r="O496">
            <v>252258.6531</v>
          </cell>
          <cell r="P496">
            <v>320982.56080000004</v>
          </cell>
          <cell r="Q496">
            <v>1580000.7885000003</v>
          </cell>
          <cell r="R496">
            <v>278400.0661</v>
          </cell>
          <cell r="S496">
            <v>279830.28730000003</v>
          </cell>
          <cell r="T496">
            <v>280125.76160000003</v>
          </cell>
          <cell r="U496">
            <v>279706.1629</v>
          </cell>
          <cell r="V496">
            <v>280000</v>
          </cell>
          <cell r="W496">
            <v>280000</v>
          </cell>
          <cell r="X496">
            <v>0</v>
          </cell>
          <cell r="Y496">
            <v>3258063.0663999999</v>
          </cell>
          <cell r="Z496" t="str">
            <v xml:space="preserve"> </v>
          </cell>
          <cell r="AA496">
            <v>100.04510419804313</v>
          </cell>
          <cell r="AB496">
            <v>-7.1937808923533026</v>
          </cell>
        </row>
        <row r="497">
          <cell r="A497">
            <v>411203</v>
          </cell>
          <cell r="C497" t="str">
            <v>Zdravstveno zavarovanje prejemnikov edinega vira</v>
          </cell>
          <cell r="D497">
            <v>33538</v>
          </cell>
          <cell r="E497" t="str">
            <v xml:space="preserve"> </v>
          </cell>
          <cell r="G497" t="str">
            <v>…</v>
          </cell>
          <cell r="H497" t="str">
            <v>…</v>
          </cell>
          <cell r="I497">
            <v>0</v>
          </cell>
          <cell r="J497">
            <v>0</v>
          </cell>
          <cell r="K497">
            <v>0</v>
          </cell>
          <cell r="N497">
            <v>0</v>
          </cell>
          <cell r="O497">
            <v>0</v>
          </cell>
          <cell r="P497">
            <v>0</v>
          </cell>
          <cell r="Q497">
            <v>0</v>
          </cell>
          <cell r="R497">
            <v>0</v>
          </cell>
          <cell r="S497">
            <v>0</v>
          </cell>
          <cell r="T497">
            <v>0</v>
          </cell>
          <cell r="U497">
            <v>0</v>
          </cell>
          <cell r="V497">
            <v>0</v>
          </cell>
          <cell r="W497">
            <v>0</v>
          </cell>
          <cell r="X497">
            <v>0</v>
          </cell>
          <cell r="Y497">
            <v>0</v>
          </cell>
          <cell r="Z497" t="str">
            <v xml:space="preserve"> </v>
          </cell>
          <cell r="AA497">
            <v>0</v>
          </cell>
          <cell r="AB497">
            <v>-100</v>
          </cell>
        </row>
        <row r="498">
          <cell r="A498">
            <v>411204</v>
          </cell>
          <cell r="C498" t="str">
            <v>Zdravstveno zavarovanje duševno in telesno prizadet.</v>
          </cell>
          <cell r="D498">
            <v>222349.23699999999</v>
          </cell>
          <cell r="E498" t="str">
            <v xml:space="preserve"> </v>
          </cell>
          <cell r="G498">
            <v>88.684683588665109</v>
          </cell>
          <cell r="H498">
            <v>-18.563192296909918</v>
          </cell>
          <cell r="I498">
            <v>17135.546999999999</v>
          </cell>
          <cell r="J498">
            <v>17444.138500000001</v>
          </cell>
          <cell r="K498">
            <v>17121.293000000001</v>
          </cell>
          <cell r="N498">
            <v>17183.612499999999</v>
          </cell>
          <cell r="O498">
            <v>17188.392500000002</v>
          </cell>
          <cell r="P498">
            <v>22088.987499999999</v>
          </cell>
          <cell r="Q498">
            <v>108161.97100000001</v>
          </cell>
          <cell r="R498">
            <v>18904.771499999999</v>
          </cell>
          <cell r="S498">
            <v>19063.778999999999</v>
          </cell>
          <cell r="T498">
            <v>19014.753499999999</v>
          </cell>
          <cell r="U498">
            <v>19066.863000000001</v>
          </cell>
          <cell r="V498">
            <v>19100</v>
          </cell>
          <cell r="W498">
            <v>19200</v>
          </cell>
          <cell r="X498">
            <v>0</v>
          </cell>
          <cell r="Y498">
            <v>222512.13800000001</v>
          </cell>
          <cell r="Z498" t="str">
            <v xml:space="preserve"> </v>
          </cell>
          <cell r="AA498">
            <v>100.07326357499487</v>
          </cell>
          <cell r="AB498">
            <v>-7.1676590213405689</v>
          </cell>
        </row>
        <row r="499">
          <cell r="A499">
            <v>411205</v>
          </cell>
          <cell r="C499" t="str">
            <v>Varstvo družin vojakov</v>
          </cell>
          <cell r="D499">
            <v>6277.7853999999998</v>
          </cell>
          <cell r="E499" t="str">
            <v xml:space="preserve"> </v>
          </cell>
          <cell r="G499">
            <v>148.64858532464149</v>
          </cell>
          <cell r="H499">
            <v>36.500078351369581</v>
          </cell>
          <cell r="I499">
            <v>0</v>
          </cell>
          <cell r="J499">
            <v>511.68228999999997</v>
          </cell>
          <cell r="K499">
            <v>480.18792999999999</v>
          </cell>
          <cell r="N499">
            <v>625.04092999999989</v>
          </cell>
          <cell r="O499">
            <v>852.43606000000011</v>
          </cell>
          <cell r="P499">
            <v>478.67920000000004</v>
          </cell>
          <cell r="Q499">
            <v>2948.0264099999999</v>
          </cell>
          <cell r="R499">
            <v>623.85771</v>
          </cell>
          <cell r="S499">
            <v>561.89465999999993</v>
          </cell>
          <cell r="T499">
            <v>322.46189000000004</v>
          </cell>
          <cell r="U499">
            <v>382.04973999999999</v>
          </cell>
          <cell r="V499">
            <v>673</v>
          </cell>
          <cell r="W499">
            <v>673</v>
          </cell>
          <cell r="X499">
            <v>0</v>
          </cell>
          <cell r="Y499">
            <v>6184.2904099999996</v>
          </cell>
          <cell r="Z499" t="str">
            <v xml:space="preserve"> </v>
          </cell>
          <cell r="AA499">
            <v>98.510701082582401</v>
          </cell>
          <cell r="AB499">
            <v>-8.6171604057677058</v>
          </cell>
        </row>
        <row r="500">
          <cell r="A500">
            <v>411212</v>
          </cell>
          <cell r="C500" t="str">
            <v>Drugi transferi za zagotavljanje socialne varnosti</v>
          </cell>
          <cell r="D500">
            <v>674432.23004000005</v>
          </cell>
          <cell r="E500" t="str">
            <v xml:space="preserve"> </v>
          </cell>
          <cell r="G500">
            <v>104.861703183351</v>
          </cell>
          <cell r="H500">
            <v>-3.7082615396225975</v>
          </cell>
          <cell r="I500">
            <v>54047.486499999999</v>
          </cell>
          <cell r="J500">
            <v>51061.352740000002</v>
          </cell>
          <cell r="K500">
            <v>57982.681079999995</v>
          </cell>
          <cell r="N500">
            <v>58297.41648</v>
          </cell>
          <cell r="O500">
            <v>56833.704180000001</v>
          </cell>
          <cell r="P500">
            <v>57334.068840000007</v>
          </cell>
          <cell r="Q500">
            <v>335556.70982000005</v>
          </cell>
          <cell r="R500">
            <v>56542.239740000005</v>
          </cell>
          <cell r="S500">
            <v>54486.082240000003</v>
          </cell>
          <cell r="T500">
            <v>55096.755060000003</v>
          </cell>
          <cell r="U500">
            <v>52410.121180000002</v>
          </cell>
          <cell r="V500">
            <v>64575</v>
          </cell>
          <cell r="W500">
            <v>64575</v>
          </cell>
          <cell r="X500">
            <v>0</v>
          </cell>
          <cell r="Y500">
            <v>683241.90804000001</v>
          </cell>
          <cell r="Z500" t="str">
            <v xml:space="preserve"> </v>
          </cell>
          <cell r="AA500">
            <v>101.30623620989725</v>
          </cell>
          <cell r="AB500">
            <v>-6.0238996197613659</v>
          </cell>
        </row>
        <row r="501">
          <cell r="Q501" t="str">
            <v xml:space="preserve"> </v>
          </cell>
        </row>
        <row r="502">
          <cell r="A502">
            <v>4113</v>
          </cell>
          <cell r="C502" t="str">
            <v>Transferi vojnim invalidom, veteranom in žrtvam vojn.n.</v>
          </cell>
          <cell r="D502">
            <v>15556884.858309999</v>
          </cell>
          <cell r="E502">
            <v>17848129</v>
          </cell>
          <cell r="F502">
            <v>-2291244.1416900009</v>
          </cell>
          <cell r="G502">
            <v>104.5946368552308</v>
          </cell>
          <cell r="H502">
            <v>-3.9535015103482181</v>
          </cell>
          <cell r="I502">
            <v>1207288.1250199999</v>
          </cell>
          <cell r="J502">
            <v>1130006.7020099999</v>
          </cell>
          <cell r="K502">
            <v>1246149.3845299999</v>
          </cell>
          <cell r="L502">
            <v>3583444.2115599997</v>
          </cell>
          <cell r="N502">
            <v>1227195.4738999999</v>
          </cell>
          <cell r="O502">
            <v>1259765.1723799999</v>
          </cell>
          <cell r="P502">
            <v>1282837.8008400002</v>
          </cell>
          <cell r="Q502">
            <v>7353242.6586799994</v>
          </cell>
          <cell r="R502">
            <v>1444562.9335699999</v>
          </cell>
          <cell r="S502">
            <v>1454184.4264100001</v>
          </cell>
          <cell r="T502">
            <v>1359787.8583200001</v>
          </cell>
          <cell r="U502">
            <v>1381261.0374500002</v>
          </cell>
          <cell r="V502">
            <v>1319397.4002479999</v>
          </cell>
          <cell r="W502">
            <v>1333935.17425048</v>
          </cell>
          <cell r="X502">
            <v>0</v>
          </cell>
          <cell r="Y502">
            <v>15646371.48892848</v>
          </cell>
          <cell r="Z502" t="str">
            <v xml:space="preserve"> </v>
          </cell>
          <cell r="AA502">
            <v>100.57522204113172</v>
          </cell>
          <cell r="AB502">
            <v>-6.7020203700076735</v>
          </cell>
        </row>
        <row r="503">
          <cell r="C503" t="str">
            <v xml:space="preserve">                                 - dinamizirani sprejeti proračun</v>
          </cell>
          <cell r="D503">
            <v>15197059</v>
          </cell>
          <cell r="I503">
            <v>1230279</v>
          </cell>
          <cell r="J503">
            <v>1230279</v>
          </cell>
          <cell r="K503">
            <v>1230279</v>
          </cell>
          <cell r="N503">
            <v>1230279</v>
          </cell>
          <cell r="O503">
            <v>1230279</v>
          </cell>
          <cell r="P503">
            <v>1230279</v>
          </cell>
          <cell r="Q503">
            <v>7381674</v>
          </cell>
          <cell r="R503">
            <v>1230279</v>
          </cell>
          <cell r="S503">
            <v>1230279</v>
          </cell>
          <cell r="T503">
            <v>1230279</v>
          </cell>
          <cell r="U503">
            <v>1230279</v>
          </cell>
          <cell r="V503">
            <v>1562320</v>
          </cell>
          <cell r="W503">
            <v>1649449</v>
          </cell>
          <cell r="X503">
            <v>14541</v>
          </cell>
          <cell r="Y503">
            <v>15529100</v>
          </cell>
        </row>
        <row r="504">
          <cell r="A504">
            <v>411300</v>
          </cell>
          <cell r="C504" t="str">
            <v>Varstvo vojnih invalidov</v>
          </cell>
          <cell r="D504">
            <v>6070464.9294400001</v>
          </cell>
          <cell r="E504" t="str">
            <v xml:space="preserve"> </v>
          </cell>
          <cell r="G504">
            <v>103.59138376716351</v>
          </cell>
          <cell r="H504">
            <v>-4.8747623809334328</v>
          </cell>
          <cell r="I504">
            <v>501853.75500999996</v>
          </cell>
          <cell r="J504">
            <v>478679.25890999998</v>
          </cell>
          <cell r="K504">
            <v>527297.63491999998</v>
          </cell>
          <cell r="N504">
            <v>497462.51500999997</v>
          </cell>
          <cell r="O504">
            <v>498508.58922000002</v>
          </cell>
          <cell r="P504">
            <v>503696.94253000006</v>
          </cell>
          <cell r="Q504">
            <v>3007498.6956000002</v>
          </cell>
          <cell r="R504">
            <v>518660.04130000004</v>
          </cell>
          <cell r="S504">
            <v>505295.51618000004</v>
          </cell>
          <cell r="T504">
            <v>498674.57751000003</v>
          </cell>
          <cell r="U504">
            <v>541543.09884999995</v>
          </cell>
          <cell r="V504">
            <v>503620</v>
          </cell>
          <cell r="W504">
            <v>510000</v>
          </cell>
          <cell r="X504">
            <v>0</v>
          </cell>
          <cell r="Y504">
            <v>6085291.9294400001</v>
          </cell>
          <cell r="Z504" t="str">
            <v xml:space="preserve"> </v>
          </cell>
          <cell r="AA504">
            <v>100.2442481782259</v>
          </cell>
          <cell r="AB504">
            <v>-7.0090462168590761</v>
          </cell>
        </row>
        <row r="505">
          <cell r="A505">
            <v>411301</v>
          </cell>
          <cell r="C505" t="str">
            <v>Varstvo vojnih veteranov</v>
          </cell>
          <cell r="D505">
            <v>1301063.0417599999</v>
          </cell>
          <cell r="E505" t="str">
            <v xml:space="preserve"> </v>
          </cell>
          <cell r="G505">
            <v>113.34666806422359</v>
          </cell>
          <cell r="H505">
            <v>4.0832580938692189</v>
          </cell>
          <cell r="I505">
            <v>100872.84855</v>
          </cell>
          <cell r="J505">
            <v>96967.685710000005</v>
          </cell>
          <cell r="K505">
            <v>94308.284</v>
          </cell>
          <cell r="N505">
            <v>95022.000499999995</v>
          </cell>
          <cell r="O505">
            <v>100663.1275</v>
          </cell>
          <cell r="P505">
            <v>112001.42449999999</v>
          </cell>
          <cell r="Q505">
            <v>599835.37075999996</v>
          </cell>
          <cell r="R505">
            <v>116721.99249999999</v>
          </cell>
          <cell r="S505">
            <v>120039.1865</v>
          </cell>
          <cell r="T505">
            <v>125304.073</v>
          </cell>
          <cell r="U505">
            <v>119238.41899999999</v>
          </cell>
          <cell r="V505">
            <v>111125</v>
          </cell>
          <cell r="W505">
            <v>112236.25</v>
          </cell>
          <cell r="X505">
            <v>0</v>
          </cell>
          <cell r="Y505">
            <v>1304500.2917599999</v>
          </cell>
          <cell r="Z505" t="str">
            <v xml:space="preserve"> </v>
          </cell>
          <cell r="AA505">
            <v>100.26418781332458</v>
          </cell>
          <cell r="AB505">
            <v>-6.9905493382888864</v>
          </cell>
        </row>
        <row r="506">
          <cell r="A506">
            <v>411302</v>
          </cell>
          <cell r="C506" t="str">
            <v>Varstvo žrtev vojnega nasilja</v>
          </cell>
          <cell r="D506">
            <v>4146766.6045899997</v>
          </cell>
          <cell r="E506" t="str">
            <v xml:space="preserve"> </v>
          </cell>
          <cell r="G506">
            <v>102.0256025201812</v>
          </cell>
          <cell r="H506">
            <v>-6.3125780347280056</v>
          </cell>
          <cell r="I506">
            <v>349067.57955999998</v>
          </cell>
          <cell r="J506">
            <v>311562.22950999998</v>
          </cell>
          <cell r="K506">
            <v>352566.97950999998</v>
          </cell>
          <cell r="N506">
            <v>344394.37268999999</v>
          </cell>
          <cell r="O506">
            <v>355990.54193000001</v>
          </cell>
          <cell r="P506">
            <v>356743.92717000004</v>
          </cell>
          <cell r="Q506">
            <v>2070325.6303700001</v>
          </cell>
          <cell r="R506">
            <v>354469.09749999997</v>
          </cell>
          <cell r="S506">
            <v>341522.79272000003</v>
          </cell>
          <cell r="T506">
            <v>339891.52818000002</v>
          </cell>
          <cell r="U506">
            <v>352786.55582000007</v>
          </cell>
          <cell r="V506">
            <v>351365</v>
          </cell>
          <cell r="W506">
            <v>354878.65</v>
          </cell>
          <cell r="X506">
            <v>0</v>
          </cell>
          <cell r="Y506">
            <v>4165239.2545899996</v>
          </cell>
          <cell r="Z506" t="str">
            <v xml:space="preserve"> </v>
          </cell>
          <cell r="AA506">
            <v>100.44547117697806</v>
          </cell>
          <cell r="AB506">
            <v>-6.8223829527105124</v>
          </cell>
        </row>
        <row r="507">
          <cell r="A507">
            <v>411303</v>
          </cell>
          <cell r="C507" t="str">
            <v>Republiške priznavalnine</v>
          </cell>
          <cell r="D507">
            <v>67820.555420000004</v>
          </cell>
          <cell r="E507" t="str">
            <v xml:space="preserve"> </v>
          </cell>
          <cell r="G507">
            <v>96.774652544132621</v>
          </cell>
          <cell r="H507">
            <v>-11.134387011815789</v>
          </cell>
          <cell r="I507">
            <v>0</v>
          </cell>
          <cell r="J507">
            <v>0</v>
          </cell>
          <cell r="K507">
            <v>0</v>
          </cell>
          <cell r="N507">
            <v>0</v>
          </cell>
          <cell r="O507">
            <v>17039.297910000001</v>
          </cell>
          <cell r="P507">
            <v>0</v>
          </cell>
          <cell r="Q507">
            <v>17039.297910000001</v>
          </cell>
          <cell r="R507">
            <v>16971.46228</v>
          </cell>
          <cell r="S507">
            <v>0</v>
          </cell>
          <cell r="T507">
            <v>0</v>
          </cell>
          <cell r="U507">
            <v>16942.863229999999</v>
          </cell>
          <cell r="V507">
            <v>0</v>
          </cell>
          <cell r="W507">
            <v>0</v>
          </cell>
          <cell r="X507">
            <v>0</v>
          </cell>
          <cell r="Y507">
            <v>50953.623420000004</v>
          </cell>
          <cell r="Z507" t="str">
            <v xml:space="preserve"> </v>
          </cell>
          <cell r="AA507">
            <v>75.13005917520691</v>
          </cell>
          <cell r="AB507">
            <v>-30.306067555466683</v>
          </cell>
        </row>
        <row r="508">
          <cell r="A508">
            <v>411304</v>
          </cell>
          <cell r="C508" t="str">
            <v>Sredstva za zdraviliško in klimatsko zdravljenje</v>
          </cell>
          <cell r="D508">
            <v>437011.90917</v>
          </cell>
          <cell r="E508" t="str">
            <v xml:space="preserve"> </v>
          </cell>
          <cell r="G508">
            <v>87.224752982300203</v>
          </cell>
          <cell r="H508">
            <v>-19.903808097061344</v>
          </cell>
          <cell r="I508">
            <v>2917.07602</v>
          </cell>
          <cell r="J508">
            <v>11392.548680000002</v>
          </cell>
          <cell r="K508">
            <v>8511.9921200000008</v>
          </cell>
          <cell r="N508">
            <v>4815.7381299999997</v>
          </cell>
          <cell r="O508">
            <v>13866.856300000001</v>
          </cell>
          <cell r="P508">
            <v>18117.949489999999</v>
          </cell>
          <cell r="Q508">
            <v>59622.160739999999</v>
          </cell>
          <cell r="R508">
            <v>61214.533989999996</v>
          </cell>
          <cell r="S508">
            <v>78602.935400000002</v>
          </cell>
          <cell r="T508">
            <v>78024.874759999992</v>
          </cell>
          <cell r="U508">
            <v>71850.392399999997</v>
          </cell>
          <cell r="V508">
            <v>73287.400248000005</v>
          </cell>
          <cell r="W508">
            <v>74020.274250480012</v>
          </cell>
          <cell r="X508">
            <v>0</v>
          </cell>
          <cell r="Y508">
            <v>496622.57178847998</v>
          </cell>
          <cell r="Z508" t="str">
            <v xml:space="preserve"> </v>
          </cell>
          <cell r="AA508">
            <v>113.64051216171573</v>
          </cell>
          <cell r="AB508">
            <v>5.4179148067863991</v>
          </cell>
        </row>
        <row r="509">
          <cell r="A509">
            <v>411305</v>
          </cell>
          <cell r="C509" t="str">
            <v>Sredstva iz naslova drugih zakonskih pravic VI,VV,ŽVN</v>
          </cell>
          <cell r="D509">
            <v>3533757.8179299999</v>
          </cell>
          <cell r="E509" t="str">
            <v xml:space="preserve"> </v>
          </cell>
          <cell r="G509">
            <v>109.40108844791237</v>
          </cell>
          <cell r="H509">
            <v>0.46013631580565573</v>
          </cell>
          <cell r="I509">
            <v>252576.86588</v>
          </cell>
          <cell r="J509">
            <v>231404.9792</v>
          </cell>
          <cell r="K509">
            <v>263464.49397999997</v>
          </cell>
          <cell r="N509">
            <v>285500.84756999998</v>
          </cell>
          <cell r="O509">
            <v>273696.75951999996</v>
          </cell>
          <cell r="P509">
            <v>292277.55715000001</v>
          </cell>
          <cell r="Q509">
            <v>1598921.5032999997</v>
          </cell>
          <cell r="R509">
            <v>376525.80599999998</v>
          </cell>
          <cell r="S509">
            <v>408723.99561000004</v>
          </cell>
          <cell r="T509">
            <v>317892.80486999999</v>
          </cell>
          <cell r="U509">
            <v>278899.70814999996</v>
          </cell>
          <cell r="V509">
            <v>280000</v>
          </cell>
          <cell r="W509">
            <v>282800</v>
          </cell>
          <cell r="X509">
            <v>0</v>
          </cell>
          <cell r="Y509">
            <v>3543763.8179299999</v>
          </cell>
          <cell r="Z509" t="str">
            <v xml:space="preserve"> </v>
          </cell>
          <cell r="AA509">
            <v>100.2831546618512</v>
          </cell>
          <cell r="AB509">
            <v>-6.9729548591361663</v>
          </cell>
        </row>
        <row r="510">
          <cell r="Q510" t="str">
            <v xml:space="preserve"> </v>
          </cell>
        </row>
        <row r="511">
          <cell r="A511">
            <v>4114</v>
          </cell>
          <cell r="C511" t="str">
            <v>Pokojnine</v>
          </cell>
          <cell r="D511">
            <v>0</v>
          </cell>
          <cell r="E511">
            <v>0</v>
          </cell>
          <cell r="F511">
            <v>0</v>
          </cell>
          <cell r="G511" t="str">
            <v>…</v>
          </cell>
          <cell r="H511" t="str">
            <v>…</v>
          </cell>
          <cell r="I511">
            <v>0</v>
          </cell>
          <cell r="J511">
            <v>0</v>
          </cell>
          <cell r="K511">
            <v>0</v>
          </cell>
          <cell r="L511">
            <v>0</v>
          </cell>
          <cell r="N511">
            <v>0</v>
          </cell>
          <cell r="O511">
            <v>0</v>
          </cell>
          <cell r="P511">
            <v>0</v>
          </cell>
          <cell r="Q511">
            <v>0</v>
          </cell>
          <cell r="R511">
            <v>0</v>
          </cell>
          <cell r="S511">
            <v>0</v>
          </cell>
          <cell r="T511">
            <v>0</v>
          </cell>
          <cell r="U511">
            <v>0</v>
          </cell>
          <cell r="V511">
            <v>0</v>
          </cell>
          <cell r="W511">
            <v>0</v>
          </cell>
          <cell r="X511">
            <v>0</v>
          </cell>
          <cell r="Y511">
            <v>0</v>
          </cell>
          <cell r="Z511" t="str">
            <v xml:space="preserve"> </v>
          </cell>
          <cell r="AA511" t="str">
            <v>…</v>
          </cell>
          <cell r="AB511" t="str">
            <v>…</v>
          </cell>
        </row>
        <row r="512">
          <cell r="A512">
            <v>4115</v>
          </cell>
          <cell r="C512" t="str">
            <v xml:space="preserve">Nadomestila plač </v>
          </cell>
          <cell r="D512">
            <v>0</v>
          </cell>
          <cell r="E512">
            <v>20094</v>
          </cell>
          <cell r="F512">
            <v>-20094</v>
          </cell>
          <cell r="G512" t="str">
            <v>…</v>
          </cell>
          <cell r="H512" t="str">
            <v>…</v>
          </cell>
          <cell r="I512">
            <v>0</v>
          </cell>
          <cell r="J512">
            <v>0</v>
          </cell>
          <cell r="K512">
            <v>0</v>
          </cell>
          <cell r="L512">
            <v>0</v>
          </cell>
          <cell r="N512">
            <v>0</v>
          </cell>
          <cell r="O512">
            <v>0</v>
          </cell>
          <cell r="P512">
            <v>0</v>
          </cell>
          <cell r="Q512">
            <v>0</v>
          </cell>
          <cell r="R512">
            <v>0</v>
          </cell>
          <cell r="S512">
            <v>0</v>
          </cell>
          <cell r="T512">
            <v>0</v>
          </cell>
          <cell r="U512">
            <v>0</v>
          </cell>
          <cell r="V512">
            <v>0</v>
          </cell>
          <cell r="W512">
            <v>0</v>
          </cell>
          <cell r="X512">
            <v>0</v>
          </cell>
          <cell r="Y512">
            <v>0</v>
          </cell>
          <cell r="Z512" t="str">
            <v xml:space="preserve"> </v>
          </cell>
          <cell r="AA512" t="str">
            <v>…</v>
          </cell>
          <cell r="AB512" t="str">
            <v>…</v>
          </cell>
        </row>
        <row r="513">
          <cell r="A513">
            <v>4116</v>
          </cell>
          <cell r="C513" t="str">
            <v>Boleznine</v>
          </cell>
          <cell r="D513">
            <v>0</v>
          </cell>
          <cell r="E513">
            <v>0</v>
          </cell>
          <cell r="F513">
            <v>0</v>
          </cell>
          <cell r="G513" t="str">
            <v>…</v>
          </cell>
          <cell r="H513" t="str">
            <v>…</v>
          </cell>
          <cell r="I513">
            <v>0</v>
          </cell>
          <cell r="J513">
            <v>0</v>
          </cell>
          <cell r="K513">
            <v>0</v>
          </cell>
          <cell r="L513">
            <v>0</v>
          </cell>
          <cell r="N513">
            <v>0</v>
          </cell>
          <cell r="O513">
            <v>0</v>
          </cell>
          <cell r="P513">
            <v>0</v>
          </cell>
          <cell r="Q513">
            <v>0</v>
          </cell>
          <cell r="R513">
            <v>0</v>
          </cell>
          <cell r="S513">
            <v>0</v>
          </cell>
          <cell r="T513">
            <v>0</v>
          </cell>
          <cell r="U513">
            <v>0</v>
          </cell>
          <cell r="V513">
            <v>0</v>
          </cell>
          <cell r="W513">
            <v>0</v>
          </cell>
          <cell r="X513">
            <v>0</v>
          </cell>
          <cell r="Y513">
            <v>0</v>
          </cell>
          <cell r="Z513" t="str">
            <v xml:space="preserve"> </v>
          </cell>
          <cell r="AA513" t="str">
            <v>…</v>
          </cell>
          <cell r="AB513" t="str">
            <v>…</v>
          </cell>
        </row>
        <row r="514">
          <cell r="D514" t="str">
            <v xml:space="preserve"> </v>
          </cell>
          <cell r="Q514" t="str">
            <v xml:space="preserve"> </v>
          </cell>
          <cell r="Y514" t="str">
            <v xml:space="preserve"> </v>
          </cell>
        </row>
        <row r="515">
          <cell r="A515">
            <v>4117</v>
          </cell>
          <cell r="C515" t="str">
            <v>Štipendije</v>
          </cell>
          <cell r="D515">
            <v>16144993.90167</v>
          </cell>
          <cell r="E515">
            <v>16597867</v>
          </cell>
          <cell r="F515">
            <v>-452873.09833000042</v>
          </cell>
          <cell r="G515">
            <v>108.61385086241651</v>
          </cell>
          <cell r="H515">
            <v>-0.26276321173874351</v>
          </cell>
          <cell r="I515">
            <v>1389281.706</v>
          </cell>
          <cell r="J515">
            <v>1424831.0528499999</v>
          </cell>
          <cell r="K515">
            <v>1376425.8090399997</v>
          </cell>
          <cell r="L515">
            <v>4190538.5678899996</v>
          </cell>
          <cell r="N515">
            <v>1361887.4495000001</v>
          </cell>
          <cell r="O515">
            <v>1353534.75294</v>
          </cell>
          <cell r="P515">
            <v>1355412.3269700003</v>
          </cell>
          <cell r="Q515">
            <v>8261373.0973000005</v>
          </cell>
          <cell r="R515">
            <v>1349624.858</v>
          </cell>
          <cell r="S515">
            <v>1131256.7790699999</v>
          </cell>
          <cell r="T515">
            <v>1153868.9775900005</v>
          </cell>
          <cell r="U515">
            <v>1268716.7879600003</v>
          </cell>
          <cell r="V515">
            <v>1296000</v>
          </cell>
          <cell r="W515">
            <v>1293550</v>
          </cell>
          <cell r="X515">
            <v>0</v>
          </cell>
          <cell r="Y515">
            <v>15754390.499919999</v>
          </cell>
          <cell r="Z515" t="str">
            <v xml:space="preserve"> </v>
          </cell>
          <cell r="AA515">
            <v>97.580653147787217</v>
          </cell>
          <cell r="AB515">
            <v>-9.4799135920341229</v>
          </cell>
        </row>
        <row r="516">
          <cell r="C516" t="str">
            <v xml:space="preserve">                                 - dinamizirani sprejeti proračun</v>
          </cell>
          <cell r="D516">
            <v>11354020</v>
          </cell>
          <cell r="I516">
            <v>889285</v>
          </cell>
          <cell r="J516">
            <v>889285</v>
          </cell>
          <cell r="K516">
            <v>889285</v>
          </cell>
          <cell r="N516">
            <v>889285</v>
          </cell>
          <cell r="O516">
            <v>889285</v>
          </cell>
          <cell r="P516">
            <v>889285</v>
          </cell>
          <cell r="Q516">
            <v>5335710</v>
          </cell>
          <cell r="R516">
            <v>889285</v>
          </cell>
          <cell r="S516">
            <v>889285</v>
          </cell>
          <cell r="T516">
            <v>889285</v>
          </cell>
          <cell r="U516">
            <v>889285</v>
          </cell>
          <cell r="V516">
            <v>1697120</v>
          </cell>
          <cell r="W516">
            <v>1571885</v>
          </cell>
          <cell r="X516">
            <v>0</v>
          </cell>
          <cell r="Y516">
            <v>12161855</v>
          </cell>
        </row>
        <row r="517">
          <cell r="A517">
            <v>411700</v>
          </cell>
          <cell r="C517" t="str">
            <v>Republiške štipendije</v>
          </cell>
          <cell r="D517">
            <v>15683380.99784</v>
          </cell>
          <cell r="E517" t="str">
            <v xml:space="preserve"> </v>
          </cell>
          <cell r="G517">
            <v>109.22293661215485</v>
          </cell>
          <cell r="H517">
            <v>0.29654418012383132</v>
          </cell>
          <cell r="I517">
            <v>1363512.321</v>
          </cell>
          <cell r="J517">
            <v>1366065.3859999997</v>
          </cell>
          <cell r="K517">
            <v>1348680.8063999999</v>
          </cell>
          <cell r="N517">
            <v>1335765.879</v>
          </cell>
          <cell r="O517">
            <v>1327469.2529</v>
          </cell>
          <cell r="P517">
            <v>1331958.2277000002</v>
          </cell>
          <cell r="Q517">
            <v>8073451.8729999997</v>
          </cell>
          <cell r="R517">
            <v>1327028.71762</v>
          </cell>
          <cell r="S517">
            <v>1100286.6239799999</v>
          </cell>
          <cell r="T517">
            <v>1117941.4082000004</v>
          </cell>
          <cell r="U517">
            <v>1218628.3750400003</v>
          </cell>
          <cell r="V517">
            <v>1230000</v>
          </cell>
          <cell r="W517">
            <v>1230000</v>
          </cell>
          <cell r="X517">
            <v>0</v>
          </cell>
          <cell r="Y517">
            <v>15297336.99784</v>
          </cell>
          <cell r="Z517" t="str">
            <v xml:space="preserve"> </v>
          </cell>
          <cell r="AA517">
            <v>97.53851545114432</v>
          </cell>
          <cell r="AB517">
            <v>-9.519002364430122</v>
          </cell>
        </row>
        <row r="518">
          <cell r="A518">
            <v>411701</v>
          </cell>
          <cell r="C518" t="str">
            <v>Kadrovske štipendije</v>
          </cell>
          <cell r="D518">
            <v>285665.049</v>
          </cell>
          <cell r="E518" t="str">
            <v xml:space="preserve"> </v>
          </cell>
          <cell r="G518">
            <v>115.63154764727932</v>
          </cell>
          <cell r="H518">
            <v>6.1814027982362916</v>
          </cell>
          <cell r="I518">
            <v>23764.984</v>
          </cell>
          <cell r="J518">
            <v>22645.407999999996</v>
          </cell>
          <cell r="K518">
            <v>22768.004000000001</v>
          </cell>
          <cell r="N518">
            <v>21745.513000000003</v>
          </cell>
          <cell r="O518">
            <v>21837.596999999998</v>
          </cell>
          <cell r="P518">
            <v>20936.718000000001</v>
          </cell>
          <cell r="Q518">
            <v>133698.22399999999</v>
          </cell>
          <cell r="R518">
            <v>19182.536</v>
          </cell>
          <cell r="S518">
            <v>16519.516</v>
          </cell>
          <cell r="T518">
            <v>17715.787</v>
          </cell>
          <cell r="U518">
            <v>13478.512999999999</v>
          </cell>
          <cell r="V518">
            <v>27450</v>
          </cell>
          <cell r="W518">
            <v>25000</v>
          </cell>
          <cell r="X518">
            <v>0</v>
          </cell>
          <cell r="Y518">
            <v>253044.576</v>
          </cell>
          <cell r="Z518" t="str">
            <v xml:space="preserve"> </v>
          </cell>
          <cell r="AA518">
            <v>88.580866607871229</v>
          </cell>
          <cell r="AB518">
            <v>-17.828509640193673</v>
          </cell>
        </row>
        <row r="519">
          <cell r="A519">
            <v>411702</v>
          </cell>
          <cell r="C519" t="str">
            <v>Druge štipendije</v>
          </cell>
          <cell r="D519">
            <v>175947.85483</v>
          </cell>
          <cell r="E519" t="str">
            <v xml:space="preserve"> </v>
          </cell>
          <cell r="G519">
            <v>68.070495419090406</v>
          </cell>
          <cell r="H519">
            <v>-37.492658017364192</v>
          </cell>
          <cell r="I519">
            <v>2004.4010000000001</v>
          </cell>
          <cell r="J519">
            <v>36120.258850000006</v>
          </cell>
          <cell r="K519">
            <v>4976.9986399999998</v>
          </cell>
          <cell r="N519">
            <v>4376.0574999999999</v>
          </cell>
          <cell r="O519">
            <v>4227.9030399999974</v>
          </cell>
          <cell r="P519">
            <v>2517.3812699999999</v>
          </cell>
          <cell r="Q519">
            <v>54223.0003</v>
          </cell>
          <cell r="R519">
            <v>3413.6043799999998</v>
          </cell>
          <cell r="S519">
            <v>14450.639090000004</v>
          </cell>
          <cell r="T519">
            <v>18211.78239</v>
          </cell>
          <cell r="U519">
            <v>36609.899920000003</v>
          </cell>
          <cell r="V519">
            <v>38550</v>
          </cell>
          <cell r="W519">
            <v>38550</v>
          </cell>
          <cell r="X519">
            <v>0</v>
          </cell>
          <cell r="Y519">
            <v>204008.92608</v>
          </cell>
          <cell r="Z519" t="str">
            <v xml:space="preserve"> </v>
          </cell>
          <cell r="AA519">
            <v>115.94851569921809</v>
          </cell>
          <cell r="AB519">
            <v>7.5589199436160328</v>
          </cell>
        </row>
        <row r="520">
          <cell r="D520" t="str">
            <v xml:space="preserve"> </v>
          </cell>
          <cell r="Q520" t="str">
            <v xml:space="preserve"> </v>
          </cell>
          <cell r="Y520" t="str">
            <v xml:space="preserve"> </v>
          </cell>
        </row>
        <row r="521">
          <cell r="A521">
            <v>4119</v>
          </cell>
          <cell r="C521" t="str">
            <v>Drugi transferi posameznikom</v>
          </cell>
          <cell r="D521">
            <v>6046834.925230002</v>
          </cell>
          <cell r="E521">
            <v>7497087</v>
          </cell>
          <cell r="F521">
            <v>-1450252.074769998</v>
          </cell>
          <cell r="G521">
            <v>95.253077174728702</v>
          </cell>
          <cell r="H521">
            <v>-12.531609573251885</v>
          </cell>
          <cell r="I521">
            <v>578637.48458000005</v>
          </cell>
          <cell r="J521">
            <v>687321.57255000004</v>
          </cell>
          <cell r="K521">
            <v>521162.00363000005</v>
          </cell>
          <cell r="L521">
            <v>1787121.0607600003</v>
          </cell>
          <cell r="N521">
            <v>629523.78579999995</v>
          </cell>
          <cell r="O521">
            <v>650582.47311999998</v>
          </cell>
          <cell r="P521">
            <v>566693.97407</v>
          </cell>
          <cell r="Q521">
            <v>3633921.2937500007</v>
          </cell>
          <cell r="R521">
            <v>313676.38154999999</v>
          </cell>
          <cell r="S521">
            <v>223549.55486999999</v>
          </cell>
          <cell r="T521">
            <v>374474.44300000003</v>
          </cell>
          <cell r="U521">
            <v>305973.99920000002</v>
          </cell>
          <cell r="V521">
            <v>485107</v>
          </cell>
          <cell r="W521">
            <v>190500</v>
          </cell>
          <cell r="X521">
            <v>665000</v>
          </cell>
          <cell r="Y521">
            <v>6192202.6723700017</v>
          </cell>
          <cell r="Z521" t="str">
            <v xml:space="preserve"> </v>
          </cell>
          <cell r="AA521">
            <v>102.4040303553428</v>
          </cell>
          <cell r="AB521">
            <v>-5.0055377037636362</v>
          </cell>
        </row>
        <row r="522">
          <cell r="C522" t="str">
            <v xml:space="preserve">                                 - dinamizirani sprejeti proračun</v>
          </cell>
          <cell r="D522">
            <v>7623761</v>
          </cell>
          <cell r="I522">
            <v>578636</v>
          </cell>
          <cell r="J522">
            <v>578636</v>
          </cell>
          <cell r="K522">
            <v>578636</v>
          </cell>
          <cell r="N522">
            <v>578636</v>
          </cell>
          <cell r="O522">
            <v>578636</v>
          </cell>
          <cell r="P522">
            <v>578636</v>
          </cell>
          <cell r="Q522">
            <v>3471816</v>
          </cell>
          <cell r="R522">
            <v>578636</v>
          </cell>
          <cell r="S522">
            <v>578636</v>
          </cell>
          <cell r="T522">
            <v>578636</v>
          </cell>
          <cell r="U522">
            <v>578636</v>
          </cell>
          <cell r="V522">
            <v>773820</v>
          </cell>
          <cell r="W522">
            <v>1217596</v>
          </cell>
          <cell r="X522">
            <v>41169</v>
          </cell>
          <cell r="Y522">
            <v>7818945</v>
          </cell>
        </row>
        <row r="523">
          <cell r="A523">
            <v>411900</v>
          </cell>
          <cell r="C523" t="str">
            <v>Regresiranje prevozov v šolo</v>
          </cell>
          <cell r="D523">
            <v>1325235.8134999997</v>
          </cell>
          <cell r="E523" t="str">
            <v xml:space="preserve"> </v>
          </cell>
          <cell r="G523">
            <v>86.665298395787275</v>
          </cell>
          <cell r="H523">
            <v>-20.417540499736205</v>
          </cell>
          <cell r="I523">
            <v>227945.40269999995</v>
          </cell>
          <cell r="J523">
            <v>175218.57606999998</v>
          </cell>
          <cell r="K523">
            <v>169172.99630000003</v>
          </cell>
          <cell r="N523">
            <v>161843.32657</v>
          </cell>
          <cell r="O523">
            <v>160264.99020999999</v>
          </cell>
          <cell r="P523">
            <v>138189.42739999999</v>
          </cell>
          <cell r="Q523">
            <v>1032634.7192499998</v>
          </cell>
          <cell r="R523">
            <v>84447.628619999989</v>
          </cell>
          <cell r="S523">
            <v>34616.550599999995</v>
          </cell>
          <cell r="T523">
            <v>25227.214</v>
          </cell>
          <cell r="U523">
            <v>51438.79451</v>
          </cell>
          <cell r="V523">
            <v>50000</v>
          </cell>
          <cell r="W523">
            <v>50000</v>
          </cell>
          <cell r="X523">
            <v>0</v>
          </cell>
          <cell r="Y523">
            <v>1328364.9069799997</v>
          </cell>
          <cell r="Z523" t="str">
            <v xml:space="preserve"> </v>
          </cell>
          <cell r="AA523">
            <v>100.23611597635112</v>
          </cell>
          <cell r="AB523">
            <v>-7.0165900033848629</v>
          </cell>
        </row>
        <row r="524">
          <cell r="A524">
            <v>411902</v>
          </cell>
          <cell r="C524" t="str">
            <v>Doplačila za šolo v naravi</v>
          </cell>
          <cell r="D524">
            <v>27075.59</v>
          </cell>
          <cell r="E524" t="str">
            <v xml:space="preserve"> </v>
          </cell>
          <cell r="G524">
            <v>101.79673430409395</v>
          </cell>
          <cell r="H524">
            <v>-6.5227416858641476</v>
          </cell>
          <cell r="I524">
            <v>0</v>
          </cell>
          <cell r="J524">
            <v>750.07500000000005</v>
          </cell>
          <cell r="K524">
            <v>175.22499999999999</v>
          </cell>
          <cell r="N524">
            <v>0</v>
          </cell>
          <cell r="O524">
            <v>1801.52</v>
          </cell>
          <cell r="P524">
            <v>1333.6</v>
          </cell>
          <cell r="Q524">
            <v>4060.42</v>
          </cell>
          <cell r="R524">
            <v>0</v>
          </cell>
          <cell r="S524">
            <v>10890.455</v>
          </cell>
          <cell r="T524">
            <v>0</v>
          </cell>
          <cell r="U524">
            <v>0</v>
          </cell>
          <cell r="V524">
            <v>6440</v>
          </cell>
          <cell r="W524">
            <v>4000</v>
          </cell>
          <cell r="X524">
            <v>0</v>
          </cell>
          <cell r="Y524">
            <v>25390.875</v>
          </cell>
          <cell r="Z524" t="str">
            <v xml:space="preserve"> </v>
          </cell>
          <cell r="AA524">
            <v>93.777734852684645</v>
          </cell>
          <cell r="AB524">
            <v>-13.007667112537433</v>
          </cell>
        </row>
        <row r="525">
          <cell r="A525">
            <v>411903</v>
          </cell>
          <cell r="C525" t="str">
            <v>Regresiranje prehrane učencev in dijakov</v>
          </cell>
          <cell r="D525">
            <v>1282573.4749999999</v>
          </cell>
          <cell r="E525" t="str">
            <v xml:space="preserve"> </v>
          </cell>
          <cell r="G525">
            <v>96.817107837417737</v>
          </cell>
          <cell r="H525">
            <v>-11.095401434878113</v>
          </cell>
          <cell r="I525">
            <v>127315.844</v>
          </cell>
          <cell r="J525">
            <v>250971.85200000001</v>
          </cell>
          <cell r="K525">
            <v>158850.196</v>
          </cell>
          <cell r="N525">
            <v>103140.48</v>
          </cell>
          <cell r="O525">
            <v>146994.09299999999</v>
          </cell>
          <cell r="P525">
            <v>123037.818</v>
          </cell>
          <cell r="Q525">
            <v>910310.28299999994</v>
          </cell>
          <cell r="R525">
            <v>0</v>
          </cell>
          <cell r="S525">
            <v>2841.68</v>
          </cell>
          <cell r="T525">
            <v>128467.872</v>
          </cell>
          <cell r="U525">
            <v>0</v>
          </cell>
          <cell r="V525">
            <v>50000</v>
          </cell>
          <cell r="W525">
            <v>50000</v>
          </cell>
          <cell r="X525">
            <v>150000</v>
          </cell>
          <cell r="Y525">
            <v>1291619.835</v>
          </cell>
          <cell r="Z525" t="str">
            <v xml:space="preserve"> </v>
          </cell>
          <cell r="AA525">
            <v>100.705328792177</v>
          </cell>
          <cell r="AB525">
            <v>-6.5813276510417467</v>
          </cell>
        </row>
        <row r="526">
          <cell r="A526">
            <v>411904</v>
          </cell>
          <cell r="C526" t="str">
            <v>Regresiranje študentske prehrane</v>
          </cell>
          <cell r="D526">
            <v>1570376.53015</v>
          </cell>
          <cell r="E526" t="str">
            <v xml:space="preserve"> </v>
          </cell>
          <cell r="G526">
            <v>109.68494422260197</v>
          </cell>
          <cell r="H526">
            <v>0.72079359283927147</v>
          </cell>
          <cell r="I526">
            <v>149489.45988000001</v>
          </cell>
          <cell r="J526">
            <v>130627.12235999999</v>
          </cell>
          <cell r="K526">
            <v>50883.416640000003</v>
          </cell>
          <cell r="N526">
            <v>253605.20178</v>
          </cell>
          <cell r="O526">
            <v>127069.89124</v>
          </cell>
          <cell r="P526">
            <v>146882.00336</v>
          </cell>
          <cell r="Q526">
            <v>858557.09526000009</v>
          </cell>
          <cell r="R526">
            <v>117881.93269</v>
          </cell>
          <cell r="S526">
            <v>44864.459480000005</v>
          </cell>
          <cell r="T526">
            <v>43666.351740000006</v>
          </cell>
          <cell r="U526">
            <v>94367.699099999998</v>
          </cell>
          <cell r="V526">
            <v>203120</v>
          </cell>
          <cell r="W526">
            <v>0</v>
          </cell>
          <cell r="X526">
            <v>100000</v>
          </cell>
          <cell r="Y526">
            <v>1462457.5382700001</v>
          </cell>
          <cell r="Z526" t="str">
            <v xml:space="preserve"> </v>
          </cell>
          <cell r="AA526">
            <v>93.12782700148405</v>
          </cell>
          <cell r="AB526">
            <v>-13.610550091387708</v>
          </cell>
        </row>
        <row r="527">
          <cell r="A527">
            <v>411905</v>
          </cell>
          <cell r="C527" t="str">
            <v>Regresiranje obrestne mere za kreditiranje študentov</v>
          </cell>
          <cell r="D527">
            <v>0</v>
          </cell>
          <cell r="E527" t="str">
            <v xml:space="preserve"> </v>
          </cell>
          <cell r="G527" t="str">
            <v>…</v>
          </cell>
          <cell r="H527" t="str">
            <v>…</v>
          </cell>
          <cell r="I527">
            <v>0</v>
          </cell>
          <cell r="J527">
            <v>0</v>
          </cell>
          <cell r="K527">
            <v>0</v>
          </cell>
          <cell r="N527">
            <v>0</v>
          </cell>
          <cell r="O527">
            <v>0</v>
          </cell>
          <cell r="P527">
            <v>0</v>
          </cell>
          <cell r="Q527">
            <v>0</v>
          </cell>
          <cell r="R527">
            <v>0</v>
          </cell>
          <cell r="S527">
            <v>0</v>
          </cell>
          <cell r="T527">
            <v>0</v>
          </cell>
          <cell r="U527">
            <v>0</v>
          </cell>
          <cell r="V527">
            <v>0</v>
          </cell>
          <cell r="W527">
            <v>0</v>
          </cell>
          <cell r="X527">
            <v>300000</v>
          </cell>
          <cell r="Y527">
            <v>300000</v>
          </cell>
          <cell r="Z527" t="str">
            <v xml:space="preserve"> </v>
          </cell>
          <cell r="AA527" t="e">
            <v>#DIV/0!</v>
          </cell>
          <cell r="AB527" t="e">
            <v>#DIV/0!</v>
          </cell>
        </row>
        <row r="528">
          <cell r="A528">
            <v>411906</v>
          </cell>
          <cell r="C528" t="str">
            <v>Nezgodno zavarovanje vrhunskih športnikov</v>
          </cell>
          <cell r="D528">
            <v>9688.7095000000008</v>
          </cell>
          <cell r="E528" t="str">
            <v xml:space="preserve"> </v>
          </cell>
          <cell r="G528" t="str">
            <v>…</v>
          </cell>
          <cell r="H528" t="str">
            <v>…</v>
          </cell>
          <cell r="I528">
            <v>0</v>
          </cell>
          <cell r="J528">
            <v>0</v>
          </cell>
          <cell r="K528">
            <v>0</v>
          </cell>
          <cell r="N528">
            <v>0</v>
          </cell>
          <cell r="O528">
            <v>0</v>
          </cell>
          <cell r="P528">
            <v>0</v>
          </cell>
          <cell r="Q528">
            <v>0</v>
          </cell>
          <cell r="R528">
            <v>0</v>
          </cell>
          <cell r="S528">
            <v>0</v>
          </cell>
          <cell r="T528">
            <v>0</v>
          </cell>
          <cell r="U528">
            <v>0</v>
          </cell>
          <cell r="V528">
            <v>0</v>
          </cell>
          <cell r="W528">
            <v>0</v>
          </cell>
          <cell r="X528">
            <v>0</v>
          </cell>
          <cell r="Y528">
            <v>0</v>
          </cell>
          <cell r="Z528" t="str">
            <v xml:space="preserve"> </v>
          </cell>
          <cell r="AA528">
            <v>0</v>
          </cell>
          <cell r="AB528">
            <v>-100</v>
          </cell>
        </row>
        <row r="529">
          <cell r="A529">
            <v>411907</v>
          </cell>
          <cell r="C529" t="str">
            <v>Pokojninsko, invalidsko in zdravstveno zavarovanje</v>
          </cell>
          <cell r="D529">
            <v>335966.69066999998</v>
          </cell>
          <cell r="E529" t="str">
            <v xml:space="preserve"> </v>
          </cell>
          <cell r="G529">
            <v>115.46946509034233</v>
          </cell>
          <cell r="H529">
            <v>6.0325666577982702</v>
          </cell>
          <cell r="I529">
            <v>29646.062999999998</v>
          </cell>
          <cell r="J529">
            <v>37998.035949999998</v>
          </cell>
          <cell r="K529">
            <v>15401.46</v>
          </cell>
          <cell r="N529">
            <v>20449.142319999999</v>
          </cell>
          <cell r="O529">
            <v>22810.207050000001</v>
          </cell>
          <cell r="P529">
            <v>22458.173070000001</v>
          </cell>
          <cell r="Q529">
            <v>148763.08139000001</v>
          </cell>
          <cell r="R529">
            <v>7127.5128600000007</v>
          </cell>
          <cell r="S529">
            <v>23725.25143</v>
          </cell>
          <cell r="T529">
            <v>59352.2235</v>
          </cell>
          <cell r="U529">
            <v>24508.706899999997</v>
          </cell>
          <cell r="V529">
            <v>12700</v>
          </cell>
          <cell r="W529">
            <v>15000</v>
          </cell>
          <cell r="X529">
            <v>30000</v>
          </cell>
          <cell r="Y529">
            <v>321176.77607999998</v>
          </cell>
          <cell r="Z529" t="str">
            <v xml:space="preserve"> </v>
          </cell>
          <cell r="AA529">
            <v>95.597803293979737</v>
          </cell>
          <cell r="AB529">
            <v>-11.319291935083726</v>
          </cell>
        </row>
        <row r="530">
          <cell r="C530" t="str">
            <v>določenih kategorij prebivalcev</v>
          </cell>
          <cell r="E530" t="str">
            <v xml:space="preserve"> </v>
          </cell>
          <cell r="Q530" t="str">
            <v xml:space="preserve"> </v>
          </cell>
          <cell r="V530" t="str">
            <v xml:space="preserve"> </v>
          </cell>
          <cell r="W530" t="str">
            <v xml:space="preserve"> </v>
          </cell>
          <cell r="X530" t="str">
            <v xml:space="preserve"> </v>
          </cell>
          <cell r="Z530" t="str">
            <v xml:space="preserve"> </v>
          </cell>
        </row>
        <row r="531">
          <cell r="A531">
            <v>411908</v>
          </cell>
          <cell r="C531" t="str">
            <v>Denarne nagrade in priznanja</v>
          </cell>
          <cell r="D531">
            <v>230300.617</v>
          </cell>
          <cell r="E531" t="str">
            <v xml:space="preserve"> </v>
          </cell>
          <cell r="G531">
            <v>100.96683960056656</v>
          </cell>
          <cell r="H531">
            <v>-7.2848121206918677</v>
          </cell>
          <cell r="I531">
            <v>15732.312</v>
          </cell>
          <cell r="J531">
            <v>22129.179</v>
          </cell>
          <cell r="K531">
            <v>17930.155999999999</v>
          </cell>
          <cell r="N531">
            <v>16424.314000000002</v>
          </cell>
          <cell r="O531">
            <v>16474.387999999999</v>
          </cell>
          <cell r="P531">
            <v>20037.18</v>
          </cell>
          <cell r="Q531">
            <v>108727.52899999998</v>
          </cell>
          <cell r="R531">
            <v>16381.268</v>
          </cell>
          <cell r="S531">
            <v>16205.853999999999</v>
          </cell>
          <cell r="T531">
            <v>16336.675999999999</v>
          </cell>
          <cell r="U531">
            <v>21106.121000000003</v>
          </cell>
          <cell r="V531">
            <v>21122</v>
          </cell>
          <cell r="W531">
            <v>21500</v>
          </cell>
          <cell r="X531">
            <v>0</v>
          </cell>
          <cell r="Y531">
            <v>221379.448</v>
          </cell>
          <cell r="Z531" t="str">
            <v xml:space="preserve"> </v>
          </cell>
          <cell r="AA531">
            <v>96.126293921305475</v>
          </cell>
          <cell r="AB531">
            <v>-10.829040889327018</v>
          </cell>
        </row>
        <row r="532">
          <cell r="A532">
            <v>411909</v>
          </cell>
          <cell r="C532" t="str">
            <v>Regresiranje oskrbe v domovih</v>
          </cell>
          <cell r="D532">
            <v>0</v>
          </cell>
          <cell r="E532" t="str">
            <v xml:space="preserve"> </v>
          </cell>
          <cell r="G532" t="str">
            <v>…</v>
          </cell>
          <cell r="H532" t="str">
            <v>…</v>
          </cell>
          <cell r="I532">
            <v>0</v>
          </cell>
          <cell r="J532">
            <v>0</v>
          </cell>
          <cell r="K532">
            <v>0</v>
          </cell>
          <cell r="N532">
            <v>0</v>
          </cell>
          <cell r="O532">
            <v>0</v>
          </cell>
          <cell r="P532">
            <v>0</v>
          </cell>
          <cell r="Q532">
            <v>0</v>
          </cell>
          <cell r="R532">
            <v>0</v>
          </cell>
          <cell r="S532">
            <v>0</v>
          </cell>
          <cell r="T532">
            <v>0</v>
          </cell>
          <cell r="U532">
            <v>0</v>
          </cell>
          <cell r="V532">
            <v>0</v>
          </cell>
          <cell r="W532">
            <v>0</v>
          </cell>
          <cell r="X532">
            <v>0</v>
          </cell>
          <cell r="Y532">
            <v>0</v>
          </cell>
          <cell r="Z532" t="str">
            <v xml:space="preserve"> </v>
          </cell>
          <cell r="AA532" t="e">
            <v>#DIV/0!</v>
          </cell>
          <cell r="AB532" t="e">
            <v>#DIV/0!</v>
          </cell>
        </row>
        <row r="533">
          <cell r="A533">
            <v>411920</v>
          </cell>
          <cell r="C533" t="str">
            <v>Subvencioniranje stanarin</v>
          </cell>
          <cell r="D533">
            <v>132876</v>
          </cell>
          <cell r="G533" t="str">
            <v>…</v>
          </cell>
          <cell r="H533" t="str">
            <v>…</v>
          </cell>
          <cell r="I533">
            <v>0</v>
          </cell>
          <cell r="J533">
            <v>13905</v>
          </cell>
          <cell r="K533">
            <v>13950</v>
          </cell>
          <cell r="N533">
            <v>13752</v>
          </cell>
          <cell r="O533">
            <v>13950</v>
          </cell>
          <cell r="P533">
            <v>13950</v>
          </cell>
          <cell r="Q533">
            <v>69507</v>
          </cell>
          <cell r="R533">
            <v>12357</v>
          </cell>
          <cell r="S533">
            <v>1773</v>
          </cell>
          <cell r="T533">
            <v>0</v>
          </cell>
          <cell r="U533">
            <v>0</v>
          </cell>
          <cell r="V533">
            <v>29225</v>
          </cell>
          <cell r="W533">
            <v>0</v>
          </cell>
          <cell r="X533">
            <v>15000</v>
          </cell>
          <cell r="Y533">
            <v>127862</v>
          </cell>
          <cell r="AA533">
            <v>96.226557090821515</v>
          </cell>
          <cell r="AB533">
            <v>-10.736032383282449</v>
          </cell>
        </row>
        <row r="534">
          <cell r="A534">
            <v>411999</v>
          </cell>
          <cell r="C534" t="str">
            <v>Drugi transferi posameznikom in gospodinjstvom</v>
          </cell>
          <cell r="D534">
            <v>1132741.4994100002</v>
          </cell>
          <cell r="E534" t="str">
            <v xml:space="preserve"> </v>
          </cell>
          <cell r="G534">
            <v>103.7764076864111</v>
          </cell>
          <cell r="H534">
            <v>-4.7048597920926483</v>
          </cell>
          <cell r="I534">
            <v>28508.402999999998</v>
          </cell>
          <cell r="J534">
            <v>55721.732170000003</v>
          </cell>
          <cell r="K534">
            <v>94798.553690000001</v>
          </cell>
          <cell r="N534">
            <v>60309.321129999997</v>
          </cell>
          <cell r="O534">
            <v>161217.38362000001</v>
          </cell>
          <cell r="P534">
            <v>100805.77224000001</v>
          </cell>
          <cell r="Q534">
            <v>501361.16585000005</v>
          </cell>
          <cell r="R534">
            <v>75481.039380000002</v>
          </cell>
          <cell r="S534">
            <v>88632.304359999995</v>
          </cell>
          <cell r="T534">
            <v>101424.10575999999</v>
          </cell>
          <cell r="U534">
            <v>114552.67769</v>
          </cell>
          <cell r="V534">
            <v>112500</v>
          </cell>
          <cell r="W534">
            <v>50000</v>
          </cell>
          <cell r="X534">
            <v>70000</v>
          </cell>
          <cell r="Y534">
            <v>1113951.2930399999</v>
          </cell>
          <cell r="Z534" t="str">
            <v xml:space="preserve"> </v>
          </cell>
          <cell r="AA534">
            <v>98.341174365043798</v>
          </cell>
          <cell r="AB534">
            <v>-8.7744208116476727</v>
          </cell>
        </row>
        <row r="535">
          <cell r="Q535" t="str">
            <v xml:space="preserve"> </v>
          </cell>
        </row>
        <row r="536">
          <cell r="A536">
            <v>412</v>
          </cell>
          <cell r="C536" t="str">
            <v>TRANSFERI NEPROFITNIM ORGANIZACIJAM IN USTANOVAM</v>
          </cell>
          <cell r="D536">
            <v>6270228.2739400007</v>
          </cell>
          <cell r="E536">
            <v>7077992</v>
          </cell>
          <cell r="F536">
            <v>-807763.72605999932</v>
          </cell>
          <cell r="G536">
            <v>105.28907901414534</v>
          </cell>
          <cell r="H536">
            <v>-3.3158135774606592</v>
          </cell>
          <cell r="I536">
            <v>62551.254740000004</v>
          </cell>
          <cell r="J536">
            <v>141976.23521999997</v>
          </cell>
          <cell r="K536">
            <v>401821.19376000005</v>
          </cell>
          <cell r="L536">
            <v>606348.68372000009</v>
          </cell>
          <cell r="N536">
            <v>379759.31319999998</v>
          </cell>
          <cell r="O536">
            <v>441809.12563000002</v>
          </cell>
          <cell r="P536">
            <v>751636.55343999981</v>
          </cell>
          <cell r="Q536">
            <v>2179553.6759899999</v>
          </cell>
          <cell r="R536">
            <v>587375.1651499999</v>
          </cell>
          <cell r="S536">
            <v>707324.19673000008</v>
          </cell>
          <cell r="T536">
            <v>388066.84282999998</v>
          </cell>
          <cell r="U536">
            <v>660498.12623000017</v>
          </cell>
          <cell r="V536">
            <v>383000</v>
          </cell>
          <cell r="W536">
            <v>500000</v>
          </cell>
          <cell r="X536">
            <v>500000</v>
          </cell>
          <cell r="Y536">
            <v>5905818.0069300001</v>
          </cell>
          <cell r="Z536" t="str">
            <v xml:space="preserve"> </v>
          </cell>
          <cell r="AA536">
            <v>94.188245609421529</v>
          </cell>
          <cell r="AB536">
            <v>-12.626859360462404</v>
          </cell>
        </row>
        <row r="537">
          <cell r="C537" t="str">
            <v xml:space="preserve">                                 - dinamizirani sprejeti proračun</v>
          </cell>
          <cell r="D537">
            <v>1984928</v>
          </cell>
          <cell r="I537">
            <v>62551</v>
          </cell>
          <cell r="J537">
            <v>62551</v>
          </cell>
          <cell r="K537">
            <v>62551</v>
          </cell>
          <cell r="N537">
            <v>62551</v>
          </cell>
          <cell r="O537">
            <v>62551</v>
          </cell>
          <cell r="P537">
            <v>62551</v>
          </cell>
          <cell r="Q537">
            <v>375306</v>
          </cell>
          <cell r="R537">
            <v>62551</v>
          </cell>
          <cell r="S537">
            <v>62551</v>
          </cell>
          <cell r="T537">
            <v>62551</v>
          </cell>
          <cell r="U537">
            <v>62551</v>
          </cell>
          <cell r="V537">
            <v>771024</v>
          </cell>
          <cell r="W537">
            <v>914787</v>
          </cell>
          <cell r="X537">
            <v>382080</v>
          </cell>
          <cell r="Y537">
            <v>2693401</v>
          </cell>
        </row>
        <row r="538">
          <cell r="C538" t="str">
            <v xml:space="preserve"> </v>
          </cell>
        </row>
        <row r="539">
          <cell r="A539">
            <v>4120</v>
          </cell>
          <cell r="C539" t="str">
            <v>Tekoči transferi neprofitnim organizac. in ustanovam</v>
          </cell>
          <cell r="D539">
            <v>6270228.2739400007</v>
          </cell>
          <cell r="E539">
            <v>7077992</v>
          </cell>
          <cell r="F539">
            <v>-807763.72605999932</v>
          </cell>
          <cell r="G539">
            <v>105.28907901414534</v>
          </cell>
          <cell r="H539">
            <v>-3.3158135774606592</v>
          </cell>
          <cell r="I539">
            <v>62551.254740000004</v>
          </cell>
          <cell r="J539">
            <v>141976.23521999997</v>
          </cell>
          <cell r="K539">
            <v>401821.19376000005</v>
          </cell>
          <cell r="L539">
            <v>606348.68372000009</v>
          </cell>
          <cell r="N539">
            <v>379759.31319999998</v>
          </cell>
          <cell r="O539">
            <v>441809.12563000002</v>
          </cell>
          <cell r="P539">
            <v>751636.55343999981</v>
          </cell>
          <cell r="Q539">
            <v>2179553.6759899999</v>
          </cell>
          <cell r="R539">
            <v>587375.1651499999</v>
          </cell>
          <cell r="S539">
            <v>707324.19673000008</v>
          </cell>
          <cell r="T539">
            <v>388066.84282999998</v>
          </cell>
          <cell r="U539">
            <v>660498.12623000017</v>
          </cell>
          <cell r="V539">
            <v>383000</v>
          </cell>
          <cell r="W539">
            <v>500000</v>
          </cell>
          <cell r="X539">
            <v>600000</v>
          </cell>
          <cell r="Y539">
            <v>6005818.0069300001</v>
          </cell>
          <cell r="Z539" t="str">
            <v xml:space="preserve"> </v>
          </cell>
          <cell r="AA539">
            <v>95.783083877361705</v>
          </cell>
          <cell r="AB539">
            <v>-11.147417553467804</v>
          </cell>
        </row>
        <row r="540">
          <cell r="C540" t="str">
            <v xml:space="preserve"> </v>
          </cell>
          <cell r="Q540" t="str">
            <v xml:space="preserve"> </v>
          </cell>
        </row>
        <row r="541">
          <cell r="A541">
            <v>413</v>
          </cell>
          <cell r="C541" t="str">
            <v xml:space="preserve">DRUGI TEKOČI DOMAČI TRANSFERI </v>
          </cell>
          <cell r="D541">
            <v>401574211.34972</v>
          </cell>
          <cell r="E541">
            <v>393040547</v>
          </cell>
          <cell r="F541">
            <v>8533664.3497200012</v>
          </cell>
          <cell r="G541">
            <v>107.95140714746687</v>
          </cell>
          <cell r="H541">
            <v>-0.87106781683483803</v>
          </cell>
          <cell r="I541">
            <v>40040726.037249997</v>
          </cell>
          <cell r="J541">
            <v>33235029.169440001</v>
          </cell>
          <cell r="K541">
            <v>33066151.13837</v>
          </cell>
          <cell r="L541">
            <v>106341906.34505999</v>
          </cell>
          <cell r="N541">
            <v>37479951.194219992</v>
          </cell>
          <cell r="O541">
            <v>32004274.144620001</v>
          </cell>
          <cell r="P541">
            <v>49471168.912179999</v>
          </cell>
          <cell r="Q541">
            <v>225297300.59608001</v>
          </cell>
          <cell r="R541">
            <v>33468048.265919998</v>
          </cell>
          <cell r="S541">
            <v>35414074.690970004</v>
          </cell>
          <cell r="T541">
            <v>33378328.613159999</v>
          </cell>
          <cell r="U541">
            <v>23388877.30559</v>
          </cell>
          <cell r="V541">
            <v>24868846</v>
          </cell>
          <cell r="W541">
            <v>20665349</v>
          </cell>
          <cell r="X541">
            <v>2850000</v>
          </cell>
          <cell r="Y541">
            <v>399330824.47171998</v>
          </cell>
          <cell r="Z541" t="e">
            <v>#VALUE!</v>
          </cell>
          <cell r="AA541">
            <v>99.441351856121472</v>
          </cell>
          <cell r="AB541">
            <v>-7.7538479998873129</v>
          </cell>
        </row>
        <row r="542">
          <cell r="C542" t="str">
            <v xml:space="preserve">                                 - dinamizirani sprejeti proračun</v>
          </cell>
          <cell r="D542">
            <v>462023466</v>
          </cell>
          <cell r="I542">
            <v>40041223</v>
          </cell>
          <cell r="J542">
            <v>40041223</v>
          </cell>
          <cell r="K542">
            <v>40041223</v>
          </cell>
          <cell r="N542">
            <v>40041223</v>
          </cell>
          <cell r="O542">
            <v>40041223</v>
          </cell>
          <cell r="P542">
            <v>40041223</v>
          </cell>
          <cell r="Q542">
            <v>240247338</v>
          </cell>
          <cell r="R542">
            <v>40041223</v>
          </cell>
          <cell r="S542">
            <v>40041223</v>
          </cell>
          <cell r="T542">
            <v>40041223</v>
          </cell>
          <cell r="U542">
            <v>40041223</v>
          </cell>
          <cell r="V542">
            <v>24568963</v>
          </cell>
          <cell r="W542">
            <v>20928043</v>
          </cell>
          <cell r="X542">
            <v>641970</v>
          </cell>
          <cell r="Y542">
            <v>446551206</v>
          </cell>
        </row>
        <row r="543">
          <cell r="D543" t="str">
            <v xml:space="preserve"> </v>
          </cell>
          <cell r="Q543" t="str">
            <v xml:space="preserve"> </v>
          </cell>
          <cell r="Y543" t="str">
            <v xml:space="preserve"> </v>
          </cell>
        </row>
        <row r="544">
          <cell r="A544">
            <v>4130</v>
          </cell>
          <cell r="C544" t="str">
            <v>Tekoči transferi drugim ravnem države</v>
          </cell>
          <cell r="D544">
            <v>32711726.467999998</v>
          </cell>
          <cell r="E544">
            <v>31917393</v>
          </cell>
          <cell r="F544">
            <v>794333.46799999848</v>
          </cell>
          <cell r="G544">
            <v>103.60410460241248</v>
          </cell>
          <cell r="H544">
            <v>-4.8630811731749475</v>
          </cell>
          <cell r="I544">
            <v>2491000</v>
          </cell>
          <cell r="J544">
            <v>2493995</v>
          </cell>
          <cell r="K544">
            <v>2349394</v>
          </cell>
          <cell r="L544">
            <v>7334389</v>
          </cell>
          <cell r="N544">
            <v>4807232.8600000003</v>
          </cell>
          <cell r="O544">
            <v>2465154</v>
          </cell>
          <cell r="P544">
            <v>2459434.5699999998</v>
          </cell>
          <cell r="Q544">
            <v>17066210.43</v>
          </cell>
          <cell r="R544">
            <v>2493135</v>
          </cell>
          <cell r="S544">
            <v>2519933.3969999999</v>
          </cell>
          <cell r="T544">
            <v>2626478</v>
          </cell>
          <cell r="U544">
            <v>2586724.6409999998</v>
          </cell>
          <cell r="V544">
            <v>2572927</v>
          </cell>
          <cell r="W544">
            <v>2565000</v>
          </cell>
          <cell r="X544">
            <v>600000</v>
          </cell>
          <cell r="Y544">
            <v>33030408.467999998</v>
          </cell>
          <cell r="Z544" t="str">
            <v xml:space="preserve"> </v>
          </cell>
          <cell r="AA544">
            <v>100.97421333084253</v>
          </cell>
          <cell r="AB544">
            <v>-6.3318985799234326</v>
          </cell>
        </row>
        <row r="545">
          <cell r="C545" t="str">
            <v xml:space="preserve">                                 - dinamizirani sprejeti proračun</v>
          </cell>
          <cell r="D545">
            <v>30911507</v>
          </cell>
          <cell r="I545">
            <v>2491000</v>
          </cell>
          <cell r="J545">
            <v>2491000</v>
          </cell>
          <cell r="K545">
            <v>2491000</v>
          </cell>
          <cell r="N545">
            <v>2491000</v>
          </cell>
          <cell r="O545">
            <v>2491000</v>
          </cell>
          <cell r="P545">
            <v>2491000</v>
          </cell>
          <cell r="Q545">
            <v>14946000</v>
          </cell>
          <cell r="R545">
            <v>2491000</v>
          </cell>
          <cell r="S545">
            <v>2491000</v>
          </cell>
          <cell r="T545">
            <v>2491000</v>
          </cell>
          <cell r="U545">
            <v>2491000</v>
          </cell>
          <cell r="V545">
            <v>2674841</v>
          </cell>
          <cell r="W545">
            <v>3510507</v>
          </cell>
          <cell r="X545">
            <v>0</v>
          </cell>
          <cell r="Y545">
            <v>31095348</v>
          </cell>
        </row>
        <row r="546">
          <cell r="A546">
            <v>413000</v>
          </cell>
          <cell r="C546" t="str">
            <v>Dopolnilna sredstva občinam</v>
          </cell>
          <cell r="D546">
            <v>32326116.939999998</v>
          </cell>
          <cell r="E546" t="str">
            <v xml:space="preserve"> </v>
          </cell>
          <cell r="G546" t="str">
            <v xml:space="preserve"> </v>
          </cell>
          <cell r="H546" t="str">
            <v xml:space="preserve"> </v>
          </cell>
          <cell r="I546">
            <v>2491000</v>
          </cell>
          <cell r="J546">
            <v>2493995</v>
          </cell>
          <cell r="K546">
            <v>2349394</v>
          </cell>
          <cell r="N546">
            <v>4807232.8600000003</v>
          </cell>
          <cell r="O546">
            <v>2465154</v>
          </cell>
          <cell r="P546">
            <v>2456834.5699999998</v>
          </cell>
          <cell r="Q546">
            <v>17063610.43</v>
          </cell>
          <cell r="R546">
            <v>2491000</v>
          </cell>
          <cell r="S546">
            <v>2493633.5099999998</v>
          </cell>
          <cell r="T546">
            <v>2603100</v>
          </cell>
          <cell r="U546">
            <v>2527510</v>
          </cell>
          <cell r="V546">
            <v>2532390</v>
          </cell>
          <cell r="W546" t="str">
            <v xml:space="preserve"> </v>
          </cell>
          <cell r="X546" t="str">
            <v xml:space="preserve"> </v>
          </cell>
          <cell r="Z546" t="str">
            <v xml:space="preserve"> </v>
          </cell>
          <cell r="AA546" t="str">
            <v xml:space="preserve"> </v>
          </cell>
          <cell r="AB546" t="str">
            <v xml:space="preserve"> </v>
          </cell>
        </row>
        <row r="547">
          <cell r="A547">
            <v>413001</v>
          </cell>
          <cell r="C547" t="str">
            <v>Sredstva za celostni razvoj podeželja in obnovo vasi</v>
          </cell>
          <cell r="D547">
            <v>68287.5</v>
          </cell>
          <cell r="E547" t="str">
            <v xml:space="preserve"> </v>
          </cell>
          <cell r="G547" t="str">
            <v xml:space="preserve"> </v>
          </cell>
          <cell r="H547" t="str">
            <v xml:space="preserve"> </v>
          </cell>
          <cell r="I547">
            <v>0</v>
          </cell>
          <cell r="J547">
            <v>0</v>
          </cell>
          <cell r="K547">
            <v>0</v>
          </cell>
          <cell r="N547">
            <v>0</v>
          </cell>
          <cell r="O547">
            <v>0</v>
          </cell>
          <cell r="P547">
            <v>500</v>
          </cell>
          <cell r="Q547">
            <v>500</v>
          </cell>
          <cell r="R547">
            <v>0</v>
          </cell>
          <cell r="S547">
            <v>0</v>
          </cell>
          <cell r="T547">
            <v>6589.5</v>
          </cell>
          <cell r="U547">
            <v>0</v>
          </cell>
          <cell r="V547">
            <v>0</v>
          </cell>
          <cell r="W547" t="str">
            <v xml:space="preserve"> </v>
          </cell>
          <cell r="X547" t="str">
            <v xml:space="preserve"> </v>
          </cell>
          <cell r="Z547" t="str">
            <v xml:space="preserve"> </v>
          </cell>
          <cell r="AA547" t="str">
            <v xml:space="preserve"> </v>
          </cell>
          <cell r="AB547" t="str">
            <v xml:space="preserve"> </v>
          </cell>
        </row>
        <row r="548">
          <cell r="A548">
            <v>413002</v>
          </cell>
          <cell r="C548" t="str">
            <v>Sredstva za demografsko ogrožena območja</v>
          </cell>
          <cell r="D548">
            <v>8800</v>
          </cell>
          <cell r="E548" t="str">
            <v xml:space="preserve"> </v>
          </cell>
          <cell r="G548" t="str">
            <v xml:space="preserve"> </v>
          </cell>
          <cell r="H548" t="str">
            <v xml:space="preserve"> </v>
          </cell>
          <cell r="I548">
            <v>0</v>
          </cell>
          <cell r="J548">
            <v>0</v>
          </cell>
          <cell r="K548">
            <v>0</v>
          </cell>
          <cell r="N548">
            <v>0</v>
          </cell>
          <cell r="O548">
            <v>0</v>
          </cell>
          <cell r="P548">
            <v>0</v>
          </cell>
          <cell r="Q548">
            <v>0</v>
          </cell>
          <cell r="R548">
            <v>0</v>
          </cell>
          <cell r="S548">
            <v>0</v>
          </cell>
          <cell r="T548">
            <v>0</v>
          </cell>
          <cell r="U548">
            <v>0</v>
          </cell>
          <cell r="V548">
            <v>0</v>
          </cell>
          <cell r="W548" t="str">
            <v xml:space="preserve"> </v>
          </cell>
          <cell r="X548" t="str">
            <v xml:space="preserve"> </v>
          </cell>
          <cell r="Z548" t="str">
            <v xml:space="preserve"> </v>
          </cell>
          <cell r="AA548" t="str">
            <v xml:space="preserve"> </v>
          </cell>
          <cell r="AB548" t="str">
            <v xml:space="preserve"> </v>
          </cell>
        </row>
        <row r="549">
          <cell r="A549">
            <v>413099</v>
          </cell>
          <cell r="C549" t="str">
            <v>Drugi tekoči transferi občinam</v>
          </cell>
          <cell r="D549">
            <v>308522.02799999999</v>
          </cell>
          <cell r="E549" t="str">
            <v xml:space="preserve"> </v>
          </cell>
          <cell r="G549" t="str">
            <v xml:space="preserve"> </v>
          </cell>
          <cell r="H549" t="str">
            <v xml:space="preserve"> </v>
          </cell>
          <cell r="I549">
            <v>0</v>
          </cell>
          <cell r="J549">
            <v>0</v>
          </cell>
          <cell r="K549">
            <v>0</v>
          </cell>
          <cell r="N549">
            <v>0</v>
          </cell>
          <cell r="O549">
            <v>0</v>
          </cell>
          <cell r="P549">
            <v>2100</v>
          </cell>
          <cell r="Q549">
            <v>2100</v>
          </cell>
          <cell r="R549">
            <v>2135</v>
          </cell>
          <cell r="S549">
            <v>26299.887000000002</v>
          </cell>
          <cell r="T549">
            <v>16788.5</v>
          </cell>
          <cell r="U549">
            <v>59214.641000000003</v>
          </cell>
          <cell r="V549">
            <v>40537</v>
          </cell>
          <cell r="W549" t="str">
            <v xml:space="preserve"> </v>
          </cell>
          <cell r="X549" t="str">
            <v xml:space="preserve"> </v>
          </cell>
          <cell r="Z549" t="str">
            <v xml:space="preserve"> </v>
          </cell>
          <cell r="AA549" t="str">
            <v xml:space="preserve"> </v>
          </cell>
          <cell r="AB549" t="str">
            <v xml:space="preserve"> </v>
          </cell>
        </row>
        <row r="550">
          <cell r="D550" t="str">
            <v xml:space="preserve"> </v>
          </cell>
          <cell r="Q550" t="str">
            <v xml:space="preserve"> </v>
          </cell>
          <cell r="Y550" t="str">
            <v xml:space="preserve"> </v>
          </cell>
        </row>
        <row r="551">
          <cell r="A551">
            <v>4131</v>
          </cell>
          <cell r="C551" t="str">
            <v>Tekoči transferi v sklade socialnega zavarovanja</v>
          </cell>
          <cell r="D551">
            <v>153876076.50099999</v>
          </cell>
          <cell r="E551">
            <v>153876076</v>
          </cell>
          <cell r="F551">
            <v>0.50099998712539673</v>
          </cell>
          <cell r="G551">
            <v>102.80024677419561</v>
          </cell>
          <cell r="H551">
            <v>-5.6012426315926547</v>
          </cell>
          <cell r="I551">
            <v>24402079.704999998</v>
          </cell>
          <cell r="J551">
            <v>15231504.328</v>
          </cell>
          <cell r="K551">
            <v>12890689.978</v>
          </cell>
          <cell r="L551">
            <v>52524274.011</v>
          </cell>
          <cell r="N551">
            <v>15316672.017000001</v>
          </cell>
          <cell r="O551">
            <v>12227338.978</v>
          </cell>
          <cell r="P551">
            <v>24243087.265000001</v>
          </cell>
          <cell r="Q551">
            <v>104311372.271</v>
          </cell>
          <cell r="R551">
            <v>13729064.179</v>
          </cell>
          <cell r="S551">
            <v>14863252.328</v>
          </cell>
          <cell r="T551">
            <v>14078028.222999999</v>
          </cell>
          <cell r="U551">
            <v>3073971.571</v>
          </cell>
          <cell r="V551">
            <v>3807488</v>
          </cell>
          <cell r="W551">
            <v>12899</v>
          </cell>
          <cell r="X551">
            <v>0</v>
          </cell>
          <cell r="Y551">
            <v>153876075.572</v>
          </cell>
          <cell r="Z551" t="str">
            <v xml:space="preserve"> </v>
          </cell>
          <cell r="AA551">
            <v>99.999999396267441</v>
          </cell>
          <cell r="AB551">
            <v>-7.2356220813845624</v>
          </cell>
        </row>
        <row r="552">
          <cell r="C552" t="str">
            <v xml:space="preserve">                                 - dinamizirani sprejeti proračun</v>
          </cell>
          <cell r="D552">
            <v>272062384</v>
          </cell>
          <cell r="E552" t="str">
            <v xml:space="preserve"> </v>
          </cell>
          <cell r="I552">
            <v>24402080</v>
          </cell>
          <cell r="J552">
            <v>24402080</v>
          </cell>
          <cell r="K552">
            <v>24402080</v>
          </cell>
          <cell r="N552">
            <v>24402080</v>
          </cell>
          <cell r="O552">
            <v>24402080</v>
          </cell>
          <cell r="P552">
            <v>24402080</v>
          </cell>
          <cell r="Q552">
            <v>146412480</v>
          </cell>
          <cell r="R552">
            <v>24402080</v>
          </cell>
          <cell r="S552">
            <v>24402080</v>
          </cell>
          <cell r="T552">
            <v>24402080</v>
          </cell>
          <cell r="U552">
            <v>24402080</v>
          </cell>
          <cell r="V552">
            <v>3646192</v>
          </cell>
          <cell r="W552">
            <v>3639504</v>
          </cell>
          <cell r="X552">
            <v>0</v>
          </cell>
          <cell r="Y552">
            <v>251306496</v>
          </cell>
          <cell r="Z552" t="str">
            <v xml:space="preserve"> </v>
          </cell>
        </row>
        <row r="553">
          <cell r="A553">
            <v>413100</v>
          </cell>
          <cell r="C553" t="str">
            <v>Tekoči transferi sredstev  v ZPIZ</v>
          </cell>
          <cell r="D553">
            <v>43502900</v>
          </cell>
          <cell r="E553">
            <v>43502900</v>
          </cell>
          <cell r="F553">
            <v>0</v>
          </cell>
          <cell r="G553">
            <v>108.59117907134981</v>
          </cell>
          <cell r="H553">
            <v>-0.28358211997262117</v>
          </cell>
          <cell r="I553">
            <v>2694866</v>
          </cell>
          <cell r="J553">
            <v>2694866</v>
          </cell>
          <cell r="K553">
            <v>2694866</v>
          </cell>
          <cell r="L553">
            <v>8084598</v>
          </cell>
          <cell r="N553">
            <v>2694866</v>
          </cell>
          <cell r="O553">
            <v>2882443.156</v>
          </cell>
          <cell r="P553">
            <v>2697732.105</v>
          </cell>
          <cell r="Q553">
            <v>16359639.261</v>
          </cell>
          <cell r="R553">
            <v>2694866</v>
          </cell>
          <cell r="S553">
            <v>11127073.033</v>
          </cell>
          <cell r="T553">
            <v>7000000</v>
          </cell>
          <cell r="U553">
            <v>2800000</v>
          </cell>
          <cell r="V553">
            <v>3521322</v>
          </cell>
          <cell r="W553">
            <v>0</v>
          </cell>
          <cell r="X553">
            <v>0</v>
          </cell>
          <cell r="Y553">
            <v>43502900.294</v>
          </cell>
          <cell r="Z553" t="str">
            <v xml:space="preserve"> </v>
          </cell>
          <cell r="AA553">
            <v>100.00000067581702</v>
          </cell>
          <cell r="AB553">
            <v>-7.2356208944183464</v>
          </cell>
        </row>
        <row r="554">
          <cell r="A554">
            <v>413101</v>
          </cell>
          <cell r="C554" t="str">
            <v>Dodatni transferi sredstev v ZPIZ</v>
          </cell>
          <cell r="D554">
            <v>110117250</v>
          </cell>
          <cell r="E554">
            <v>110117250</v>
          </cell>
          <cell r="F554">
            <v>0</v>
          </cell>
          <cell r="G554">
            <v>100.58776620524728</v>
          </cell>
          <cell r="H554">
            <v>-7.6329052293413469</v>
          </cell>
          <cell r="I554">
            <v>21686264</v>
          </cell>
          <cell r="J554">
            <v>12509000</v>
          </cell>
          <cell r="K554">
            <v>10175000</v>
          </cell>
          <cell r="L554">
            <v>44370264</v>
          </cell>
          <cell r="N554">
            <v>12601000</v>
          </cell>
          <cell r="O554">
            <v>9324000</v>
          </cell>
          <cell r="P554">
            <v>21524000</v>
          </cell>
          <cell r="Q554">
            <v>87819264</v>
          </cell>
          <cell r="R554">
            <v>11012000</v>
          </cell>
          <cell r="S554">
            <v>3714000</v>
          </cell>
          <cell r="T554">
            <v>7056000</v>
          </cell>
          <cell r="U554">
            <v>252000</v>
          </cell>
          <cell r="V554">
            <v>263986</v>
          </cell>
          <cell r="W554">
            <v>0</v>
          </cell>
          <cell r="X554">
            <v>0</v>
          </cell>
          <cell r="Y554">
            <v>110117250</v>
          </cell>
          <cell r="Z554" t="str">
            <v xml:space="preserve"> </v>
          </cell>
          <cell r="AA554">
            <v>100</v>
          </cell>
          <cell r="AB554">
            <v>-7.2356215213358013</v>
          </cell>
        </row>
        <row r="555">
          <cell r="C555" t="str">
            <v>v tem: dodatek za rekreacijo upokojencev</v>
          </cell>
          <cell r="I555">
            <v>2491000</v>
          </cell>
          <cell r="J555">
            <v>2491000</v>
          </cell>
          <cell r="K555">
            <v>2491000</v>
          </cell>
          <cell r="N555">
            <v>2491000</v>
          </cell>
          <cell r="O555">
            <v>2491000</v>
          </cell>
          <cell r="P555">
            <v>2491000</v>
          </cell>
          <cell r="Q555">
            <v>14946000</v>
          </cell>
          <cell r="R555">
            <v>2491000</v>
          </cell>
          <cell r="S555">
            <v>2491000</v>
          </cell>
          <cell r="T555">
            <v>2491000</v>
          </cell>
          <cell r="U555">
            <v>2491000</v>
          </cell>
        </row>
        <row r="556">
          <cell r="A556">
            <v>413199</v>
          </cell>
          <cell r="C556" t="str">
            <v>Drugi tekoči transferi v sklade socialn.zavarovanja</v>
          </cell>
          <cell r="D556">
            <v>255926.50099999999</v>
          </cell>
          <cell r="E556">
            <v>255926</v>
          </cell>
          <cell r="F556">
            <v>0.50099999998928979</v>
          </cell>
          <cell r="G556">
            <v>171.11149510821565</v>
          </cell>
          <cell r="H556">
            <v>57.12717640791152</v>
          </cell>
          <cell r="I556">
            <v>20949.705000000002</v>
          </cell>
          <cell r="J556">
            <v>27638.328000000001</v>
          </cell>
          <cell r="K556">
            <v>20823.977999999999</v>
          </cell>
          <cell r="L556">
            <v>69412.010999999999</v>
          </cell>
          <cell r="N556">
            <v>20806.017</v>
          </cell>
          <cell r="O556">
            <v>20895.822</v>
          </cell>
          <cell r="P556">
            <v>21355.16</v>
          </cell>
          <cell r="Q556">
            <v>132469.01</v>
          </cell>
          <cell r="R556">
            <v>22198.179</v>
          </cell>
          <cell r="S556">
            <v>22179.294999999998</v>
          </cell>
          <cell r="T556">
            <v>22028.223000000002</v>
          </cell>
          <cell r="U556">
            <v>21971.571</v>
          </cell>
          <cell r="V556">
            <v>22180</v>
          </cell>
          <cell r="W556">
            <v>12899</v>
          </cell>
          <cell r="X556">
            <v>0</v>
          </cell>
          <cell r="Y556">
            <v>255925.27799999999</v>
          </cell>
          <cell r="Z556" t="str">
            <v xml:space="preserve"> </v>
          </cell>
          <cell r="AA556">
            <v>99.999522128425454</v>
          </cell>
          <cell r="AB556">
            <v>-7.2360648159318544</v>
          </cell>
        </row>
        <row r="557">
          <cell r="D557" t="str">
            <v xml:space="preserve"> </v>
          </cell>
          <cell r="Q557" t="str">
            <v xml:space="preserve"> </v>
          </cell>
          <cell r="Y557" t="str">
            <v xml:space="preserve"> </v>
          </cell>
        </row>
        <row r="558">
          <cell r="A558">
            <v>4132</v>
          </cell>
          <cell r="C558" t="str">
            <v>Tekoči transferi v druge javne sklade in agencije</v>
          </cell>
          <cell r="D558">
            <v>1231400.2479599998</v>
          </cell>
          <cell r="E558">
            <v>2839310</v>
          </cell>
          <cell r="F558">
            <v>-1607909.7520400002</v>
          </cell>
          <cell r="G558">
            <v>112.54085490623014</v>
          </cell>
          <cell r="H558">
            <v>3.3433011076493386</v>
          </cell>
          <cell r="I558">
            <v>0</v>
          </cell>
          <cell r="J558">
            <v>6000</v>
          </cell>
          <cell r="K558">
            <v>110231.82246999998</v>
          </cell>
          <cell r="L558">
            <v>116231.82246999998</v>
          </cell>
          <cell r="N558">
            <v>233078.25065999999</v>
          </cell>
          <cell r="O558">
            <v>133266.91224999999</v>
          </cell>
          <cell r="P558">
            <v>69002.625119999997</v>
          </cell>
          <cell r="Q558">
            <v>551579.61049999995</v>
          </cell>
          <cell r="R558">
            <v>63408.629400000005</v>
          </cell>
          <cell r="S558">
            <v>58555.207000000002</v>
          </cell>
          <cell r="T558">
            <v>112969.39016</v>
          </cell>
          <cell r="U558">
            <v>65076.739179999997</v>
          </cell>
          <cell r="V558">
            <v>183431</v>
          </cell>
          <cell r="W558">
            <v>200000</v>
          </cell>
          <cell r="X558">
            <v>450000</v>
          </cell>
          <cell r="Y558">
            <v>1685020.5762399998</v>
          </cell>
          <cell r="Z558" t="str">
            <v xml:space="preserve"> </v>
          </cell>
          <cell r="AA558">
            <v>136.8377648966281</v>
          </cell>
          <cell r="AB558">
            <v>26.936702130452787</v>
          </cell>
        </row>
        <row r="559">
          <cell r="C559" t="str">
            <v xml:space="preserve">                                 - dinamizirani sprejeti proračun</v>
          </cell>
          <cell r="D559">
            <v>100322</v>
          </cell>
          <cell r="I559">
            <v>0</v>
          </cell>
          <cell r="J559">
            <v>0</v>
          </cell>
          <cell r="K559">
            <v>0</v>
          </cell>
          <cell r="N559">
            <v>0</v>
          </cell>
          <cell r="O559">
            <v>0</v>
          </cell>
          <cell r="P559">
            <v>0</v>
          </cell>
          <cell r="Q559">
            <v>0</v>
          </cell>
          <cell r="R559">
            <v>0</v>
          </cell>
          <cell r="S559">
            <v>0</v>
          </cell>
          <cell r="T559">
            <v>0</v>
          </cell>
          <cell r="U559">
            <v>0</v>
          </cell>
          <cell r="V559">
            <v>315961</v>
          </cell>
          <cell r="W559">
            <v>100322</v>
          </cell>
          <cell r="X559">
            <v>0</v>
          </cell>
          <cell r="Y559">
            <v>416283</v>
          </cell>
        </row>
        <row r="560">
          <cell r="D560" t="str">
            <v xml:space="preserve"> </v>
          </cell>
        </row>
        <row r="561">
          <cell r="D561" t="str">
            <v xml:space="preserve"> </v>
          </cell>
          <cell r="Q561" t="str">
            <v xml:space="preserve"> </v>
          </cell>
          <cell r="Y561" t="str">
            <v xml:space="preserve"> </v>
          </cell>
        </row>
        <row r="562">
          <cell r="A562">
            <v>4133</v>
          </cell>
          <cell r="C562" t="str">
            <v>Tekoči transferi v javne zavode in druge izvajalce jav.služb</v>
          </cell>
          <cell r="D562">
            <v>213755008.13275999</v>
          </cell>
          <cell r="E562">
            <v>204407768</v>
          </cell>
          <cell r="F562">
            <v>9347240.1327599883</v>
          </cell>
          <cell r="G562">
            <v>112.71450857477984</v>
          </cell>
          <cell r="H562">
            <v>3.5027626949309649</v>
          </cell>
          <cell r="I562">
            <v>13147646.332250001</v>
          </cell>
          <cell r="J562">
            <v>15503529.84144</v>
          </cell>
          <cell r="K562">
            <v>17715835.337899998</v>
          </cell>
          <cell r="L562">
            <v>46367011.511589997</v>
          </cell>
          <cell r="N562">
            <v>17122968.066559996</v>
          </cell>
          <cell r="O562">
            <v>17178514.254370004</v>
          </cell>
          <cell r="P562">
            <v>22699644.452059999</v>
          </cell>
          <cell r="Q562">
            <v>103368138.28457999</v>
          </cell>
          <cell r="R562">
            <v>17182440.457520001</v>
          </cell>
          <cell r="S562">
            <v>17972333.75897</v>
          </cell>
          <cell r="T562">
            <v>16560853</v>
          </cell>
          <cell r="U562">
            <v>17663104.35441</v>
          </cell>
          <cell r="V562">
            <v>18305000</v>
          </cell>
          <cell r="W562">
            <v>17887450</v>
          </cell>
          <cell r="X562">
            <v>1800000</v>
          </cell>
          <cell r="Y562">
            <v>210739319.85547999</v>
          </cell>
          <cell r="Z562" t="str">
            <v xml:space="preserve"> </v>
          </cell>
          <cell r="AA562">
            <v>98.589184738349147</v>
          </cell>
          <cell r="AB562">
            <v>-8.5443555302883567</v>
          </cell>
        </row>
        <row r="563">
          <cell r="C563" t="str">
            <v xml:space="preserve">                                 - dinamizirani sprejeti proračun</v>
          </cell>
          <cell r="D563">
            <v>158949253</v>
          </cell>
          <cell r="I563">
            <v>13148143</v>
          </cell>
          <cell r="J563">
            <v>13148143</v>
          </cell>
          <cell r="K563">
            <v>13148143</v>
          </cell>
          <cell r="N563">
            <v>13148143</v>
          </cell>
          <cell r="O563">
            <v>13148143</v>
          </cell>
          <cell r="P563">
            <v>13148143</v>
          </cell>
          <cell r="Q563">
            <v>78888858</v>
          </cell>
          <cell r="R563">
            <v>13148143</v>
          </cell>
          <cell r="S563">
            <v>13148143</v>
          </cell>
          <cell r="T563">
            <v>13148143</v>
          </cell>
          <cell r="U563">
            <v>13148143</v>
          </cell>
          <cell r="V563">
            <v>17931969</v>
          </cell>
          <cell r="W563">
            <v>13677710</v>
          </cell>
          <cell r="X563">
            <v>641970</v>
          </cell>
          <cell r="Y563">
            <v>163733079</v>
          </cell>
        </row>
        <row r="564">
          <cell r="E564" t="str">
            <v xml:space="preserve"> </v>
          </cell>
          <cell r="Z564" t="str">
            <v xml:space="preserve"> </v>
          </cell>
        </row>
        <row r="565">
          <cell r="A565">
            <v>413300</v>
          </cell>
          <cell r="C565" t="str">
            <v xml:space="preserve">- Sredstva za plače in druge izdatke zaposlenim v </v>
          </cell>
          <cell r="D565">
            <v>144522205.53161001</v>
          </cell>
          <cell r="G565">
            <v>110.55725201617706</v>
          </cell>
          <cell r="H565">
            <v>1.5218108504839734</v>
          </cell>
          <cell r="I565">
            <v>10005272.68935</v>
          </cell>
          <cell r="J565">
            <v>10757719.581449999</v>
          </cell>
          <cell r="K565">
            <v>11582189.246689998</v>
          </cell>
          <cell r="L565">
            <v>32345181.517489996</v>
          </cell>
          <cell r="N565">
            <v>11579802.033059996</v>
          </cell>
          <cell r="O565">
            <v>11469600.280360002</v>
          </cell>
          <cell r="P565">
            <v>15928816.917579999</v>
          </cell>
          <cell r="Q565">
            <v>71323400.748489991</v>
          </cell>
          <cell r="R565">
            <v>11764533.251639999</v>
          </cell>
          <cell r="S565">
            <v>11835179.110270001</v>
          </cell>
          <cell r="T565">
            <v>11606402</v>
          </cell>
          <cell r="U565">
            <v>12487686</v>
          </cell>
          <cell r="V565">
            <v>12495000</v>
          </cell>
          <cell r="W565">
            <v>12620000</v>
          </cell>
          <cell r="X565">
            <v>0</v>
          </cell>
          <cell r="Y565">
            <v>144132201.11039999</v>
          </cell>
          <cell r="AA565">
            <v>99.730142216017654</v>
          </cell>
          <cell r="AB565">
            <v>-7.4859534174233175</v>
          </cell>
        </row>
        <row r="566">
          <cell r="C566" t="str">
            <v xml:space="preserve">  javnih zavodih in drugih izvajalcih javnih služb</v>
          </cell>
          <cell r="Q566" t="str">
            <v xml:space="preserve"> </v>
          </cell>
        </row>
        <row r="567">
          <cell r="Q567" t="str">
            <v xml:space="preserve"> </v>
          </cell>
        </row>
        <row r="568">
          <cell r="A568">
            <v>413301</v>
          </cell>
          <cell r="C568" t="str">
            <v>- Sredstva za prispevke delodajalca javnim zavodom</v>
          </cell>
          <cell r="D568">
            <v>24381044.866499998</v>
          </cell>
          <cell r="G568">
            <v>121.27601725693644</v>
          </cell>
          <cell r="H568">
            <v>11.364570483871844</v>
          </cell>
          <cell r="I568">
            <v>1759334.8241100006</v>
          </cell>
          <cell r="J568">
            <v>1829689.56134</v>
          </cell>
          <cell r="K568">
            <v>1983070.0677300002</v>
          </cell>
          <cell r="L568">
            <v>5572094.4531800011</v>
          </cell>
          <cell r="N568">
            <v>1981524.6567700002</v>
          </cell>
          <cell r="O568">
            <v>1958135.7056200001</v>
          </cell>
          <cell r="P568">
            <v>1993511.9611500006</v>
          </cell>
          <cell r="Q568">
            <v>11505266.77672</v>
          </cell>
          <cell r="R568">
            <v>2019337.4241300004</v>
          </cell>
          <cell r="S568">
            <v>2106592.6660000002</v>
          </cell>
          <cell r="T568">
            <v>2039635</v>
          </cell>
          <cell r="U568">
            <v>2239993.3544100001</v>
          </cell>
          <cell r="V568">
            <v>2245000</v>
          </cell>
          <cell r="W568">
            <v>2267450</v>
          </cell>
          <cell r="X568">
            <v>0</v>
          </cell>
          <cell r="Y568">
            <v>24423275.22126</v>
          </cell>
          <cell r="AA568">
            <v>100.17320978239957</v>
          </cell>
          <cell r="AB568">
            <v>-7.0749445432285967</v>
          </cell>
        </row>
        <row r="569">
          <cell r="A569" t="str">
            <v xml:space="preserve"> </v>
          </cell>
          <cell r="C569" t="str">
            <v xml:space="preserve">  in drugim izvajalcem javnih služb</v>
          </cell>
          <cell r="Q569" t="str">
            <v xml:space="preserve"> </v>
          </cell>
        </row>
        <row r="570">
          <cell r="A570">
            <v>413302</v>
          </cell>
          <cell r="C570" t="str">
            <v>- Izdatki za blago in storitve  javnim zavodom</v>
          </cell>
          <cell r="D570">
            <v>44851757.734650001</v>
          </cell>
          <cell r="G570">
            <v>115.54522917882062</v>
          </cell>
          <cell r="H570">
            <v>6.1021388235267295</v>
          </cell>
          <cell r="I570">
            <v>1383038.8187899999</v>
          </cell>
          <cell r="J570">
            <v>2916120.6986500002</v>
          </cell>
          <cell r="K570">
            <v>4150576.02348</v>
          </cell>
          <cell r="L570">
            <v>8449735.5409200005</v>
          </cell>
          <cell r="N570">
            <v>3561641.3767299997</v>
          </cell>
          <cell r="O570">
            <v>3750778.2683899999</v>
          </cell>
          <cell r="P570">
            <v>4777315.57333</v>
          </cell>
          <cell r="Q570">
            <v>20539470.759369999</v>
          </cell>
          <cell r="R570">
            <v>3398569.7817500015</v>
          </cell>
          <cell r="S570">
            <v>4030561.9826999991</v>
          </cell>
          <cell r="T570">
            <v>2914816</v>
          </cell>
          <cell r="U570">
            <v>2935425</v>
          </cell>
          <cell r="V570">
            <v>3565000</v>
          </cell>
          <cell r="W570">
            <v>3000000</v>
          </cell>
          <cell r="X570">
            <v>1800000</v>
          </cell>
          <cell r="Y570">
            <v>42183843.523819998</v>
          </cell>
          <cell r="AA570">
            <v>94.051706453482154</v>
          </cell>
          <cell r="AB570">
            <v>-12.753519059849566</v>
          </cell>
        </row>
        <row r="571">
          <cell r="C571" t="str">
            <v xml:space="preserve">  in drugim izvajalcem javnih služb</v>
          </cell>
          <cell r="D571" t="str">
            <v xml:space="preserve"> </v>
          </cell>
          <cell r="Q571" t="str">
            <v xml:space="preserve"> </v>
          </cell>
        </row>
        <row r="572">
          <cell r="Q572" t="str">
            <v xml:space="preserve"> </v>
          </cell>
        </row>
        <row r="573">
          <cell r="A573">
            <v>414</v>
          </cell>
          <cell r="C573" t="str">
            <v>TEKOČI TRANSFERI V TUJINO</v>
          </cell>
          <cell r="D573">
            <v>2312720.3716400005</v>
          </cell>
          <cell r="E573">
            <v>2599018</v>
          </cell>
          <cell r="F573">
            <v>-286297.62835999951</v>
          </cell>
          <cell r="G573">
            <v>97.62840979575131</v>
          </cell>
          <cell r="H573">
            <v>-10.350404227960226</v>
          </cell>
          <cell r="I573">
            <v>8268.5195999999996</v>
          </cell>
          <cell r="J573">
            <v>111921.53532000001</v>
          </cell>
          <cell r="K573">
            <v>206428.37747000001</v>
          </cell>
          <cell r="L573">
            <v>326618.43239000003</v>
          </cell>
          <cell r="N573">
            <v>160700.17897000001</v>
          </cell>
          <cell r="O573">
            <v>127110.23477</v>
          </cell>
          <cell r="P573">
            <v>128818.03867000001</v>
          </cell>
          <cell r="Q573">
            <v>743246.88480000012</v>
          </cell>
          <cell r="R573">
            <v>132838.59896000003</v>
          </cell>
          <cell r="S573">
            <v>172728.98208000002</v>
          </cell>
          <cell r="T573">
            <v>137866.14745000002</v>
          </cell>
          <cell r="U573">
            <v>506572.22105000005</v>
          </cell>
          <cell r="V573">
            <v>357657</v>
          </cell>
          <cell r="W573">
            <v>330000</v>
          </cell>
          <cell r="X573">
            <v>250000</v>
          </cell>
          <cell r="Y573">
            <v>2630909.8343400005</v>
          </cell>
          <cell r="Z573">
            <v>0</v>
          </cell>
          <cell r="AA573">
            <v>113.75823323052086</v>
          </cell>
          <cell r="AB573">
            <v>5.5271180246019043</v>
          </cell>
        </row>
        <row r="574">
          <cell r="C574" t="str">
            <v xml:space="preserve">                                 - dinamizirani sprejeti proračun</v>
          </cell>
          <cell r="D574">
            <v>809554</v>
          </cell>
          <cell r="I574">
            <v>8269</v>
          </cell>
          <cell r="J574">
            <v>8269</v>
          </cell>
          <cell r="K574">
            <v>8269</v>
          </cell>
          <cell r="N574">
            <v>8269</v>
          </cell>
          <cell r="O574">
            <v>8269</v>
          </cell>
          <cell r="P574">
            <v>8269</v>
          </cell>
          <cell r="Q574">
            <v>49614</v>
          </cell>
          <cell r="R574">
            <v>8269</v>
          </cell>
          <cell r="S574">
            <v>8269</v>
          </cell>
          <cell r="T574">
            <v>8269</v>
          </cell>
          <cell r="U574">
            <v>8269</v>
          </cell>
          <cell r="V574">
            <v>181060</v>
          </cell>
          <cell r="W574">
            <v>593138</v>
          </cell>
          <cell r="X574">
            <v>125457</v>
          </cell>
          <cell r="Y574">
            <v>982345</v>
          </cell>
        </row>
        <row r="575">
          <cell r="Q575" t="str">
            <v xml:space="preserve"> </v>
          </cell>
        </row>
        <row r="576">
          <cell r="A576">
            <v>4140</v>
          </cell>
          <cell r="C576" t="str">
            <v>Tekoči transferi mednarodnim institucijam</v>
          </cell>
          <cell r="D576">
            <v>173457.89730999997</v>
          </cell>
          <cell r="E576">
            <v>113871</v>
          </cell>
          <cell r="F576">
            <v>59586.897309999971</v>
          </cell>
          <cell r="G576">
            <v>131.42159053822294</v>
          </cell>
          <cell r="H576">
            <v>20.680983047036676</v>
          </cell>
          <cell r="I576">
            <v>0</v>
          </cell>
          <cell r="J576">
            <v>0</v>
          </cell>
          <cell r="K576">
            <v>32682.643170000003</v>
          </cell>
          <cell r="L576">
            <v>32682.643170000003</v>
          </cell>
          <cell r="N576">
            <v>0</v>
          </cell>
          <cell r="O576">
            <v>6912.3257100000001</v>
          </cell>
          <cell r="P576">
            <v>0</v>
          </cell>
          <cell r="Q576">
            <v>39594.96888</v>
          </cell>
          <cell r="R576">
            <v>0</v>
          </cell>
          <cell r="S576">
            <v>0</v>
          </cell>
          <cell r="T576">
            <v>0</v>
          </cell>
          <cell r="U576">
            <v>106781.44095999999</v>
          </cell>
          <cell r="V576">
            <v>0</v>
          </cell>
          <cell r="W576">
            <v>0</v>
          </cell>
          <cell r="X576">
            <v>0</v>
          </cell>
          <cell r="Y576">
            <v>146376.40983999998</v>
          </cell>
          <cell r="Z576" t="str">
            <v xml:space="preserve"> </v>
          </cell>
          <cell r="AA576">
            <v>84.387284816671922</v>
          </cell>
          <cell r="AB576">
            <v>-21.718659724794136</v>
          </cell>
        </row>
        <row r="577">
          <cell r="A577">
            <v>4141</v>
          </cell>
          <cell r="C577" t="str">
            <v>Tekoči transferi tujim vladam in vladnim institucijam</v>
          </cell>
          <cell r="D577">
            <v>268261.89881000004</v>
          </cell>
          <cell r="E577">
            <v>585000</v>
          </cell>
          <cell r="F577">
            <v>-316738.10118999996</v>
          </cell>
          <cell r="G577" t="str">
            <v>…</v>
          </cell>
          <cell r="H577" t="str">
            <v>…</v>
          </cell>
          <cell r="I577">
            <v>0</v>
          </cell>
          <cell r="J577">
            <v>0</v>
          </cell>
          <cell r="K577">
            <v>0</v>
          </cell>
          <cell r="L577">
            <v>0</v>
          </cell>
          <cell r="N577">
            <v>0</v>
          </cell>
          <cell r="O577">
            <v>0</v>
          </cell>
          <cell r="P577">
            <v>0</v>
          </cell>
          <cell r="Q577">
            <v>0</v>
          </cell>
          <cell r="R577">
            <v>0</v>
          </cell>
          <cell r="S577">
            <v>0</v>
          </cell>
          <cell r="T577">
            <v>0</v>
          </cell>
          <cell r="U577">
            <v>207061.89881000001</v>
          </cell>
          <cell r="V577">
            <v>100000</v>
          </cell>
          <cell r="W577">
            <v>170000</v>
          </cell>
          <cell r="X577">
            <v>100000</v>
          </cell>
          <cell r="Y577">
            <v>577061.89881000004</v>
          </cell>
          <cell r="Z577" t="str">
            <v xml:space="preserve"> </v>
          </cell>
          <cell r="AA577">
            <v>215.11138979103089</v>
          </cell>
          <cell r="AB577">
            <v>99.546743776466514</v>
          </cell>
        </row>
        <row r="578">
          <cell r="A578">
            <v>4142</v>
          </cell>
          <cell r="C578" t="str">
            <v>Tekoči transferi neprofitnim organizacijam v tujini</v>
          </cell>
          <cell r="D578">
            <v>317151.01597000001</v>
          </cell>
          <cell r="E578">
            <v>420779</v>
          </cell>
          <cell r="F578">
            <v>-103627.98402999999</v>
          </cell>
          <cell r="G578">
            <v>70.297609863787912</v>
          </cell>
          <cell r="H578">
            <v>-35.44755751718283</v>
          </cell>
          <cell r="I578">
            <v>0</v>
          </cell>
          <cell r="J578">
            <v>6019.8503499999997</v>
          </cell>
          <cell r="K578">
            <v>10554.39673</v>
          </cell>
          <cell r="L578">
            <v>16574.247080000001</v>
          </cell>
          <cell r="N578">
            <v>13107.170240000001</v>
          </cell>
          <cell r="O578">
            <v>11571.032709999999</v>
          </cell>
          <cell r="P578">
            <v>17407.34042</v>
          </cell>
          <cell r="Q578">
            <v>58659.79045</v>
          </cell>
          <cell r="R578">
            <v>28656.06422</v>
          </cell>
          <cell r="S578">
            <v>75504.115740000008</v>
          </cell>
          <cell r="T578">
            <v>24863.02578</v>
          </cell>
          <cell r="U578">
            <v>25791.708440000002</v>
          </cell>
          <cell r="V578">
            <v>52807</v>
          </cell>
          <cell r="W578">
            <v>60000</v>
          </cell>
          <cell r="X578">
            <v>100000</v>
          </cell>
          <cell r="Y578">
            <v>426281.70462999999</v>
          </cell>
          <cell r="Z578" t="str">
            <v xml:space="preserve"> </v>
          </cell>
          <cell r="AA578">
            <v>134.40969228057679</v>
          </cell>
          <cell r="AB578">
            <v>24.684315659162138</v>
          </cell>
        </row>
        <row r="579">
          <cell r="A579">
            <v>4143</v>
          </cell>
          <cell r="C579" t="str">
            <v>Drugi tekoči transferi v tujino</v>
          </cell>
          <cell r="D579">
            <v>1553849.5595499999</v>
          </cell>
          <cell r="E579">
            <v>1479368</v>
          </cell>
          <cell r="F579">
            <v>74481.559549999889</v>
          </cell>
          <cell r="G579">
            <v>87.01332898136593</v>
          </cell>
          <cell r="H579">
            <v>-20.097953185155262</v>
          </cell>
          <cell r="I579">
            <v>8268.5195999999996</v>
          </cell>
          <cell r="J579">
            <v>105901.68497000002</v>
          </cell>
          <cell r="K579">
            <v>163191.33757</v>
          </cell>
          <cell r="L579">
            <v>277361.54214000003</v>
          </cell>
          <cell r="N579">
            <v>147593.00873</v>
          </cell>
          <cell r="O579">
            <v>108626.87634999999</v>
          </cell>
          <cell r="P579">
            <v>111410.69825</v>
          </cell>
          <cell r="Q579">
            <v>644992.12547000009</v>
          </cell>
          <cell r="R579">
            <v>104182.53474000002</v>
          </cell>
          <cell r="S579">
            <v>97224.866340000008</v>
          </cell>
          <cell r="T579">
            <v>113003.12167000002</v>
          </cell>
          <cell r="U579">
            <v>166937.17283999998</v>
          </cell>
          <cell r="V579">
            <v>204850</v>
          </cell>
          <cell r="W579">
            <v>100000</v>
          </cell>
          <cell r="X579">
            <v>50000</v>
          </cell>
          <cell r="Y579">
            <v>1481189.82106</v>
          </cell>
          <cell r="Z579" t="str">
            <v xml:space="preserve"> </v>
          </cell>
          <cell r="AA579">
            <v>95.323888465042756</v>
          </cell>
          <cell r="AB579">
            <v>-11.573387323708019</v>
          </cell>
        </row>
        <row r="580">
          <cell r="D580" t="str">
            <v xml:space="preserve"> </v>
          </cell>
          <cell r="Q580" t="str">
            <v xml:space="preserve"> </v>
          </cell>
          <cell r="Y580" t="str">
            <v xml:space="preserve"> </v>
          </cell>
          <cell r="AA580" t="str">
            <v xml:space="preserve"> </v>
          </cell>
          <cell r="AB580" t="str">
            <v xml:space="preserve"> </v>
          </cell>
        </row>
        <row r="581">
          <cell r="A581">
            <v>42</v>
          </cell>
          <cell r="B581" t="str">
            <v xml:space="preserve">    </v>
          </cell>
          <cell r="C581" t="str">
            <v xml:space="preserve">INVESTICIJSKI ODHODKI </v>
          </cell>
          <cell r="D581">
            <v>55991994.440779999</v>
          </cell>
          <cell r="E581">
            <v>73423778</v>
          </cell>
          <cell r="F581">
            <v>-17431783.559220001</v>
          </cell>
          <cell r="G581">
            <v>99.568264472392102</v>
          </cell>
          <cell r="H581">
            <v>-8.5690868022111175</v>
          </cell>
          <cell r="I581">
            <v>128787.50247000001</v>
          </cell>
          <cell r="J581">
            <v>2432302.0836999998</v>
          </cell>
          <cell r="K581">
            <v>2741737.9131700001</v>
          </cell>
          <cell r="L581">
            <v>5302827.4993399996</v>
          </cell>
          <cell r="N581">
            <v>2011648.3585699999</v>
          </cell>
          <cell r="O581">
            <v>2733867.52917</v>
          </cell>
          <cell r="P581">
            <v>3839293.2980299997</v>
          </cell>
          <cell r="Q581">
            <v>13887636.685109999</v>
          </cell>
          <cell r="R581">
            <v>3880097.6310000001</v>
          </cell>
          <cell r="S581">
            <v>3585816.5799799999</v>
          </cell>
          <cell r="T581">
            <v>3881270.1326600006</v>
          </cell>
          <cell r="U581">
            <v>4065952.3214100003</v>
          </cell>
          <cell r="V581">
            <v>4871350</v>
          </cell>
          <cell r="W581">
            <v>9160000</v>
          </cell>
          <cell r="X581">
            <v>17510000</v>
          </cell>
          <cell r="Y581">
            <v>60842123.350160003</v>
          </cell>
          <cell r="Z581">
            <v>0</v>
          </cell>
          <cell r="AA581">
            <v>108.66218279563115</v>
          </cell>
          <cell r="AB581">
            <v>0.7997985117172135</v>
          </cell>
        </row>
        <row r="582">
          <cell r="C582" t="str">
            <v xml:space="preserve">                                 - dinamizirani sprejeti proračun</v>
          </cell>
          <cell r="D582">
            <v>20415242</v>
          </cell>
          <cell r="I582">
            <v>128788</v>
          </cell>
          <cell r="J582">
            <v>128788</v>
          </cell>
          <cell r="K582">
            <v>128788</v>
          </cell>
          <cell r="N582">
            <v>128788</v>
          </cell>
          <cell r="O582">
            <v>128788</v>
          </cell>
          <cell r="P582">
            <v>128788</v>
          </cell>
          <cell r="Q582">
            <v>772728</v>
          </cell>
          <cell r="R582">
            <v>128788</v>
          </cell>
          <cell r="S582">
            <v>128788</v>
          </cell>
          <cell r="T582">
            <v>128788</v>
          </cell>
          <cell r="U582">
            <v>128788</v>
          </cell>
          <cell r="V582">
            <v>9019326</v>
          </cell>
          <cell r="W582">
            <v>12235706</v>
          </cell>
          <cell r="X582">
            <v>6762868</v>
          </cell>
          <cell r="Y582">
            <v>29305780</v>
          </cell>
        </row>
        <row r="583">
          <cell r="C583" t="str">
            <v xml:space="preserve"> </v>
          </cell>
          <cell r="Q583" t="str">
            <v xml:space="preserve"> </v>
          </cell>
        </row>
        <row r="584">
          <cell r="A584">
            <v>420</v>
          </cell>
          <cell r="C584" t="str">
            <v>NAKUP IN GRADNJA OSNOVNIH SREDSTEV</v>
          </cell>
          <cell r="D584">
            <v>55991994.440779999</v>
          </cell>
          <cell r="E584">
            <v>73423778</v>
          </cell>
          <cell r="F584">
            <v>-17431783.559220001</v>
          </cell>
          <cell r="G584">
            <v>99.568264472392102</v>
          </cell>
          <cell r="H584">
            <v>-8.5690868022111175</v>
          </cell>
          <cell r="I584">
            <v>128787.50247000001</v>
          </cell>
          <cell r="J584">
            <v>2432302.0836999998</v>
          </cell>
          <cell r="K584">
            <v>2741737.9131700001</v>
          </cell>
          <cell r="L584">
            <v>5302827.4993399996</v>
          </cell>
          <cell r="N584">
            <v>2011648.3585699999</v>
          </cell>
          <cell r="O584">
            <v>2733867.52917</v>
          </cell>
          <cell r="P584">
            <v>3839293.2980299997</v>
          </cell>
          <cell r="Q584">
            <v>13887636.685109999</v>
          </cell>
          <cell r="R584">
            <v>3880097.6310000001</v>
          </cell>
          <cell r="S584">
            <v>3585816.5799799999</v>
          </cell>
          <cell r="T584">
            <v>3881270.1326600006</v>
          </cell>
          <cell r="U584">
            <v>4065952.3214100003</v>
          </cell>
          <cell r="V584">
            <v>4871350</v>
          </cell>
          <cell r="W584">
            <v>9160000</v>
          </cell>
          <cell r="X584">
            <v>17510000</v>
          </cell>
          <cell r="Y584">
            <v>60842123.350160003</v>
          </cell>
          <cell r="Z584">
            <v>0</v>
          </cell>
          <cell r="AA584">
            <v>108.66218279563115</v>
          </cell>
          <cell r="AB584">
            <v>0.7997985117172135</v>
          </cell>
        </row>
        <row r="585">
          <cell r="Q585" t="str">
            <v xml:space="preserve"> </v>
          </cell>
        </row>
        <row r="586">
          <cell r="A586">
            <v>4200</v>
          </cell>
          <cell r="C586" t="str">
            <v>Nakup zgradb in prostorov</v>
          </cell>
          <cell r="D586">
            <v>1736941.6678099998</v>
          </cell>
          <cell r="E586">
            <v>5505153</v>
          </cell>
          <cell r="F586">
            <v>-3768211.3321900005</v>
          </cell>
          <cell r="G586">
            <v>71.401276843442517</v>
          </cell>
          <cell r="H586">
            <v>-34.434089216306234</v>
          </cell>
          <cell r="I586">
            <v>0</v>
          </cell>
          <cell r="J586">
            <v>100266.02687</v>
          </cell>
          <cell r="K586">
            <v>318349.05793000001</v>
          </cell>
          <cell r="L586">
            <v>418615.08480000001</v>
          </cell>
          <cell r="N586">
            <v>232140.08849999995</v>
          </cell>
          <cell r="O586">
            <v>7792.0993300000009</v>
          </cell>
          <cell r="P586">
            <v>92128.409420000011</v>
          </cell>
          <cell r="Q586">
            <v>750675.68204999994</v>
          </cell>
          <cell r="R586">
            <v>90442.193780000001</v>
          </cell>
          <cell r="S586">
            <v>38155.071620000002</v>
          </cell>
          <cell r="T586">
            <v>94084.519530000005</v>
          </cell>
          <cell r="U586">
            <v>127418.1721</v>
          </cell>
          <cell r="V586">
            <v>53000</v>
          </cell>
          <cell r="W586">
            <v>1000000</v>
          </cell>
          <cell r="X586">
            <v>1760000</v>
          </cell>
          <cell r="Y586">
            <v>3913775.6390800001</v>
          </cell>
          <cell r="Z586" t="str">
            <v xml:space="preserve"> </v>
          </cell>
          <cell r="AA586">
            <v>225.32568085689562</v>
          </cell>
          <cell r="AB586">
            <v>109.02196739971765</v>
          </cell>
        </row>
        <row r="587">
          <cell r="A587">
            <v>4201</v>
          </cell>
          <cell r="C587" t="str">
            <v>Nakup prevoznih sredstev</v>
          </cell>
          <cell r="D587">
            <v>1132498.6475</v>
          </cell>
          <cell r="E587">
            <v>1725379</v>
          </cell>
          <cell r="F587">
            <v>-592880.35250000004</v>
          </cell>
          <cell r="G587">
            <v>74.646652031060341</v>
          </cell>
          <cell r="H587">
            <v>-31.453946711606676</v>
          </cell>
          <cell r="I587">
            <v>0</v>
          </cell>
          <cell r="J587">
            <v>0</v>
          </cell>
          <cell r="K587">
            <v>16474.055</v>
          </cell>
          <cell r="L587">
            <v>16474.055</v>
          </cell>
          <cell r="N587">
            <v>25740.753860000004</v>
          </cell>
          <cell r="O587">
            <v>26770.61047</v>
          </cell>
          <cell r="P587">
            <v>3256.9213599999998</v>
          </cell>
          <cell r="Q587">
            <v>72242.340689999997</v>
          </cell>
          <cell r="R587">
            <v>40089.260329999997</v>
          </cell>
          <cell r="S587">
            <v>27822.631340000004</v>
          </cell>
          <cell r="T587">
            <v>144733.96511000002</v>
          </cell>
          <cell r="U587">
            <v>298458.50849000004</v>
          </cell>
          <cell r="V587">
            <v>108500</v>
          </cell>
          <cell r="W587">
            <v>300000</v>
          </cell>
          <cell r="X587">
            <v>500000</v>
          </cell>
          <cell r="Y587">
            <v>1491846.7059599999</v>
          </cell>
          <cell r="Z587" t="str">
            <v xml:space="preserve"> </v>
          </cell>
          <cell r="AA587">
            <v>131.73055078284321</v>
          </cell>
          <cell r="AB587">
            <v>22.199026700225616</v>
          </cell>
        </row>
        <row r="588">
          <cell r="A588">
            <v>4202</v>
          </cell>
          <cell r="C588" t="str">
            <v>Nakup opreme</v>
          </cell>
          <cell r="D588">
            <v>12337952.345960001</v>
          </cell>
          <cell r="E588">
            <v>16048155</v>
          </cell>
          <cell r="F588">
            <v>-3710202.6540399995</v>
          </cell>
          <cell r="G588">
            <v>91.493178726473118</v>
          </cell>
          <cell r="H588">
            <v>-15.984225228215692</v>
          </cell>
          <cell r="I588">
            <v>3727.6364700000004</v>
          </cell>
          <cell r="J588">
            <v>382509.91712</v>
          </cell>
          <cell r="K588">
            <v>914144.04119999986</v>
          </cell>
          <cell r="L588">
            <v>1300381.59479</v>
          </cell>
          <cell r="N588">
            <v>247869.91037999996</v>
          </cell>
          <cell r="O588">
            <v>485721.01485999988</v>
          </cell>
          <cell r="P588">
            <v>575570.04157999984</v>
          </cell>
          <cell r="Q588">
            <v>2609542.5616099997</v>
          </cell>
          <cell r="R588">
            <v>516898.42988999997</v>
          </cell>
          <cell r="S588">
            <v>473788.58489</v>
          </cell>
          <cell r="T588">
            <v>605089.5385400001</v>
          </cell>
          <cell r="U588">
            <v>794583.49502000003</v>
          </cell>
          <cell r="V588">
            <v>1500000</v>
          </cell>
          <cell r="W588">
            <v>2000000</v>
          </cell>
          <cell r="X588">
            <v>5500000</v>
          </cell>
          <cell r="Y588">
            <v>13999902.60995</v>
          </cell>
          <cell r="Z588" t="str">
            <v xml:space="preserve"> </v>
          </cell>
          <cell r="AA588">
            <v>113.47022761466734</v>
          </cell>
          <cell r="AB588">
            <v>5.259951405071746</v>
          </cell>
        </row>
        <row r="589">
          <cell r="A589">
            <v>4203</v>
          </cell>
          <cell r="C589" t="str">
            <v>Nakup drugih osnovnih sredstev</v>
          </cell>
          <cell r="D589">
            <v>198116.77835000001</v>
          </cell>
          <cell r="E589">
            <v>533811</v>
          </cell>
          <cell r="F589">
            <v>-335694.22164999996</v>
          </cell>
          <cell r="G589">
            <v>78.904759498678743</v>
          </cell>
          <cell r="H589">
            <v>-27.543838844188485</v>
          </cell>
          <cell r="I589">
            <v>0</v>
          </cell>
          <cell r="J589">
            <v>0</v>
          </cell>
          <cell r="K589">
            <v>1392.3251</v>
          </cell>
          <cell r="L589">
            <v>1392.3251</v>
          </cell>
          <cell r="N589">
            <v>4850.3050099999991</v>
          </cell>
          <cell r="O589">
            <v>5329.1726699999999</v>
          </cell>
          <cell r="P589">
            <v>2421.2624100000003</v>
          </cell>
          <cell r="Q589">
            <v>13993.065189999998</v>
          </cell>
          <cell r="R589">
            <v>7575.2727199999999</v>
          </cell>
          <cell r="S589">
            <v>1202.52676</v>
          </cell>
          <cell r="T589">
            <v>2531.2799600000003</v>
          </cell>
          <cell r="U589">
            <v>30330.396189999996</v>
          </cell>
          <cell r="V589">
            <v>60850</v>
          </cell>
          <cell r="W589">
            <v>100000</v>
          </cell>
          <cell r="X589">
            <v>300000</v>
          </cell>
          <cell r="Y589">
            <v>516482.54081999999</v>
          </cell>
          <cell r="Z589" t="str">
            <v xml:space="preserve"> </v>
          </cell>
          <cell r="AA589">
            <v>260.69601228199053</v>
          </cell>
          <cell r="AB589">
            <v>141.8330355120506</v>
          </cell>
        </row>
        <row r="590">
          <cell r="A590">
            <v>4204</v>
          </cell>
          <cell r="C590" t="str">
            <v>Novogradnje, rekonstrukcije in adaptacije</v>
          </cell>
          <cell r="D590">
            <v>25981418.176729999</v>
          </cell>
          <cell r="E590">
            <v>30805535</v>
          </cell>
          <cell r="F590">
            <v>-4824116.8232700005</v>
          </cell>
          <cell r="G590">
            <v>117.94360549086109</v>
          </cell>
          <cell r="H590">
            <v>8.3045045829762074</v>
          </cell>
          <cell r="I590">
            <v>0</v>
          </cell>
          <cell r="J590">
            <v>1486826.8961700001</v>
          </cell>
          <cell r="K590">
            <v>890069.16993000009</v>
          </cell>
          <cell r="L590">
            <v>2376896.0661000004</v>
          </cell>
          <cell r="N590">
            <v>972861.04663</v>
          </cell>
          <cell r="O590">
            <v>1568083.46673</v>
          </cell>
          <cell r="P590">
            <v>2278547.21667</v>
          </cell>
          <cell r="Q590">
            <v>7196387.7961300006</v>
          </cell>
          <cell r="R590">
            <v>2269460.0525000002</v>
          </cell>
          <cell r="S590">
            <v>2195047.62849</v>
          </cell>
          <cell r="T590">
            <v>2136928.9096500003</v>
          </cell>
          <cell r="U590">
            <v>1666864.0261900001</v>
          </cell>
          <cell r="V590">
            <v>1865000</v>
          </cell>
          <cell r="W590">
            <v>3500000</v>
          </cell>
          <cell r="X590">
            <v>5400000</v>
          </cell>
          <cell r="Y590">
            <v>26229688.41296</v>
          </cell>
          <cell r="Z590" t="str">
            <v xml:space="preserve"> </v>
          </cell>
          <cell r="AA590">
            <v>100.95556845489044</v>
          </cell>
          <cell r="AB590">
            <v>-6.3491943832185171</v>
          </cell>
        </row>
        <row r="591">
          <cell r="A591">
            <v>4205</v>
          </cell>
          <cell r="C591" t="str">
            <v>Investicijsko vzdrževanje in obnove</v>
          </cell>
          <cell r="D591">
            <v>8200299.6143699996</v>
          </cell>
          <cell r="E591">
            <v>11107184</v>
          </cell>
          <cell r="F591">
            <v>-2906884.3856300004</v>
          </cell>
          <cell r="G591">
            <v>77.019179763932328</v>
          </cell>
          <cell r="H591">
            <v>-29.275317021182431</v>
          </cell>
          <cell r="I591">
            <v>0</v>
          </cell>
          <cell r="J591">
            <v>363351.78503999999</v>
          </cell>
          <cell r="K591">
            <v>340004.61284999992</v>
          </cell>
          <cell r="L591">
            <v>703356.39788999991</v>
          </cell>
          <cell r="N591">
            <v>197260.22814999998</v>
          </cell>
          <cell r="O591">
            <v>345457.86244000006</v>
          </cell>
          <cell r="P591">
            <v>457281.43325999996</v>
          </cell>
          <cell r="Q591">
            <v>1703355.9217399997</v>
          </cell>
          <cell r="R591">
            <v>483814.43345000001</v>
          </cell>
          <cell r="S591">
            <v>444214.93690000009</v>
          </cell>
          <cell r="T591">
            <v>499665.96001000004</v>
          </cell>
          <cell r="U591">
            <v>623915.75484000007</v>
          </cell>
          <cell r="V591">
            <v>400000</v>
          </cell>
          <cell r="W591">
            <v>1500000</v>
          </cell>
          <cell r="X591">
            <v>2000000</v>
          </cell>
          <cell r="Y591">
            <v>7654967.0069399998</v>
          </cell>
          <cell r="Z591" t="str">
            <v xml:space="preserve"> </v>
          </cell>
          <cell r="AA591">
            <v>93.349845334012272</v>
          </cell>
          <cell r="AB591">
            <v>-13.404596165109211</v>
          </cell>
        </row>
        <row r="592">
          <cell r="A592">
            <v>4206</v>
          </cell>
          <cell r="C592" t="str">
            <v>Nakup zemljišč in naravnih bogastev</v>
          </cell>
          <cell r="D592">
            <v>951401.21924000001</v>
          </cell>
          <cell r="E592">
            <v>1261269</v>
          </cell>
          <cell r="F592">
            <v>-309867.78075999999</v>
          </cell>
          <cell r="G592">
            <v>68.978069921888689</v>
          </cell>
          <cell r="H592">
            <v>-36.659256270074671</v>
          </cell>
          <cell r="I592">
            <v>0</v>
          </cell>
          <cell r="J592">
            <v>0</v>
          </cell>
          <cell r="K592">
            <v>104425.99782000002</v>
          </cell>
          <cell r="L592">
            <v>104425.99782000002</v>
          </cell>
          <cell r="N592">
            <v>55129.784319999999</v>
          </cell>
          <cell r="O592">
            <v>31665.195399999997</v>
          </cell>
          <cell r="P592">
            <v>70553.613259999984</v>
          </cell>
          <cell r="Q592">
            <v>261774.59080000001</v>
          </cell>
          <cell r="R592">
            <v>40927.518230000001</v>
          </cell>
          <cell r="S592">
            <v>39048.524389999999</v>
          </cell>
          <cell r="T592">
            <v>22461.12873</v>
          </cell>
          <cell r="U592">
            <v>131169.75577000002</v>
          </cell>
          <cell r="V592">
            <v>145000</v>
          </cell>
          <cell r="W592">
            <v>250000</v>
          </cell>
          <cell r="X592">
            <v>300000</v>
          </cell>
          <cell r="Y592">
            <v>1190381.51792</v>
          </cell>
          <cell r="Z592" t="str">
            <v xml:space="preserve"> </v>
          </cell>
          <cell r="AA592">
            <v>125.11877153898358</v>
          </cell>
          <cell r="AB592">
            <v>16.065650778277913</v>
          </cell>
        </row>
        <row r="593">
          <cell r="A593">
            <v>4207</v>
          </cell>
          <cell r="C593" t="str">
            <v>Nakup nematerialnega premoženja</v>
          </cell>
          <cell r="D593">
            <v>226896.35337999999</v>
          </cell>
          <cell r="E593">
            <v>70464</v>
          </cell>
          <cell r="F593">
            <v>156432.35337999999</v>
          </cell>
          <cell r="G593">
            <v>191.24574857935062</v>
          </cell>
          <cell r="H593">
            <v>75.615930743205354</v>
          </cell>
          <cell r="I593">
            <v>0</v>
          </cell>
          <cell r="J593">
            <v>4884.3301499999998</v>
          </cell>
          <cell r="K593">
            <v>5016.2375400000001</v>
          </cell>
          <cell r="L593">
            <v>9900.5676899999999</v>
          </cell>
          <cell r="N593">
            <v>71404.902700000006</v>
          </cell>
          <cell r="O593">
            <v>55515.844190000003</v>
          </cell>
          <cell r="P593">
            <v>10776.51662</v>
          </cell>
          <cell r="Q593">
            <v>147597.83120000002</v>
          </cell>
          <cell r="R593">
            <v>5656.9468100000004</v>
          </cell>
          <cell r="S593">
            <v>5656.9468100000004</v>
          </cell>
          <cell r="T593">
            <v>5656.9468100000004</v>
          </cell>
          <cell r="U593">
            <v>10867.607460000001</v>
          </cell>
          <cell r="V593">
            <v>31500</v>
          </cell>
          <cell r="W593">
            <v>10000</v>
          </cell>
          <cell r="X593">
            <v>0</v>
          </cell>
          <cell r="Y593">
            <v>216936.27909</v>
          </cell>
          <cell r="Z593" t="str">
            <v xml:space="preserve"> </v>
          </cell>
          <cell r="AA593">
            <v>95.610297767404333</v>
          </cell>
          <cell r="AB593">
            <v>-11.307701514467212</v>
          </cell>
        </row>
        <row r="594">
          <cell r="A594">
            <v>4208</v>
          </cell>
          <cell r="C594" t="str">
            <v>Študije izvedljivosti projektov in projektna dokument.</v>
          </cell>
          <cell r="D594">
            <v>5210969.6374399997</v>
          </cell>
          <cell r="E594">
            <v>6344825</v>
          </cell>
          <cell r="F594">
            <v>-1133855.3625600003</v>
          </cell>
          <cell r="G594">
            <v>121.18192152539305</v>
          </cell>
          <cell r="H594">
            <v>11.278164853437133</v>
          </cell>
          <cell r="I594">
            <v>125059.86600000001</v>
          </cell>
          <cell r="J594">
            <v>94463.128349999984</v>
          </cell>
          <cell r="K594">
            <v>151862.41580000002</v>
          </cell>
          <cell r="L594">
            <v>371385.41015000001</v>
          </cell>
          <cell r="N594">
            <v>204391.33901999998</v>
          </cell>
          <cell r="O594">
            <v>207532.26307999992</v>
          </cell>
          <cell r="P594">
            <v>348757.88344999996</v>
          </cell>
          <cell r="Q594">
            <v>1132066.8956999998</v>
          </cell>
          <cell r="R594">
            <v>425233.52328999998</v>
          </cell>
          <cell r="S594">
            <v>360879.72877999983</v>
          </cell>
          <cell r="T594">
            <v>370117.88431999995</v>
          </cell>
          <cell r="U594">
            <v>382344.60534999997</v>
          </cell>
          <cell r="V594">
            <v>707500</v>
          </cell>
          <cell r="W594">
            <v>500000</v>
          </cell>
          <cell r="X594">
            <v>1750000</v>
          </cell>
          <cell r="Y594">
            <v>5628142.6374399997</v>
          </cell>
          <cell r="Z594" t="str">
            <v xml:space="preserve"> </v>
          </cell>
          <cell r="AA594">
            <v>108.00566936722635</v>
          </cell>
          <cell r="AB594">
            <v>0.19078791022852215</v>
          </cell>
        </row>
        <row r="595">
          <cell r="A595">
            <v>4209</v>
          </cell>
          <cell r="C595" t="str">
            <v>Nakup blagovnih rezerv in intervencijskih zalog</v>
          </cell>
          <cell r="D595">
            <v>15500</v>
          </cell>
          <cell r="E595">
            <v>22003</v>
          </cell>
          <cell r="F595">
            <v>-6503</v>
          </cell>
          <cell r="G595" t="str">
            <v>…</v>
          </cell>
          <cell r="H595" t="str">
            <v>…</v>
          </cell>
          <cell r="I595">
            <v>0</v>
          </cell>
          <cell r="J595">
            <v>0</v>
          </cell>
          <cell r="K595">
            <v>0</v>
          </cell>
          <cell r="L595">
            <v>0</v>
          </cell>
          <cell r="N595">
            <v>0</v>
          </cell>
          <cell r="O595">
            <v>0</v>
          </cell>
          <cell r="P595">
            <v>0</v>
          </cell>
          <cell r="Q595">
            <v>0</v>
          </cell>
          <cell r="R595">
            <v>0</v>
          </cell>
          <cell r="S595">
            <v>0</v>
          </cell>
          <cell r="T595">
            <v>0</v>
          </cell>
          <cell r="U595">
            <v>0</v>
          </cell>
          <cell r="V595">
            <v>0</v>
          </cell>
          <cell r="W595">
            <v>0</v>
          </cell>
          <cell r="X595">
            <v>0</v>
          </cell>
          <cell r="Y595">
            <v>0</v>
          </cell>
          <cell r="Z595" t="str">
            <v xml:space="preserve"> </v>
          </cell>
          <cell r="AA595" t="str">
            <v>…</v>
          </cell>
          <cell r="AB595" t="str">
            <v>…</v>
          </cell>
        </row>
        <row r="596">
          <cell r="Q596" t="str">
            <v xml:space="preserve"> </v>
          </cell>
        </row>
        <row r="597">
          <cell r="A597">
            <v>43</v>
          </cell>
          <cell r="C597" t="str">
            <v>INVESTICIJSKI TRANSFERI</v>
          </cell>
          <cell r="D597">
            <v>49667569.949589998</v>
          </cell>
          <cell r="E597">
            <v>52978238</v>
          </cell>
          <cell r="F597">
            <v>-3310668.0504100025</v>
          </cell>
          <cell r="G597">
            <v>93.194918963865092</v>
          </cell>
          <cell r="H597">
            <v>-14.421562016652814</v>
          </cell>
          <cell r="I597">
            <v>14500</v>
          </cell>
          <cell r="J597">
            <v>4845716.7296099989</v>
          </cell>
          <cell r="K597">
            <v>3974257.1212199996</v>
          </cell>
          <cell r="L597">
            <v>8834473.850829998</v>
          </cell>
          <cell r="N597">
            <v>6201264.2926700013</v>
          </cell>
          <cell r="O597">
            <v>3502565.47645</v>
          </cell>
          <cell r="P597">
            <v>3998554.6566499998</v>
          </cell>
          <cell r="Q597">
            <v>22536858.2766</v>
          </cell>
          <cell r="R597">
            <v>4366704.2624699995</v>
          </cell>
          <cell r="S597">
            <v>3164990.3735400001</v>
          </cell>
          <cell r="T597">
            <v>2861024.32583</v>
          </cell>
          <cell r="U597">
            <v>3774225.9968999997</v>
          </cell>
          <cell r="V597">
            <v>4958415</v>
          </cell>
          <cell r="W597">
            <v>2250000</v>
          </cell>
          <cell r="X597">
            <v>5780000</v>
          </cell>
          <cell r="Y597">
            <v>49692218.235339999</v>
          </cell>
          <cell r="Z597">
            <v>0</v>
          </cell>
          <cell r="AA597">
            <v>100.0496265184204</v>
          </cell>
          <cell r="AB597">
            <v>-7.1895857899625213</v>
          </cell>
        </row>
        <row r="598">
          <cell r="C598" t="str">
            <v xml:space="preserve">                                 - dinamizirani sprejeti proračun</v>
          </cell>
          <cell r="D598">
            <v>6110110</v>
          </cell>
          <cell r="I598">
            <v>14500</v>
          </cell>
          <cell r="J598">
            <v>14500</v>
          </cell>
          <cell r="K598">
            <v>14500</v>
          </cell>
          <cell r="N598">
            <v>14500</v>
          </cell>
          <cell r="O598">
            <v>14500</v>
          </cell>
          <cell r="P598">
            <v>14500</v>
          </cell>
          <cell r="Q598">
            <v>87000</v>
          </cell>
          <cell r="R598">
            <v>14500</v>
          </cell>
          <cell r="S598">
            <v>14500</v>
          </cell>
          <cell r="T598">
            <v>14500</v>
          </cell>
          <cell r="U598">
            <v>14500</v>
          </cell>
          <cell r="V598">
            <v>4676350</v>
          </cell>
          <cell r="W598">
            <v>2751962</v>
          </cell>
          <cell r="X598">
            <v>3198648</v>
          </cell>
          <cell r="Y598">
            <v>10771960</v>
          </cell>
        </row>
        <row r="599">
          <cell r="C599" t="str">
            <v xml:space="preserve"> </v>
          </cell>
          <cell r="Q599" t="str">
            <v xml:space="preserve"> </v>
          </cell>
        </row>
        <row r="600">
          <cell r="A600">
            <v>430</v>
          </cell>
          <cell r="C600" t="str">
            <v>INVESTICIJSKI TRANSFERI</v>
          </cell>
          <cell r="D600">
            <v>49667569.949589998</v>
          </cell>
          <cell r="E600">
            <v>52978238</v>
          </cell>
          <cell r="F600">
            <v>-3310668.0504100025</v>
          </cell>
          <cell r="G600">
            <v>93.194918963865092</v>
          </cell>
          <cell r="H600">
            <v>-14.421562016652814</v>
          </cell>
          <cell r="I600">
            <v>14500</v>
          </cell>
          <cell r="J600">
            <v>4845716.7296099989</v>
          </cell>
          <cell r="K600">
            <v>3974257.1212199996</v>
          </cell>
          <cell r="L600">
            <v>8834473.850829998</v>
          </cell>
          <cell r="N600">
            <v>6201264.2926700013</v>
          </cell>
          <cell r="O600">
            <v>3502565.47645</v>
          </cell>
          <cell r="P600">
            <v>3998554.6566499998</v>
          </cell>
          <cell r="Q600">
            <v>22536858.2766</v>
          </cell>
          <cell r="R600">
            <v>4366704.2624699995</v>
          </cell>
          <cell r="S600">
            <v>3164990.3735400001</v>
          </cell>
          <cell r="T600">
            <v>2861024.32583</v>
          </cell>
          <cell r="U600">
            <v>3774225.9968999997</v>
          </cell>
          <cell r="V600">
            <v>4958415</v>
          </cell>
          <cell r="W600">
            <v>2250000</v>
          </cell>
          <cell r="X600">
            <v>5780000</v>
          </cell>
          <cell r="Y600">
            <v>49692218.235339999</v>
          </cell>
          <cell r="Z600">
            <v>0</v>
          </cell>
          <cell r="AA600">
            <v>100.0496265184204</v>
          </cell>
          <cell r="AB600">
            <v>-7.1895857899625213</v>
          </cell>
        </row>
        <row r="601">
          <cell r="Q601" t="str">
            <v xml:space="preserve"> </v>
          </cell>
        </row>
        <row r="602">
          <cell r="A602">
            <v>4300</v>
          </cell>
          <cell r="C602" t="str">
            <v>Investicijski transferi drugim ravnem države</v>
          </cell>
          <cell r="D602">
            <v>9546907.7047000006</v>
          </cell>
          <cell r="E602">
            <v>9647307</v>
          </cell>
          <cell r="F602">
            <v>-100399.29529999942</v>
          </cell>
          <cell r="G602">
            <v>107.98745256599747</v>
          </cell>
          <cell r="H602">
            <v>-0.83796825895548466</v>
          </cell>
          <cell r="I602">
            <v>14500</v>
          </cell>
          <cell r="J602">
            <v>163526.42778</v>
          </cell>
          <cell r="K602">
            <v>824020.7858999999</v>
          </cell>
          <cell r="L602">
            <v>1002047.2136799999</v>
          </cell>
          <cell r="N602">
            <v>2879200.5133800004</v>
          </cell>
          <cell r="O602">
            <v>390114.65560999996</v>
          </cell>
          <cell r="P602">
            <v>475600.63276000001</v>
          </cell>
          <cell r="Q602">
            <v>4746963.0154300006</v>
          </cell>
          <cell r="R602">
            <v>838136.63107999985</v>
          </cell>
          <cell r="S602">
            <v>263574.70737999998</v>
          </cell>
          <cell r="T602">
            <v>941280.86815999995</v>
          </cell>
          <cell r="U602">
            <v>554476.87361000001</v>
          </cell>
          <cell r="V602">
            <v>604450</v>
          </cell>
          <cell r="W602">
            <v>1000000</v>
          </cell>
          <cell r="X602">
            <v>1000000</v>
          </cell>
          <cell r="Y602">
            <v>9948882.095660001</v>
          </cell>
          <cell r="Z602" t="str">
            <v xml:space="preserve"> </v>
          </cell>
          <cell r="AA602">
            <v>104.2105192947671</v>
          </cell>
          <cell r="AB602">
            <v>-3.3297594668208745</v>
          </cell>
        </row>
        <row r="603">
          <cell r="A603">
            <v>4301</v>
          </cell>
          <cell r="C603" t="str">
            <v>Kapitalski transferi javnim skladom in agencijam</v>
          </cell>
          <cell r="D603">
            <v>267667.489</v>
          </cell>
          <cell r="E603">
            <v>220972</v>
          </cell>
          <cell r="F603">
            <v>46695.489000000001</v>
          </cell>
          <cell r="G603">
            <v>12.370192265291898</v>
          </cell>
          <cell r="H603">
            <v>-88.64077845244087</v>
          </cell>
          <cell r="I603">
            <v>0</v>
          </cell>
          <cell r="J603">
            <v>0</v>
          </cell>
          <cell r="K603">
            <v>0</v>
          </cell>
          <cell r="L603">
            <v>0</v>
          </cell>
          <cell r="N603">
            <v>200000</v>
          </cell>
          <cell r="O603">
            <v>0</v>
          </cell>
          <cell r="P603">
            <v>0</v>
          </cell>
          <cell r="Q603">
            <v>200000</v>
          </cell>
          <cell r="R603">
            <v>0</v>
          </cell>
          <cell r="S603">
            <v>0</v>
          </cell>
          <cell r="T603">
            <v>0</v>
          </cell>
          <cell r="U603">
            <v>36667.489000000001</v>
          </cell>
          <cell r="V603">
            <v>26000</v>
          </cell>
          <cell r="W603">
            <v>0</v>
          </cell>
          <cell r="X603">
            <v>0</v>
          </cell>
          <cell r="Y603">
            <v>262667.489</v>
          </cell>
          <cell r="Z603" t="str">
            <v xml:space="preserve"> </v>
          </cell>
          <cell r="AA603">
            <v>98.132010720211156</v>
          </cell>
          <cell r="AB603">
            <v>-8.9684501667800021</v>
          </cell>
        </row>
        <row r="604">
          <cell r="A604">
            <v>4302</v>
          </cell>
          <cell r="C604" t="str">
            <v xml:space="preserve">Investicijski transferi neprofitnim organizacijam </v>
          </cell>
          <cell r="D604">
            <v>1090601.2080899999</v>
          </cell>
          <cell r="E604">
            <v>1224852</v>
          </cell>
          <cell r="F604">
            <v>-134250.79191000015</v>
          </cell>
          <cell r="G604">
            <v>94.614635869948188</v>
          </cell>
          <cell r="H604">
            <v>-13.117873397660077</v>
          </cell>
          <cell r="I604">
            <v>0</v>
          </cell>
          <cell r="J604">
            <v>0</v>
          </cell>
          <cell r="K604">
            <v>11314.406000000001</v>
          </cell>
          <cell r="L604">
            <v>11314.406000000001</v>
          </cell>
          <cell r="N604">
            <v>118181.139</v>
          </cell>
          <cell r="O604">
            <v>35576.74</v>
          </cell>
          <cell r="P604">
            <v>47460.272499999999</v>
          </cell>
          <cell r="Q604">
            <v>212532.5575</v>
          </cell>
          <cell r="R604">
            <v>140978.11016999997</v>
          </cell>
          <cell r="S604">
            <v>67316.858390000009</v>
          </cell>
          <cell r="T604">
            <v>74325.931880000004</v>
          </cell>
          <cell r="U604">
            <v>106500.43088</v>
          </cell>
          <cell r="V604">
            <v>159500</v>
          </cell>
          <cell r="W604">
            <v>130000</v>
          </cell>
          <cell r="X604">
            <v>140000</v>
          </cell>
          <cell r="Y604">
            <v>1031153.88882</v>
          </cell>
          <cell r="Z604" t="str">
            <v xml:space="preserve"> </v>
          </cell>
          <cell r="AA604">
            <v>94.549124021775881</v>
          </cell>
          <cell r="AB604">
            <v>-12.29209274417822</v>
          </cell>
        </row>
        <row r="605">
          <cell r="A605">
            <v>4303</v>
          </cell>
          <cell r="C605" t="str">
            <v>Investicijski transferi javnim podjetjem (vključno DARS)</v>
          </cell>
          <cell r="D605">
            <v>27793063.913000003</v>
          </cell>
          <cell r="E605">
            <v>29984569</v>
          </cell>
          <cell r="F605">
            <v>-2191505.0869999975</v>
          </cell>
          <cell r="G605">
            <v>83.208984432982959</v>
          </cell>
          <cell r="H605">
            <v>-23.591382522513356</v>
          </cell>
          <cell r="I605">
            <v>0</v>
          </cell>
          <cell r="J605">
            <v>4613400</v>
          </cell>
          <cell r="K605">
            <v>2630100</v>
          </cell>
          <cell r="L605">
            <v>7243500</v>
          </cell>
          <cell r="N605">
            <v>2679600</v>
          </cell>
          <cell r="O605">
            <v>2748900</v>
          </cell>
          <cell r="P605">
            <v>3042600</v>
          </cell>
          <cell r="Q605">
            <v>15714600</v>
          </cell>
          <cell r="R605">
            <v>2315000</v>
          </cell>
          <cell r="S605">
            <v>2315000</v>
          </cell>
          <cell r="T605">
            <v>1115000</v>
          </cell>
          <cell r="U605">
            <v>2339991.44</v>
          </cell>
          <cell r="V605">
            <v>2336815</v>
          </cell>
          <cell r="W605">
            <v>0</v>
          </cell>
          <cell r="X605">
            <v>2340000</v>
          </cell>
          <cell r="Y605">
            <v>28476406.440000001</v>
          </cell>
          <cell r="Z605" t="str">
            <v xml:space="preserve"> </v>
          </cell>
          <cell r="AA605">
            <v>102.45868008341597</v>
          </cell>
          <cell r="AB605">
            <v>-4.9548422231762856</v>
          </cell>
        </row>
        <row r="606">
          <cell r="A606">
            <v>4304</v>
          </cell>
          <cell r="C606" t="str">
            <v>Kapitalski transferi finančnim institucijam</v>
          </cell>
          <cell r="D606">
            <v>0</v>
          </cell>
          <cell r="E606">
            <v>0</v>
          </cell>
          <cell r="F606">
            <v>0</v>
          </cell>
          <cell r="G606" t="str">
            <v>…</v>
          </cell>
          <cell r="H606" t="str">
            <v>…</v>
          </cell>
          <cell r="I606">
            <v>0</v>
          </cell>
          <cell r="J606">
            <v>0</v>
          </cell>
          <cell r="K606">
            <v>0</v>
          </cell>
          <cell r="L606">
            <v>0</v>
          </cell>
          <cell r="N606">
            <v>0</v>
          </cell>
          <cell r="O606">
            <v>0</v>
          </cell>
          <cell r="P606">
            <v>0</v>
          </cell>
          <cell r="Q606">
            <v>0</v>
          </cell>
          <cell r="R606">
            <v>0</v>
          </cell>
          <cell r="S606">
            <v>0</v>
          </cell>
          <cell r="T606">
            <v>0</v>
          </cell>
          <cell r="U606">
            <v>0</v>
          </cell>
          <cell r="V606">
            <v>0</v>
          </cell>
          <cell r="W606">
            <v>0</v>
          </cell>
          <cell r="X606">
            <v>0</v>
          </cell>
          <cell r="Y606">
            <v>0</v>
          </cell>
          <cell r="Z606" t="str">
            <v xml:space="preserve"> </v>
          </cell>
          <cell r="AA606" t="e">
            <v>#DIV/0!</v>
          </cell>
          <cell r="AB606" t="e">
            <v>#DIV/0!</v>
          </cell>
        </row>
        <row r="607">
          <cell r="A607">
            <v>4305</v>
          </cell>
          <cell r="C607" t="str">
            <v>Investicijski transferi privatnim podjetjem in zasebnikom</v>
          </cell>
          <cell r="D607">
            <v>4678775.1238299999</v>
          </cell>
          <cell r="E607">
            <v>4635256</v>
          </cell>
          <cell r="F607">
            <v>43519.123829999939</v>
          </cell>
          <cell r="G607">
            <v>142.6837907603134</v>
          </cell>
          <cell r="H607">
            <v>31.022764701848843</v>
          </cell>
          <cell r="I607">
            <v>0</v>
          </cell>
          <cell r="J607">
            <v>54.338999999999999</v>
          </cell>
          <cell r="K607">
            <v>195085.45575999998</v>
          </cell>
          <cell r="L607">
            <v>195139.79475999999</v>
          </cell>
          <cell r="N607">
            <v>8555.491</v>
          </cell>
          <cell r="O607">
            <v>34436.197</v>
          </cell>
          <cell r="P607">
            <v>17502.417000000001</v>
          </cell>
          <cell r="Q607">
            <v>255633.89976</v>
          </cell>
          <cell r="R607">
            <v>17478.293099999999</v>
          </cell>
          <cell r="S607">
            <v>59760.534</v>
          </cell>
          <cell r="T607">
            <v>140943.40934000001</v>
          </cell>
          <cell r="U607">
            <v>123491.84183999999</v>
          </cell>
          <cell r="V607">
            <v>1392150</v>
          </cell>
          <cell r="W607">
            <v>500000</v>
          </cell>
          <cell r="X607">
            <v>1500000</v>
          </cell>
          <cell r="Y607">
            <v>3989457.97804</v>
          </cell>
          <cell r="Z607" t="str">
            <v xml:space="preserve"> </v>
          </cell>
          <cell r="AA607">
            <v>85.267145191929387</v>
          </cell>
          <cell r="AB607">
            <v>-20.9024627162065</v>
          </cell>
        </row>
        <row r="608">
          <cell r="A608">
            <v>4306</v>
          </cell>
          <cell r="C608" t="str">
            <v xml:space="preserve">Investicijski transferi posameznikom </v>
          </cell>
          <cell r="D608">
            <v>718050.78759999981</v>
          </cell>
          <cell r="E608">
            <v>894473</v>
          </cell>
          <cell r="F608">
            <v>-176422.21240000019</v>
          </cell>
          <cell r="G608">
            <v>410.04951473774594</v>
          </cell>
          <cell r="H608">
            <v>276.53766275275109</v>
          </cell>
          <cell r="I608">
            <v>0</v>
          </cell>
          <cell r="J608">
            <v>0</v>
          </cell>
          <cell r="K608">
            <v>0</v>
          </cell>
          <cell r="L608">
            <v>0</v>
          </cell>
          <cell r="N608">
            <v>0</v>
          </cell>
          <cell r="O608">
            <v>0</v>
          </cell>
          <cell r="P608">
            <v>1000</v>
          </cell>
          <cell r="Q608">
            <v>1000</v>
          </cell>
          <cell r="R608">
            <v>607076.75099999993</v>
          </cell>
          <cell r="S608">
            <v>5131.8013699999992</v>
          </cell>
          <cell r="T608">
            <v>11779.59518</v>
          </cell>
          <cell r="U608">
            <v>8456.3416500000003</v>
          </cell>
          <cell r="V608">
            <v>9500</v>
          </cell>
          <cell r="W608">
            <v>20000</v>
          </cell>
          <cell r="X608">
            <v>150000</v>
          </cell>
          <cell r="Y608">
            <v>812944.48919999984</v>
          </cell>
          <cell r="Z608" t="str">
            <v xml:space="preserve"> </v>
          </cell>
          <cell r="AA608">
            <v>113.21545818745929</v>
          </cell>
          <cell r="AB608">
            <v>5.0236161293685484</v>
          </cell>
        </row>
        <row r="609">
          <cell r="A609">
            <v>4307</v>
          </cell>
          <cell r="C609" t="str">
            <v>Investicijski transferi javnim zavodom in javn.gosp.službam</v>
          </cell>
          <cell r="D609">
            <v>5437806.601809999</v>
          </cell>
          <cell r="E609">
            <v>6370709</v>
          </cell>
          <cell r="F609">
            <v>-932902.39819000103</v>
          </cell>
          <cell r="G609">
            <v>127.03931546227483</v>
          </cell>
          <cell r="H609">
            <v>16.656855337258776</v>
          </cell>
          <cell r="I609">
            <v>0</v>
          </cell>
          <cell r="J609">
            <v>68735.962830000004</v>
          </cell>
          <cell r="K609">
            <v>313736.47356000001</v>
          </cell>
          <cell r="L609">
            <v>382472.43639000005</v>
          </cell>
          <cell r="N609">
            <v>315727.14928999997</v>
          </cell>
          <cell r="O609">
            <v>293537.88384000002</v>
          </cell>
          <cell r="P609">
            <v>414391.33438999997</v>
          </cell>
          <cell r="Q609">
            <v>1406128.80391</v>
          </cell>
          <cell r="R609">
            <v>448034.47712</v>
          </cell>
          <cell r="S609">
            <v>448229.35083999997</v>
          </cell>
          <cell r="T609">
            <v>577694.52127000003</v>
          </cell>
          <cell r="U609">
            <v>604641.57992000005</v>
          </cell>
          <cell r="V609">
            <v>430000</v>
          </cell>
          <cell r="W609">
            <v>600000</v>
          </cell>
          <cell r="X609">
            <v>650000</v>
          </cell>
          <cell r="Y609">
            <v>5164728.7330599995</v>
          </cell>
          <cell r="Z609" t="str">
            <v xml:space="preserve"> </v>
          </cell>
          <cell r="AA609">
            <v>94.978161439961767</v>
          </cell>
          <cell r="AB609">
            <v>-11.894098849757171</v>
          </cell>
        </row>
        <row r="610">
          <cell r="A610">
            <v>4308</v>
          </cell>
          <cell r="C610" t="str">
            <v>Investicijski transferi v tujino</v>
          </cell>
          <cell r="D610">
            <v>134697.12156</v>
          </cell>
          <cell r="E610">
            <v>100</v>
          </cell>
          <cell r="F610">
            <v>134597.12156</v>
          </cell>
          <cell r="G610" t="str">
            <v>…</v>
          </cell>
          <cell r="H610" t="str">
            <v>…</v>
          </cell>
          <cell r="I610">
            <v>0</v>
          </cell>
          <cell r="J610">
            <v>0</v>
          </cell>
          <cell r="K610">
            <v>0</v>
          </cell>
          <cell r="L610">
            <v>0</v>
          </cell>
          <cell r="N610">
            <v>0</v>
          </cell>
          <cell r="O610">
            <v>0</v>
          </cell>
          <cell r="P610">
            <v>0</v>
          </cell>
          <cell r="Q610">
            <v>0</v>
          </cell>
          <cell r="R610">
            <v>0</v>
          </cell>
          <cell r="S610">
            <v>5977.1215599999996</v>
          </cell>
          <cell r="T610">
            <v>0</v>
          </cell>
          <cell r="U610">
            <v>0</v>
          </cell>
          <cell r="V610">
            <v>0</v>
          </cell>
          <cell r="W610">
            <v>0</v>
          </cell>
          <cell r="X610">
            <v>0</v>
          </cell>
          <cell r="Y610">
            <v>5977.1215599999996</v>
          </cell>
          <cell r="Z610" t="str">
            <v xml:space="preserve"> </v>
          </cell>
          <cell r="AA610">
            <v>4.4374530730692179</v>
          </cell>
          <cell r="AB610">
            <v>-95.883624236484962</v>
          </cell>
        </row>
        <row r="611">
          <cell r="E611" t="str">
            <v xml:space="preserve"> </v>
          </cell>
          <cell r="F611" t="str">
            <v xml:space="preserve"> </v>
          </cell>
          <cell r="Z611" t="str">
            <v xml:space="preserve"> </v>
          </cell>
        </row>
        <row r="612">
          <cell r="A612" t="str">
            <v xml:space="preserve"> </v>
          </cell>
          <cell r="I612" t="str">
            <v xml:space="preserve"> </v>
          </cell>
          <cell r="J612" t="str">
            <v xml:space="preserve"> </v>
          </cell>
          <cell r="K612" t="str">
            <v xml:space="preserve"> </v>
          </cell>
          <cell r="N612" t="str">
            <v xml:space="preserve"> </v>
          </cell>
          <cell r="O612" t="str">
            <v xml:space="preserve"> </v>
          </cell>
          <cell r="P612" t="str">
            <v xml:space="preserve"> </v>
          </cell>
          <cell r="Q612" t="str">
            <v xml:space="preserve"> </v>
          </cell>
          <cell r="R612" t="str">
            <v xml:space="preserve"> </v>
          </cell>
        </row>
        <row r="613">
          <cell r="A613" t="str">
            <v xml:space="preserve"> </v>
          </cell>
          <cell r="B613" t="str">
            <v>III.</v>
          </cell>
          <cell r="C613" t="str">
            <v>PRORAČUNSKI PRESEŽEK</v>
          </cell>
          <cell r="D613">
            <v>-38598926.246579885</v>
          </cell>
          <cell r="E613">
            <v>-38393134.630328059</v>
          </cell>
          <cell r="F613">
            <v>-205791.61625182629</v>
          </cell>
          <cell r="G613" t="str">
            <v>…</v>
          </cell>
          <cell r="H613" t="str">
            <v>…</v>
          </cell>
          <cell r="I613">
            <v>-31962839.383703858</v>
          </cell>
          <cell r="J613">
            <v>-12622501.18694111</v>
          </cell>
          <cell r="K613">
            <v>4538510.4259258509</v>
          </cell>
          <cell r="L613">
            <v>-40046830.144719124</v>
          </cell>
          <cell r="N613">
            <v>18657123.475384489</v>
          </cell>
          <cell r="O613">
            <v>13457859.586742729</v>
          </cell>
          <cell r="P613">
            <v>-30796151.769871831</v>
          </cell>
          <cell r="Q613">
            <v>-38727998.852463782</v>
          </cell>
          <cell r="R613">
            <v>34842465.294680536</v>
          </cell>
          <cell r="S613">
            <v>8451092.0722460151</v>
          </cell>
          <cell r="T613">
            <v>-21512261.605926618</v>
          </cell>
          <cell r="U613">
            <v>27961410.612970203</v>
          </cell>
          <cell r="V613">
            <v>31207014.699798822</v>
          </cell>
          <cell r="W613">
            <v>20302559.262124345</v>
          </cell>
          <cell r="X613">
            <v>17787611.889999993</v>
          </cell>
          <cell r="Y613">
            <v>80311893.373429418</v>
          </cell>
          <cell r="Z613" t="e">
            <v>#VALUE!</v>
          </cell>
          <cell r="AA613" t="str">
            <v>…</v>
          </cell>
          <cell r="AB613" t="str">
            <v>…</v>
          </cell>
        </row>
        <row r="614">
          <cell r="C614" t="str">
            <v xml:space="preserve">(PRORAČUNSKI PRIMANJKLJAJ)   </v>
          </cell>
          <cell r="D614" t="str">
            <v xml:space="preserve"> </v>
          </cell>
          <cell r="Y614" t="str">
            <v xml:space="preserve"> </v>
          </cell>
        </row>
        <row r="615">
          <cell r="C615" t="str">
            <v xml:space="preserve">                                 - dinamizirani sprejeti proračun</v>
          </cell>
          <cell r="D615">
            <v>-358224143</v>
          </cell>
          <cell r="I615">
            <v>-36044352</v>
          </cell>
          <cell r="J615">
            <v>-36044352</v>
          </cell>
          <cell r="K615">
            <v>-36044352</v>
          </cell>
          <cell r="N615">
            <v>-36044352</v>
          </cell>
          <cell r="O615">
            <v>-36044352</v>
          </cell>
          <cell r="P615">
            <v>-36044352</v>
          </cell>
          <cell r="Q615">
            <v>-216266112</v>
          </cell>
          <cell r="R615">
            <v>-36044352</v>
          </cell>
          <cell r="S615">
            <v>-36044352</v>
          </cell>
          <cell r="T615">
            <v>-36044352</v>
          </cell>
          <cell r="U615">
            <v>-36044352</v>
          </cell>
          <cell r="V615">
            <v>22641894</v>
          </cell>
          <cell r="W615">
            <v>-15835977</v>
          </cell>
          <cell r="X615">
            <v>54099706</v>
          </cell>
          <cell r="Y615">
            <v>-299537897</v>
          </cell>
        </row>
        <row r="616">
          <cell r="C616" t="str">
            <v>( SKUPAJ PRIHODKI MINUS SKUPAJ ODHODKI)</v>
          </cell>
        </row>
        <row r="618">
          <cell r="A618" t="str">
            <v xml:space="preserve"> </v>
          </cell>
          <cell r="B618" t="str">
            <v>III/1.</v>
          </cell>
          <cell r="C618" t="str">
            <v>PRIMARNI PRESEŽEK (PRIMANJKLJAJ)</v>
          </cell>
          <cell r="D618">
            <v>15639812.944770098</v>
          </cell>
          <cell r="E618">
            <v>18619149.369671941</v>
          </cell>
          <cell r="F618">
            <v>-2979336.4249018431</v>
          </cell>
          <cell r="G618" t="str">
            <v>…</v>
          </cell>
          <cell r="H618" t="str">
            <v>…</v>
          </cell>
          <cell r="I618">
            <v>-32161416.851715855</v>
          </cell>
          <cell r="J618">
            <v>-12737063.792407647</v>
          </cell>
          <cell r="K618">
            <v>4424854.7649824172</v>
          </cell>
          <cell r="L618">
            <v>-40473625.879141092</v>
          </cell>
          <cell r="N618">
            <v>18348756.635179982</v>
          </cell>
          <cell r="O618">
            <v>12978148.164990082</v>
          </cell>
          <cell r="P618">
            <v>-32679215.982900292</v>
          </cell>
          <cell r="Q618">
            <v>-41825937.06187135</v>
          </cell>
          <cell r="R618">
            <v>34558597.409163937</v>
          </cell>
          <cell r="S618">
            <v>8256779.9793972969</v>
          </cell>
          <cell r="T618">
            <v>-21676767.520451881</v>
          </cell>
          <cell r="U618">
            <v>27595532.757972166</v>
          </cell>
          <cell r="V618">
            <v>31055566.715798825</v>
          </cell>
          <cell r="W618">
            <v>17936397.77212435</v>
          </cell>
          <cell r="X618">
            <v>17787611.889999993</v>
          </cell>
          <cell r="Y618">
            <v>73687781.942133188</v>
          </cell>
          <cell r="Z618" t="e">
            <v>#VALUE!</v>
          </cell>
          <cell r="AA618" t="str">
            <v>…</v>
          </cell>
          <cell r="AB618" t="str">
            <v>…</v>
          </cell>
        </row>
        <row r="619">
          <cell r="C619" t="str">
            <v xml:space="preserve"> (I. - 7102)- (II.- 403- 404)</v>
          </cell>
        </row>
        <row r="620">
          <cell r="C620" t="str">
            <v xml:space="preserve">(PRIHODKI BREZ PRIHODKOV OD OBRESTI </v>
          </cell>
        </row>
        <row r="621">
          <cell r="C621" t="str">
            <v>MINUS ODHODKI BREZ PLAČIL OBRESTI )</v>
          </cell>
        </row>
        <row r="623">
          <cell r="A623" t="str">
            <v xml:space="preserve"> </v>
          </cell>
          <cell r="B623" t="str">
            <v>III/2.</v>
          </cell>
          <cell r="C623" t="str">
            <v>TEKOČI PRESEŽEK (PRIMANJKLJAJ)</v>
          </cell>
          <cell r="D623">
            <v>59823864.93701005</v>
          </cell>
          <cell r="E623">
            <v>74217381.369671941</v>
          </cell>
          <cell r="F623">
            <v>-14393516.432661891</v>
          </cell>
          <cell r="G623" t="str">
            <v>…</v>
          </cell>
          <cell r="H623" t="str">
            <v>…</v>
          </cell>
          <cell r="I623">
            <v>-32179659.863919079</v>
          </cell>
          <cell r="J623">
            <v>-5634025.6671505943</v>
          </cell>
          <cell r="K623">
            <v>10739276.656546161</v>
          </cell>
          <cell r="L623">
            <v>-27074408.87452352</v>
          </cell>
          <cell r="N623">
            <v>24190465.244541004</v>
          </cell>
          <cell r="O623">
            <v>19285304.672913387</v>
          </cell>
          <cell r="P623">
            <v>-23693520.496373877</v>
          </cell>
          <cell r="Q623">
            <v>-7292159.4534430504</v>
          </cell>
          <cell r="R623">
            <v>41623890.318749458</v>
          </cell>
          <cell r="S623">
            <v>15007500.338718846</v>
          </cell>
          <cell r="T623">
            <v>-15031737.742262363</v>
          </cell>
          <cell r="U623">
            <v>35472073.13300392</v>
          </cell>
          <cell r="V623">
            <v>40727541.385798827</v>
          </cell>
          <cell r="W623">
            <v>31483271.896124348</v>
          </cell>
          <cell r="X623">
            <v>41077611.889999993</v>
          </cell>
          <cell r="Y623">
            <v>183067991.76669002</v>
          </cell>
          <cell r="Z623" t="e">
            <v>#VALUE!</v>
          </cell>
          <cell r="AA623" t="str">
            <v>…</v>
          </cell>
          <cell r="AB623" t="str">
            <v>…</v>
          </cell>
        </row>
        <row r="624">
          <cell r="C624" t="str">
            <v xml:space="preserve"> (70 + 71) - (40 + 41)</v>
          </cell>
        </row>
        <row r="625">
          <cell r="B625" t="str">
            <v>(TEKOČI PRIHODKI MINUS TEKOČI ODHODKI IN TEKOČI TRANSFERI)</v>
          </cell>
        </row>
        <row r="631">
          <cell r="B631" t="str">
            <v>B.   RAČUN FINANČNIH TERJATEV IN NALOŽB</v>
          </cell>
        </row>
        <row r="633">
          <cell r="A633" t="str">
            <v xml:space="preserve"> </v>
          </cell>
          <cell r="Q633" t="str">
            <v xml:space="preserve"> - V  TISOČIH   TOLARJEV</v>
          </cell>
          <cell r="X633" t="str">
            <v>- V TISOČ TOLARJIH</v>
          </cell>
        </row>
        <row r="634">
          <cell r="A634" t="str">
            <v xml:space="preserve"> </v>
          </cell>
          <cell r="B634" t="str">
            <v xml:space="preserve"> </v>
          </cell>
          <cell r="D634" t="str">
            <v>O C E N A</v>
          </cell>
          <cell r="E634" t="str">
            <v xml:space="preserve"> </v>
          </cell>
          <cell r="F634" t="str">
            <v>RAZLIKA</v>
          </cell>
          <cell r="G634" t="str">
            <v>NOMINALNI</v>
          </cell>
          <cell r="H634" t="str">
            <v>REALNE</v>
          </cell>
          <cell r="I634" t="str">
            <v xml:space="preserve"> </v>
          </cell>
          <cell r="L634" t="str">
            <v xml:space="preserve"> </v>
          </cell>
          <cell r="N634" t="str">
            <v xml:space="preserve"> </v>
          </cell>
          <cell r="O634" t="str">
            <v xml:space="preserve"> </v>
          </cell>
          <cell r="P634" t="str">
            <v xml:space="preserve"> </v>
          </cell>
          <cell r="Q634" t="str">
            <v xml:space="preserve"> </v>
          </cell>
          <cell r="R634" t="str">
            <v xml:space="preserve"> </v>
          </cell>
          <cell r="S634" t="str">
            <v xml:space="preserve"> </v>
          </cell>
          <cell r="T634" t="str">
            <v xml:space="preserve"> </v>
          </cell>
          <cell r="U634" t="str">
            <v xml:space="preserve"> </v>
          </cell>
          <cell r="Y634" t="str">
            <v xml:space="preserve"> </v>
          </cell>
          <cell r="Z634" t="str">
            <v xml:space="preserve"> </v>
          </cell>
          <cell r="AA634" t="str">
            <v>NOMINALNI</v>
          </cell>
          <cell r="AB634" t="str">
            <v>REALNE</v>
          </cell>
        </row>
        <row r="635">
          <cell r="A635" t="str">
            <v xml:space="preserve"> </v>
          </cell>
          <cell r="B635" t="str">
            <v xml:space="preserve"> </v>
          </cell>
          <cell r="C635" t="str">
            <v xml:space="preserve"> </v>
          </cell>
          <cell r="D635" t="str">
            <v>REALIZACIJE</v>
          </cell>
          <cell r="E635" t="str">
            <v>SPREJETI</v>
          </cell>
          <cell r="F635" t="str">
            <v xml:space="preserve">OCENA </v>
          </cell>
          <cell r="G635" t="str">
            <v>INDEKSI</v>
          </cell>
          <cell r="H635" t="str">
            <v>STOPNJE</v>
          </cell>
          <cell r="I635" t="str">
            <v>PROJEKCIJE</v>
          </cell>
          <cell r="J635" t="str">
            <v>PROJEKCIJE</v>
          </cell>
          <cell r="K635" t="str">
            <v>PROJEKCIJE</v>
          </cell>
          <cell r="L635" t="str">
            <v>SKUPAJ</v>
          </cell>
          <cell r="N635" t="str">
            <v>PROJEKCIJE</v>
          </cell>
          <cell r="O635" t="str">
            <v>PROJEKCIJE</v>
          </cell>
          <cell r="P635" t="str">
            <v>PROJEKCIJE</v>
          </cell>
          <cell r="Q635" t="str">
            <v>SKUPAJ</v>
          </cell>
          <cell r="R635" t="str">
            <v>PROJEKCIJE</v>
          </cell>
          <cell r="S635" t="str">
            <v>PROJEKCIJE</v>
          </cell>
          <cell r="T635" t="str">
            <v>PROJEKCIJE</v>
          </cell>
          <cell r="U635" t="str">
            <v>PROJEKCIJE</v>
          </cell>
          <cell r="V635" t="str">
            <v>PROJEKCIJE</v>
          </cell>
          <cell r="W635" t="str">
            <v>PROJEKCIJE</v>
          </cell>
          <cell r="X635" t="str">
            <v>PROJEKCIJE</v>
          </cell>
          <cell r="Y635" t="str">
            <v>PROJEKCIJE</v>
          </cell>
          <cell r="Z635" t="str">
            <v>PREDLOG</v>
          </cell>
          <cell r="AA635" t="str">
            <v>INDEKSI</v>
          </cell>
          <cell r="AB635" t="str">
            <v>STOPNJE</v>
          </cell>
        </row>
        <row r="636">
          <cell r="A636" t="str">
            <v>KONTO</v>
          </cell>
          <cell r="B636" t="str">
            <v xml:space="preserve"> </v>
          </cell>
          <cell r="C636" t="str">
            <v xml:space="preserve"> </v>
          </cell>
          <cell r="D636" t="str">
            <v>JANUAR -</v>
          </cell>
          <cell r="E636" t="str">
            <v>PRORAČUN</v>
          </cell>
          <cell r="F636">
            <v>2000</v>
          </cell>
          <cell r="G636" t="str">
            <v>RASTI</v>
          </cell>
          <cell r="H636" t="str">
            <v>RASTI</v>
          </cell>
          <cell r="I636" t="str">
            <v>JANUAR</v>
          </cell>
          <cell r="J636" t="str">
            <v>FEBRUAR</v>
          </cell>
          <cell r="K636" t="str">
            <v>MAREC</v>
          </cell>
          <cell r="L636" t="str">
            <v>JANUAR -</v>
          </cell>
          <cell r="N636" t="str">
            <v>APRIL</v>
          </cell>
          <cell r="O636" t="str">
            <v>MAJ</v>
          </cell>
          <cell r="P636" t="str">
            <v>JUNIJ</v>
          </cell>
          <cell r="Q636" t="str">
            <v>JANUAR -</v>
          </cell>
          <cell r="R636" t="str">
            <v>JULIJ</v>
          </cell>
          <cell r="S636" t="str">
            <v>AVGUST</v>
          </cell>
          <cell r="T636" t="str">
            <v>SEPTEMBER</v>
          </cell>
          <cell r="U636" t="str">
            <v>OKTOBER</v>
          </cell>
          <cell r="V636" t="str">
            <v>NOVEMBER</v>
          </cell>
          <cell r="W636" t="str">
            <v>DECEMBER</v>
          </cell>
          <cell r="X636" t="str">
            <v>JANUAR</v>
          </cell>
          <cell r="Y636" t="str">
            <v>JANUAR -</v>
          </cell>
          <cell r="Z636" t="str">
            <v>PRORAČUNA</v>
          </cell>
          <cell r="AA636" t="str">
            <v>RASTI</v>
          </cell>
          <cell r="AB636" t="str">
            <v>RASTI</v>
          </cell>
        </row>
        <row r="637">
          <cell r="A637" t="str">
            <v xml:space="preserve"> </v>
          </cell>
          <cell r="B637" t="str">
            <v xml:space="preserve"> </v>
          </cell>
          <cell r="C637" t="str">
            <v xml:space="preserve"> </v>
          </cell>
          <cell r="D637" t="str">
            <v>DECEMBER</v>
          </cell>
          <cell r="E637" t="str">
            <v>ZA LETO</v>
          </cell>
          <cell r="F637" t="str">
            <v>MINUS</v>
          </cell>
          <cell r="G637" t="str">
            <v>I.XII.2000/</v>
          </cell>
          <cell r="H637" t="str">
            <v>I.XII.2000/</v>
          </cell>
          <cell r="I637">
            <v>2001</v>
          </cell>
          <cell r="J637">
            <v>2001</v>
          </cell>
          <cell r="K637">
            <v>2001</v>
          </cell>
          <cell r="L637" t="str">
            <v>MAREC</v>
          </cell>
          <cell r="N637">
            <v>2001</v>
          </cell>
          <cell r="O637">
            <v>2001</v>
          </cell>
          <cell r="P637">
            <v>2001</v>
          </cell>
          <cell r="Q637" t="str">
            <v>JUNIJ</v>
          </cell>
          <cell r="R637">
            <v>2001</v>
          </cell>
          <cell r="S637">
            <v>2001</v>
          </cell>
          <cell r="T637">
            <v>2001</v>
          </cell>
          <cell r="U637">
            <v>2001</v>
          </cell>
          <cell r="V637">
            <v>2001</v>
          </cell>
          <cell r="W637">
            <v>2001</v>
          </cell>
          <cell r="X637">
            <v>2002</v>
          </cell>
          <cell r="Y637" t="str">
            <v>DECEMBER</v>
          </cell>
          <cell r="Z637" t="str">
            <v>ZA LETO</v>
          </cell>
          <cell r="AA637" t="str">
            <v>I.XII.2001/</v>
          </cell>
          <cell r="AB637" t="str">
            <v>I.XII.2001/</v>
          </cell>
        </row>
        <row r="638">
          <cell r="C638" t="str">
            <v xml:space="preserve"> </v>
          </cell>
          <cell r="D638" t="str">
            <v>2 0 0 0</v>
          </cell>
          <cell r="E638" t="str">
            <v>2 0 0 0</v>
          </cell>
          <cell r="F638" t="str">
            <v>SPR.PROR.</v>
          </cell>
          <cell r="G638" t="str">
            <v>I.-XII.1999</v>
          </cell>
          <cell r="H638" t="str">
            <v>I.-XII.1999</v>
          </cell>
          <cell r="I638" t="str">
            <v xml:space="preserve"> </v>
          </cell>
          <cell r="J638" t="str">
            <v xml:space="preserve"> </v>
          </cell>
          <cell r="K638" t="str">
            <v xml:space="preserve"> </v>
          </cell>
          <cell r="L638" t="str">
            <v>2 0 0 1</v>
          </cell>
          <cell r="N638" t="str">
            <v xml:space="preserve"> </v>
          </cell>
          <cell r="O638" t="str">
            <v xml:space="preserve"> </v>
          </cell>
          <cell r="P638" t="str">
            <v xml:space="preserve"> </v>
          </cell>
          <cell r="Q638" t="str">
            <v>2 0 0 1</v>
          </cell>
          <cell r="R638" t="str">
            <v xml:space="preserve"> </v>
          </cell>
          <cell r="S638" t="str">
            <v xml:space="preserve"> </v>
          </cell>
          <cell r="T638" t="str">
            <v xml:space="preserve"> </v>
          </cell>
          <cell r="U638" t="str">
            <v xml:space="preserve"> </v>
          </cell>
          <cell r="V638" t="str">
            <v xml:space="preserve"> </v>
          </cell>
          <cell r="W638" t="str">
            <v xml:space="preserve"> </v>
          </cell>
          <cell r="X638" t="str">
            <v>ZA LETO 2001</v>
          </cell>
          <cell r="Y638" t="str">
            <v>2 0 0 1</v>
          </cell>
          <cell r="Z638" t="str">
            <v>2 0 0 1</v>
          </cell>
          <cell r="AA638" t="str">
            <v>I.-XII.2000</v>
          </cell>
          <cell r="AB638" t="str">
            <v>I.-XII.2000</v>
          </cell>
        </row>
        <row r="639">
          <cell r="A639" t="str">
            <v xml:space="preserve"> </v>
          </cell>
          <cell r="D639" t="str">
            <v>(1)</v>
          </cell>
          <cell r="E639" t="str">
            <v>(2)</v>
          </cell>
          <cell r="F639" t="str">
            <v>(3=1-2)</v>
          </cell>
          <cell r="G639" t="str">
            <v xml:space="preserve"> </v>
          </cell>
          <cell r="H639" t="str">
            <v xml:space="preserve"> </v>
          </cell>
          <cell r="I639" t="str">
            <v xml:space="preserve"> </v>
          </cell>
          <cell r="J639" t="str">
            <v xml:space="preserve"> </v>
          </cell>
          <cell r="K639" t="str">
            <v xml:space="preserve"> </v>
          </cell>
          <cell r="L639" t="str">
            <v xml:space="preserve"> </v>
          </cell>
          <cell r="N639" t="str">
            <v xml:space="preserve"> </v>
          </cell>
          <cell r="O639" t="str">
            <v xml:space="preserve"> </v>
          </cell>
          <cell r="P639" t="str">
            <v xml:space="preserve"> </v>
          </cell>
          <cell r="Q639" t="str">
            <v xml:space="preserve"> </v>
          </cell>
          <cell r="R639" t="str">
            <v xml:space="preserve"> </v>
          </cell>
          <cell r="S639" t="str">
            <v xml:space="preserve"> </v>
          </cell>
          <cell r="T639" t="str">
            <v xml:space="preserve"> </v>
          </cell>
          <cell r="U639" t="str">
            <v xml:space="preserve"> </v>
          </cell>
          <cell r="V639" t="str">
            <v xml:space="preserve"> </v>
          </cell>
          <cell r="W639" t="str">
            <v xml:space="preserve"> </v>
          </cell>
          <cell r="X639" t="str">
            <v xml:space="preserve"> </v>
          </cell>
          <cell r="Y639" t="str">
            <v>(1)</v>
          </cell>
          <cell r="Z639" t="str">
            <v>(2)</v>
          </cell>
          <cell r="AA639" t="str">
            <v xml:space="preserve"> </v>
          </cell>
          <cell r="AB639" t="str">
            <v xml:space="preserve"> </v>
          </cell>
        </row>
        <row r="640">
          <cell r="A640" t="str">
            <v xml:space="preserve"> </v>
          </cell>
          <cell r="B640" t="str">
            <v>IV.</v>
          </cell>
          <cell r="C640" t="str">
            <v xml:space="preserve">PREJETA VRAČILA DANIH POSOJIL </v>
          </cell>
          <cell r="Q640" t="str">
            <v xml:space="preserve"> </v>
          </cell>
        </row>
        <row r="641">
          <cell r="C641" t="str">
            <v>IN PRODAJA KAPITALSKIH DELEŽEV</v>
          </cell>
          <cell r="D641">
            <v>17296535.220880002</v>
          </cell>
          <cell r="E641">
            <v>30904300</v>
          </cell>
          <cell r="F641">
            <v>-13607764.779119998</v>
          </cell>
          <cell r="G641">
            <v>113.86832026633409</v>
          </cell>
          <cell r="H641">
            <v>4.5622775632085251</v>
          </cell>
          <cell r="I641" t="e">
            <v>#VALUE!</v>
          </cell>
          <cell r="J641" t="e">
            <v>#VALUE!</v>
          </cell>
          <cell r="K641" t="e">
            <v>#VALUE!</v>
          </cell>
          <cell r="L641" t="e">
            <v>#VALUE!</v>
          </cell>
          <cell r="N641" t="e">
            <v>#VALUE!</v>
          </cell>
          <cell r="O641" t="e">
            <v>#VALUE!</v>
          </cell>
          <cell r="P641" t="e">
            <v>#VALUE!</v>
          </cell>
          <cell r="Q641" t="e">
            <v>#VALUE!</v>
          </cell>
          <cell r="R641" t="e">
            <v>#VALUE!</v>
          </cell>
          <cell r="S641" t="e">
            <v>#VALUE!</v>
          </cell>
          <cell r="T641" t="e">
            <v>#VALUE!</v>
          </cell>
          <cell r="U641" t="e">
            <v>#VALUE!</v>
          </cell>
          <cell r="V641">
            <v>7774</v>
          </cell>
          <cell r="W641">
            <v>3120040</v>
          </cell>
          <cell r="X641">
            <v>0</v>
          </cell>
          <cell r="Y641" t="e">
            <v>#VALUE!</v>
          </cell>
          <cell r="Z641" t="e">
            <v>#VALUE!</v>
          </cell>
          <cell r="AA641" t="e">
            <v>#VALUE!</v>
          </cell>
          <cell r="AB641" t="e">
            <v>#VALUE!</v>
          </cell>
        </row>
        <row r="642">
          <cell r="C642" t="str">
            <v xml:space="preserve">                                 - dinamizirani sprejeti proračun</v>
          </cell>
          <cell r="D642">
            <v>28219710</v>
          </cell>
          <cell r="I642">
            <v>319916</v>
          </cell>
          <cell r="J642">
            <v>319916</v>
          </cell>
          <cell r="K642">
            <v>319916</v>
          </cell>
          <cell r="N642">
            <v>319916</v>
          </cell>
          <cell r="O642">
            <v>319916</v>
          </cell>
          <cell r="P642">
            <v>319916</v>
          </cell>
          <cell r="Q642">
            <v>1919496</v>
          </cell>
          <cell r="R642">
            <v>319916</v>
          </cell>
          <cell r="S642">
            <v>319916</v>
          </cell>
          <cell r="T642">
            <v>319916</v>
          </cell>
          <cell r="U642">
            <v>319916</v>
          </cell>
          <cell r="V642">
            <v>3061</v>
          </cell>
          <cell r="W642">
            <v>24700634</v>
          </cell>
          <cell r="X642">
            <v>0</v>
          </cell>
          <cell r="Y642">
            <v>27902855</v>
          </cell>
        </row>
        <row r="644">
          <cell r="A644">
            <v>750</v>
          </cell>
          <cell r="C644" t="str">
            <v xml:space="preserve">PREJETA VRAČILA DANIH POSOJIL </v>
          </cell>
          <cell r="D644">
            <v>13660474.272159999</v>
          </cell>
          <cell r="E644">
            <v>5442900</v>
          </cell>
          <cell r="F644">
            <v>8217574.2721599992</v>
          </cell>
          <cell r="G644">
            <v>235.43355880559017</v>
          </cell>
          <cell r="H644">
            <v>116.19243232836561</v>
          </cell>
          <cell r="I644" t="e">
            <v>#VALUE!</v>
          </cell>
          <cell r="J644" t="e">
            <v>#VALUE!</v>
          </cell>
          <cell r="K644" t="e">
            <v>#VALUE!</v>
          </cell>
          <cell r="L644" t="e">
            <v>#VALUE!</v>
          </cell>
          <cell r="N644" t="e">
            <v>#VALUE!</v>
          </cell>
          <cell r="O644" t="e">
            <v>#VALUE!</v>
          </cell>
          <cell r="P644" t="e">
            <v>#VALUE!</v>
          </cell>
          <cell r="Q644" t="e">
            <v>#VALUE!</v>
          </cell>
          <cell r="R644" t="e">
            <v>#VALUE!</v>
          </cell>
          <cell r="S644" t="e">
            <v>#VALUE!</v>
          </cell>
          <cell r="T644" t="e">
            <v>#VALUE!</v>
          </cell>
          <cell r="U644" t="e">
            <v>#VALUE!</v>
          </cell>
          <cell r="V644">
            <v>3730</v>
          </cell>
          <cell r="W644">
            <v>3110040</v>
          </cell>
          <cell r="X644">
            <v>0</v>
          </cell>
          <cell r="Y644" t="e">
            <v>#VALUE!</v>
          </cell>
          <cell r="Z644">
            <v>0</v>
          </cell>
          <cell r="AA644" t="e">
            <v>#VALUE!</v>
          </cell>
          <cell r="AB644" t="e">
            <v>#VALUE!</v>
          </cell>
        </row>
        <row r="645">
          <cell r="A645">
            <v>7500</v>
          </cell>
          <cell r="C645" t="str">
            <v>Prejeta vračila danih posojil od posameznikov</v>
          </cell>
          <cell r="D645">
            <v>2234.4697000000001</v>
          </cell>
          <cell r="E645">
            <v>101100</v>
          </cell>
          <cell r="F645">
            <v>-98865.530299999999</v>
          </cell>
          <cell r="G645" t="str">
            <v>…</v>
          </cell>
          <cell r="H645" t="str">
            <v>…</v>
          </cell>
          <cell r="I645" t="e">
            <v>#VALUE!</v>
          </cell>
          <cell r="J645" t="e">
            <v>#VALUE!</v>
          </cell>
          <cell r="K645" t="e">
            <v>#VALUE!</v>
          </cell>
          <cell r="L645" t="e">
            <v>#VALUE!</v>
          </cell>
          <cell r="N645" t="e">
            <v>#VALUE!</v>
          </cell>
          <cell r="O645" t="e">
            <v>#VALUE!</v>
          </cell>
          <cell r="P645" t="e">
            <v>#VALUE!</v>
          </cell>
          <cell r="Q645" t="e">
            <v>#VALUE!</v>
          </cell>
          <cell r="R645" t="e">
            <v>#VALUE!</v>
          </cell>
          <cell r="S645" t="e">
            <v>#VALUE!</v>
          </cell>
          <cell r="T645" t="e">
            <v>#VALUE!</v>
          </cell>
          <cell r="U645" t="e">
            <v>#VALUE!</v>
          </cell>
          <cell r="V645">
            <v>35</v>
          </cell>
          <cell r="W645">
            <v>40</v>
          </cell>
          <cell r="X645">
            <v>0</v>
          </cell>
          <cell r="Y645" t="e">
            <v>#VALUE!</v>
          </cell>
          <cell r="Z645" t="str">
            <v xml:space="preserve"> </v>
          </cell>
          <cell r="AA645" t="e">
            <v>#VALUE!</v>
          </cell>
          <cell r="AB645" t="e">
            <v>#VALUE!</v>
          </cell>
        </row>
        <row r="646">
          <cell r="A646">
            <v>7501</v>
          </cell>
          <cell r="C646" t="str">
            <v>Prejeta vračila danih posojil od javnih podjetij</v>
          </cell>
          <cell r="D646">
            <v>0</v>
          </cell>
          <cell r="E646">
            <v>0</v>
          </cell>
          <cell r="F646">
            <v>0</v>
          </cell>
          <cell r="G646">
            <v>0</v>
          </cell>
          <cell r="H646">
            <v>-100</v>
          </cell>
          <cell r="I646" t="e">
            <v>#VALUE!</v>
          </cell>
          <cell r="J646" t="e">
            <v>#VALUE!</v>
          </cell>
          <cell r="K646" t="e">
            <v>#VALUE!</v>
          </cell>
          <cell r="L646" t="e">
            <v>#VALUE!</v>
          </cell>
          <cell r="N646" t="e">
            <v>#VALUE!</v>
          </cell>
          <cell r="O646" t="e">
            <v>#VALUE!</v>
          </cell>
          <cell r="P646" t="e">
            <v>#VALUE!</v>
          </cell>
          <cell r="Q646" t="e">
            <v>#VALUE!</v>
          </cell>
          <cell r="R646" t="e">
            <v>#VALUE!</v>
          </cell>
          <cell r="S646" t="e">
            <v>#VALUE!</v>
          </cell>
          <cell r="T646" t="e">
            <v>#VALUE!</v>
          </cell>
          <cell r="U646" t="e">
            <v>#VALUE!</v>
          </cell>
          <cell r="V646">
            <v>0</v>
          </cell>
          <cell r="W646">
            <v>0</v>
          </cell>
          <cell r="X646">
            <v>0</v>
          </cell>
          <cell r="Y646" t="e">
            <v>#VALUE!</v>
          </cell>
          <cell r="Z646" t="str">
            <v xml:space="preserve"> </v>
          </cell>
          <cell r="AA646" t="e">
            <v>#VALUE!</v>
          </cell>
          <cell r="AB646" t="e">
            <v>#VALUE!</v>
          </cell>
        </row>
        <row r="647">
          <cell r="A647">
            <v>7502</v>
          </cell>
          <cell r="C647" t="str">
            <v>Prejeta vračila danih posojil od finančnih institucij</v>
          </cell>
          <cell r="D647">
            <v>13061900.0701</v>
          </cell>
          <cell r="E647">
            <v>5341800</v>
          </cell>
          <cell r="F647">
            <v>7720100.0701000001</v>
          </cell>
          <cell r="G647">
            <v>236.5121250981627</v>
          </cell>
          <cell r="H647">
            <v>117.18285132980961</v>
          </cell>
          <cell r="I647" t="e">
            <v>#VALUE!</v>
          </cell>
          <cell r="J647" t="e">
            <v>#VALUE!</v>
          </cell>
          <cell r="K647" t="e">
            <v>#VALUE!</v>
          </cell>
          <cell r="L647" t="e">
            <v>#VALUE!</v>
          </cell>
          <cell r="N647" t="e">
            <v>#VALUE!</v>
          </cell>
          <cell r="O647" t="e">
            <v>#VALUE!</v>
          </cell>
          <cell r="P647">
            <v>3032421</v>
          </cell>
          <cell r="Q647" t="e">
            <v>#VALUE!</v>
          </cell>
          <cell r="R647" t="e">
            <v>#VALUE!</v>
          </cell>
          <cell r="S647" t="e">
            <v>#VALUE!</v>
          </cell>
          <cell r="T647" t="e">
            <v>#VALUE!</v>
          </cell>
          <cell r="U647" t="e">
            <v>#VALUE!</v>
          </cell>
          <cell r="V647">
            <v>0</v>
          </cell>
          <cell r="W647">
            <v>3100000</v>
          </cell>
          <cell r="X647">
            <v>0</v>
          </cell>
          <cell r="Y647" t="e">
            <v>#VALUE!</v>
          </cell>
          <cell r="Z647" t="str">
            <v xml:space="preserve"> </v>
          </cell>
          <cell r="AA647" t="e">
            <v>#VALUE!</v>
          </cell>
          <cell r="AB647" t="e">
            <v>#VALUE!</v>
          </cell>
        </row>
        <row r="648">
          <cell r="A648">
            <v>7503</v>
          </cell>
          <cell r="C648" t="str">
            <v>Prejeta vračila posojil od privatnih podjetij in zasebn.</v>
          </cell>
          <cell r="D648">
            <v>190941.26101999998</v>
          </cell>
          <cell r="E648">
            <v>0</v>
          </cell>
          <cell r="F648">
            <v>190941.26101999998</v>
          </cell>
          <cell r="G648">
            <v>70.069930392915978</v>
          </cell>
          <cell r="H648">
            <v>-35.656629574916465</v>
          </cell>
          <cell r="I648" t="e">
            <v>#VALUE!</v>
          </cell>
          <cell r="J648" t="e">
            <v>#VALUE!</v>
          </cell>
          <cell r="K648" t="e">
            <v>#VALUE!</v>
          </cell>
          <cell r="L648" t="e">
            <v>#VALUE!</v>
          </cell>
          <cell r="N648" t="e">
            <v>#VALUE!</v>
          </cell>
          <cell r="O648" t="e">
            <v>#VALUE!</v>
          </cell>
          <cell r="P648">
            <v>181879</v>
          </cell>
          <cell r="Q648" t="e">
            <v>#VALUE!</v>
          </cell>
          <cell r="R648" t="e">
            <v>#VALUE!</v>
          </cell>
          <cell r="S648" t="e">
            <v>#VALUE!</v>
          </cell>
          <cell r="T648" t="e">
            <v>#VALUE!</v>
          </cell>
          <cell r="U648" t="e">
            <v>#VALUE!</v>
          </cell>
          <cell r="V648">
            <v>0</v>
          </cell>
          <cell r="W648">
            <v>0</v>
          </cell>
          <cell r="X648">
            <v>0</v>
          </cell>
          <cell r="Y648" t="e">
            <v>#VALUE!</v>
          </cell>
          <cell r="Z648" t="str">
            <v xml:space="preserve"> </v>
          </cell>
          <cell r="AA648" t="e">
            <v>#VALUE!</v>
          </cell>
          <cell r="AB648" t="e">
            <v>#VALUE!</v>
          </cell>
        </row>
        <row r="649">
          <cell r="A649">
            <v>7504</v>
          </cell>
          <cell r="C649" t="str">
            <v>Prejeta vračila danih posojil od drugih ravni države</v>
          </cell>
          <cell r="D649">
            <v>405398.47133999993</v>
          </cell>
          <cell r="E649">
            <v>0</v>
          </cell>
          <cell r="F649">
            <v>405398.47133999993</v>
          </cell>
          <cell r="G649" t="str">
            <v>…</v>
          </cell>
          <cell r="H649" t="str">
            <v>…</v>
          </cell>
          <cell r="I649" t="e">
            <v>#VALUE!</v>
          </cell>
          <cell r="J649" t="e">
            <v>#VALUE!</v>
          </cell>
          <cell r="K649" t="e">
            <v>#VALUE!</v>
          </cell>
          <cell r="L649" t="e">
            <v>#VALUE!</v>
          </cell>
          <cell r="N649" t="e">
            <v>#VALUE!</v>
          </cell>
          <cell r="O649" t="e">
            <v>#VALUE!</v>
          </cell>
          <cell r="P649" t="e">
            <v>#VALUE!</v>
          </cell>
          <cell r="Q649" t="e">
            <v>#VALUE!</v>
          </cell>
          <cell r="R649" t="e">
            <v>#VALUE!</v>
          </cell>
          <cell r="S649" t="e">
            <v>#VALUE!</v>
          </cell>
          <cell r="T649" t="e">
            <v>#VALUE!</v>
          </cell>
          <cell r="U649">
            <v>12495</v>
          </cell>
          <cell r="V649">
            <v>3695</v>
          </cell>
          <cell r="W649">
            <v>10000</v>
          </cell>
          <cell r="X649">
            <v>0</v>
          </cell>
          <cell r="Y649" t="e">
            <v>#VALUE!</v>
          </cell>
          <cell r="Z649" t="str">
            <v xml:space="preserve"> </v>
          </cell>
          <cell r="AA649" t="str">
            <v>…</v>
          </cell>
          <cell r="AB649" t="str">
            <v>…</v>
          </cell>
        </row>
        <row r="650">
          <cell r="A650">
            <v>7505</v>
          </cell>
          <cell r="C650" t="str">
            <v>Prejeta vračila danih posojil iz tujine</v>
          </cell>
          <cell r="D650">
            <v>0</v>
          </cell>
          <cell r="E650">
            <v>0</v>
          </cell>
          <cell r="F650">
            <v>0</v>
          </cell>
          <cell r="I650" t="e">
            <v>#VALUE!</v>
          </cell>
          <cell r="J650" t="e">
            <v>#VALUE!</v>
          </cell>
          <cell r="K650" t="e">
            <v>#VALUE!</v>
          </cell>
          <cell r="L650" t="e">
            <v>#VALUE!</v>
          </cell>
          <cell r="N650" t="e">
            <v>#VALUE!</v>
          </cell>
          <cell r="O650" t="e">
            <v>#VALUE!</v>
          </cell>
          <cell r="P650" t="e">
            <v>#VALUE!</v>
          </cell>
          <cell r="Q650" t="e">
            <v>#VALUE!</v>
          </cell>
          <cell r="R650" t="e">
            <v>#VALUE!</v>
          </cell>
          <cell r="S650" t="e">
            <v>#VALUE!</v>
          </cell>
          <cell r="T650" t="e">
            <v>#VALUE!</v>
          </cell>
          <cell r="U650" t="e">
            <v>#VALUE!</v>
          </cell>
          <cell r="V650">
            <v>0</v>
          </cell>
          <cell r="W650">
            <v>0</v>
          </cell>
          <cell r="X650">
            <v>0</v>
          </cell>
          <cell r="Y650" t="e">
            <v>#VALUE!</v>
          </cell>
          <cell r="Z650" t="str">
            <v xml:space="preserve"> </v>
          </cell>
        </row>
        <row r="651">
          <cell r="P651">
            <v>181879</v>
          </cell>
        </row>
        <row r="652">
          <cell r="A652">
            <v>751</v>
          </cell>
          <cell r="C652" t="str">
            <v xml:space="preserve">PRODAJA KAPITALSKIH DELEŽEV </v>
          </cell>
          <cell r="D652">
            <v>0</v>
          </cell>
          <cell r="E652">
            <v>21961400</v>
          </cell>
          <cell r="F652">
            <v>-21961400</v>
          </cell>
          <cell r="G652" t="str">
            <v>…</v>
          </cell>
          <cell r="H652" t="str">
            <v>…</v>
          </cell>
          <cell r="I652" t="e">
            <v>#VALUE!</v>
          </cell>
          <cell r="J652" t="e">
            <v>#VALUE!</v>
          </cell>
          <cell r="K652" t="e">
            <v>#VALUE!</v>
          </cell>
          <cell r="L652" t="e">
            <v>#VALUE!</v>
          </cell>
          <cell r="N652" t="e">
            <v>#VALUE!</v>
          </cell>
          <cell r="O652" t="e">
            <v>#VALUE!</v>
          </cell>
          <cell r="P652" t="e">
            <v>#VALUE!</v>
          </cell>
          <cell r="Q652" t="e">
            <v>#VALUE!</v>
          </cell>
          <cell r="R652" t="e">
            <v>#VALUE!</v>
          </cell>
          <cell r="S652" t="e">
            <v>#VALUE!</v>
          </cell>
          <cell r="T652" t="e">
            <v>#VALUE!</v>
          </cell>
          <cell r="U652" t="e">
            <v>#VALUE!</v>
          </cell>
          <cell r="V652">
            <v>0</v>
          </cell>
          <cell r="W652">
            <v>0</v>
          </cell>
          <cell r="X652">
            <v>0</v>
          </cell>
          <cell r="Y652" t="e">
            <v>#VALUE!</v>
          </cell>
          <cell r="Z652" t="e">
            <v>#VALUE!</v>
          </cell>
          <cell r="AA652" t="str">
            <v>…</v>
          </cell>
          <cell r="AB652" t="str">
            <v>…</v>
          </cell>
        </row>
        <row r="653">
          <cell r="A653">
            <v>7510</v>
          </cell>
          <cell r="C653" t="str">
            <v xml:space="preserve">Prodaja kapitalskih deležev v javnih podjetjih </v>
          </cell>
          <cell r="D653">
            <v>0</v>
          </cell>
          <cell r="E653">
            <v>21961400</v>
          </cell>
          <cell r="F653">
            <v>-21961400</v>
          </cell>
          <cell r="G653" t="str">
            <v>…</v>
          </cell>
          <cell r="H653" t="str">
            <v>…</v>
          </cell>
          <cell r="I653" t="e">
            <v>#VALUE!</v>
          </cell>
          <cell r="J653" t="e">
            <v>#VALUE!</v>
          </cell>
          <cell r="K653" t="e">
            <v>#VALUE!</v>
          </cell>
          <cell r="L653" t="e">
            <v>#VALUE!</v>
          </cell>
          <cell r="N653" t="e">
            <v>#VALUE!</v>
          </cell>
          <cell r="O653" t="e">
            <v>#VALUE!</v>
          </cell>
          <cell r="P653" t="e">
            <v>#VALUE!</v>
          </cell>
          <cell r="Q653" t="e">
            <v>#VALUE!</v>
          </cell>
          <cell r="R653" t="e">
            <v>#VALUE!</v>
          </cell>
          <cell r="S653" t="e">
            <v>#VALUE!</v>
          </cell>
          <cell r="T653" t="e">
            <v>#VALUE!</v>
          </cell>
          <cell r="U653" t="e">
            <v>#VALUE!</v>
          </cell>
          <cell r="V653">
            <v>0</v>
          </cell>
          <cell r="W653">
            <v>0</v>
          </cell>
          <cell r="X653">
            <v>0</v>
          </cell>
          <cell r="Y653" t="e">
            <v>#VALUE!</v>
          </cell>
          <cell r="Z653" t="str">
            <v xml:space="preserve"> </v>
          </cell>
          <cell r="AA653" t="str">
            <v>…</v>
          </cell>
          <cell r="AB653" t="str">
            <v>…</v>
          </cell>
        </row>
        <row r="654">
          <cell r="A654">
            <v>7511</v>
          </cell>
          <cell r="C654" t="str">
            <v>Prodaja kapitalskih deležev v finančnih institucijah</v>
          </cell>
          <cell r="D654">
            <v>0</v>
          </cell>
          <cell r="E654">
            <v>0</v>
          </cell>
          <cell r="F654">
            <v>0</v>
          </cell>
          <cell r="I654" t="e">
            <v>#VALUE!</v>
          </cell>
          <cell r="J654" t="e">
            <v>#VALUE!</v>
          </cell>
          <cell r="K654" t="e">
            <v>#VALUE!</v>
          </cell>
          <cell r="L654" t="e">
            <v>#VALUE!</v>
          </cell>
          <cell r="N654" t="e">
            <v>#VALUE!</v>
          </cell>
          <cell r="O654" t="e">
            <v>#VALUE!</v>
          </cell>
          <cell r="P654" t="e">
            <v>#VALUE!</v>
          </cell>
          <cell r="Q654" t="e">
            <v>#VALUE!</v>
          </cell>
          <cell r="R654" t="e">
            <v>#VALUE!</v>
          </cell>
          <cell r="S654" t="e">
            <v>#VALUE!</v>
          </cell>
          <cell r="T654" t="e">
            <v>#VALUE!</v>
          </cell>
          <cell r="U654" t="e">
            <v>#VALUE!</v>
          </cell>
          <cell r="V654">
            <v>0</v>
          </cell>
          <cell r="W654">
            <v>0</v>
          </cell>
          <cell r="X654">
            <v>0</v>
          </cell>
          <cell r="Y654" t="e">
            <v>#VALUE!</v>
          </cell>
          <cell r="Z654" t="str">
            <v xml:space="preserve"> </v>
          </cell>
        </row>
        <row r="655">
          <cell r="A655">
            <v>7512</v>
          </cell>
          <cell r="C655" t="str">
            <v>Prodaja kapitalskih deležev v privatnih podjetjih</v>
          </cell>
          <cell r="D655">
            <v>0</v>
          </cell>
          <cell r="E655">
            <v>0</v>
          </cell>
          <cell r="F655">
            <v>0</v>
          </cell>
          <cell r="I655" t="e">
            <v>#VALUE!</v>
          </cell>
          <cell r="J655" t="e">
            <v>#VALUE!</v>
          </cell>
          <cell r="K655" t="e">
            <v>#VALUE!</v>
          </cell>
          <cell r="L655" t="e">
            <v>#VALUE!</v>
          </cell>
          <cell r="N655" t="e">
            <v>#VALUE!</v>
          </cell>
          <cell r="O655" t="e">
            <v>#VALUE!</v>
          </cell>
          <cell r="P655" t="e">
            <v>#VALUE!</v>
          </cell>
          <cell r="Q655" t="e">
            <v>#VALUE!</v>
          </cell>
          <cell r="R655" t="e">
            <v>#VALUE!</v>
          </cell>
          <cell r="S655" t="e">
            <v>#VALUE!</v>
          </cell>
          <cell r="T655" t="e">
            <v>#VALUE!</v>
          </cell>
          <cell r="U655" t="e">
            <v>#VALUE!</v>
          </cell>
          <cell r="V655">
            <v>0</v>
          </cell>
          <cell r="W655">
            <v>0</v>
          </cell>
          <cell r="X655">
            <v>0</v>
          </cell>
          <cell r="Y655" t="e">
            <v>#VALUE!</v>
          </cell>
          <cell r="Z655" t="str">
            <v xml:space="preserve"> </v>
          </cell>
        </row>
        <row r="657">
          <cell r="A657">
            <v>752</v>
          </cell>
          <cell r="C657" t="str">
            <v>KUPNINE IZ NASLOVA PRIVATIZACIJE PODJETIJ</v>
          </cell>
          <cell r="D657">
            <v>3636060.9487199998</v>
          </cell>
          <cell r="E657">
            <v>3500000</v>
          </cell>
          <cell r="F657">
            <v>136060.94871999975</v>
          </cell>
          <cell r="G657">
            <v>38.732255190578456</v>
          </cell>
          <cell r="H657">
            <v>-64.433190825915105</v>
          </cell>
          <cell r="I657" t="e">
            <v>#VALUE!</v>
          </cell>
          <cell r="J657" t="e">
            <v>#VALUE!</v>
          </cell>
          <cell r="K657" t="e">
            <v>#VALUE!</v>
          </cell>
          <cell r="L657" t="e">
            <v>#VALUE!</v>
          </cell>
          <cell r="N657" t="e">
            <v>#VALUE!</v>
          </cell>
          <cell r="O657" t="e">
            <v>#VALUE!</v>
          </cell>
          <cell r="P657" t="e">
            <v>#VALUE!</v>
          </cell>
          <cell r="Q657" t="e">
            <v>#VALUE!</v>
          </cell>
          <cell r="R657" t="e">
            <v>#VALUE!</v>
          </cell>
          <cell r="S657" t="e">
            <v>#VALUE!</v>
          </cell>
          <cell r="T657" t="e">
            <v>#VALUE!</v>
          </cell>
          <cell r="U657" t="e">
            <v>#VALUE!</v>
          </cell>
          <cell r="V657">
            <v>4044</v>
          </cell>
          <cell r="W657">
            <v>10000</v>
          </cell>
          <cell r="X657">
            <v>0</v>
          </cell>
          <cell r="Y657" t="e">
            <v>#VALUE!</v>
          </cell>
          <cell r="Z657" t="str">
            <v xml:space="preserve"> </v>
          </cell>
          <cell r="AA657" t="e">
            <v>#VALUE!</v>
          </cell>
          <cell r="AB657" t="e">
            <v>#VALUE!</v>
          </cell>
        </row>
        <row r="658">
          <cell r="A658">
            <v>7520</v>
          </cell>
          <cell r="C658" t="str">
            <v>Sredstva kupnin iz naslova privatizacije podjetij</v>
          </cell>
          <cell r="D658">
            <v>3636060.9487199998</v>
          </cell>
          <cell r="E658">
            <v>3500000</v>
          </cell>
          <cell r="F658">
            <v>136060.94871999975</v>
          </cell>
          <cell r="G658">
            <v>38.732255190578456</v>
          </cell>
          <cell r="H658">
            <v>-64.433190825915105</v>
          </cell>
          <cell r="I658" t="e">
            <v>#VALUE!</v>
          </cell>
          <cell r="J658" t="e">
            <v>#VALUE!</v>
          </cell>
          <cell r="K658" t="e">
            <v>#VALUE!</v>
          </cell>
          <cell r="L658" t="e">
            <v>#VALUE!</v>
          </cell>
          <cell r="N658" t="e">
            <v>#VALUE!</v>
          </cell>
          <cell r="O658" t="e">
            <v>#VALUE!</v>
          </cell>
          <cell r="P658" t="e">
            <v>#VALUE!</v>
          </cell>
          <cell r="Q658" t="e">
            <v>#VALUE!</v>
          </cell>
          <cell r="R658" t="e">
            <v>#VALUE!</v>
          </cell>
          <cell r="S658" t="e">
            <v>#VALUE!</v>
          </cell>
          <cell r="T658" t="e">
            <v>#VALUE!</v>
          </cell>
          <cell r="U658" t="e">
            <v>#VALUE!</v>
          </cell>
          <cell r="V658">
            <v>4044</v>
          </cell>
          <cell r="W658">
            <v>10000</v>
          </cell>
          <cell r="X658">
            <v>0</v>
          </cell>
          <cell r="Y658" t="e">
            <v>#VALUE!</v>
          </cell>
          <cell r="Z658" t="str">
            <v xml:space="preserve"> </v>
          </cell>
          <cell r="AA658" t="e">
            <v>#VALUE!</v>
          </cell>
          <cell r="AB658" t="e">
            <v>#VALUE!</v>
          </cell>
        </row>
        <row r="660">
          <cell r="I660" t="str">
            <v xml:space="preserve"> </v>
          </cell>
          <cell r="J660" t="str">
            <v xml:space="preserve"> </v>
          </cell>
          <cell r="K660" t="str">
            <v xml:space="preserve"> </v>
          </cell>
          <cell r="N660" t="str">
            <v xml:space="preserve"> </v>
          </cell>
          <cell r="O660" t="str">
            <v xml:space="preserve"> </v>
          </cell>
          <cell r="P660" t="str">
            <v xml:space="preserve"> </v>
          </cell>
          <cell r="Q660" t="str">
            <v xml:space="preserve"> </v>
          </cell>
          <cell r="R660" t="str">
            <v xml:space="preserve"> </v>
          </cell>
          <cell r="S660" t="str">
            <v xml:space="preserve"> </v>
          </cell>
          <cell r="T660" t="str">
            <v xml:space="preserve"> </v>
          </cell>
        </row>
        <row r="661">
          <cell r="A661" t="str">
            <v xml:space="preserve"> </v>
          </cell>
          <cell r="B661" t="str">
            <v>V.</v>
          </cell>
          <cell r="C661" t="str">
            <v xml:space="preserve">DANA POSOJILA IN POVEČANJE </v>
          </cell>
          <cell r="Q661" t="str">
            <v xml:space="preserve"> </v>
          </cell>
        </row>
        <row r="662">
          <cell r="C662" t="str">
            <v xml:space="preserve">KAPITALSKIH DELEŽEV  </v>
          </cell>
          <cell r="D662">
            <v>12397944.89758</v>
          </cell>
          <cell r="E662">
            <v>31838515</v>
          </cell>
          <cell r="F662">
            <v>-19440570.102420002</v>
          </cell>
          <cell r="G662">
            <v>75.563341277210199</v>
          </cell>
          <cell r="H662">
            <v>-30.612175135711482</v>
          </cell>
          <cell r="I662" t="e">
            <v>#VALUE!</v>
          </cell>
          <cell r="J662" t="e">
            <v>#VALUE!</v>
          </cell>
          <cell r="K662" t="e">
            <v>#VALUE!</v>
          </cell>
          <cell r="L662" t="e">
            <v>#VALUE!</v>
          </cell>
          <cell r="N662" t="e">
            <v>#VALUE!</v>
          </cell>
          <cell r="O662" t="e">
            <v>#VALUE!</v>
          </cell>
          <cell r="P662" t="e">
            <v>#VALUE!</v>
          </cell>
          <cell r="Q662" t="e">
            <v>#VALUE!</v>
          </cell>
          <cell r="R662" t="e">
            <v>#VALUE!</v>
          </cell>
          <cell r="S662" t="e">
            <v>#VALUE!</v>
          </cell>
          <cell r="T662" t="e">
            <v>#VALUE!</v>
          </cell>
          <cell r="U662" t="e">
            <v>#VALUE!</v>
          </cell>
          <cell r="V662">
            <v>1242416</v>
          </cell>
          <cell r="W662">
            <v>1238700</v>
          </cell>
          <cell r="X662">
            <v>0</v>
          </cell>
          <cell r="Y662" t="e">
            <v>#VALUE!</v>
          </cell>
          <cell r="Z662" t="e">
            <v>#VALUE!</v>
          </cell>
          <cell r="AA662" t="e">
            <v>#VALUE!</v>
          </cell>
          <cell r="AB662" t="e">
            <v>#VALUE!</v>
          </cell>
        </row>
        <row r="663">
          <cell r="C663" t="str">
            <v xml:space="preserve">                                 - dinamizirani sprejeti proračun</v>
          </cell>
          <cell r="D663">
            <v>35472134</v>
          </cell>
          <cell r="I663">
            <v>1036854</v>
          </cell>
          <cell r="J663">
            <v>1036854</v>
          </cell>
          <cell r="K663">
            <v>1036854</v>
          </cell>
          <cell r="N663">
            <v>1036854</v>
          </cell>
          <cell r="O663">
            <v>1036854</v>
          </cell>
          <cell r="P663">
            <v>1036854</v>
          </cell>
          <cell r="Q663">
            <v>6221124</v>
          </cell>
          <cell r="R663">
            <v>1036854</v>
          </cell>
          <cell r="S663">
            <v>1036854</v>
          </cell>
          <cell r="T663">
            <v>1036854</v>
          </cell>
          <cell r="U663">
            <v>1036854</v>
          </cell>
          <cell r="V663">
            <v>466685</v>
          </cell>
          <cell r="W663">
            <v>24066740</v>
          </cell>
          <cell r="X663">
            <v>0</v>
          </cell>
          <cell r="Y663">
            <v>34901965</v>
          </cell>
        </row>
        <row r="664">
          <cell r="Q664" t="str">
            <v xml:space="preserve"> </v>
          </cell>
        </row>
        <row r="665">
          <cell r="A665">
            <v>440</v>
          </cell>
          <cell r="C665" t="str">
            <v>DANA POSOJILA</v>
          </cell>
          <cell r="D665">
            <v>5901901.5554300006</v>
          </cell>
          <cell r="E665">
            <v>5443415</v>
          </cell>
          <cell r="F665">
            <v>458486.55543000065</v>
          </cell>
          <cell r="G665">
            <v>114.84349841917295</v>
          </cell>
          <cell r="H665">
            <v>5.4577579606730495</v>
          </cell>
          <cell r="I665" t="e">
            <v>#VALUE!</v>
          </cell>
          <cell r="J665" t="e">
            <v>#VALUE!</v>
          </cell>
          <cell r="K665" t="e">
            <v>#VALUE!</v>
          </cell>
          <cell r="L665" t="e">
            <v>#VALUE!</v>
          </cell>
          <cell r="N665" t="e">
            <v>#VALUE!</v>
          </cell>
          <cell r="O665" t="e">
            <v>#VALUE!</v>
          </cell>
          <cell r="P665" t="e">
            <v>#VALUE!</v>
          </cell>
          <cell r="Q665" t="e">
            <v>#VALUE!</v>
          </cell>
          <cell r="R665" t="e">
            <v>#VALUE!</v>
          </cell>
          <cell r="S665" t="e">
            <v>#VALUE!</v>
          </cell>
          <cell r="T665" t="e">
            <v>#VALUE!</v>
          </cell>
          <cell r="U665" t="e">
            <v>#VALUE!</v>
          </cell>
          <cell r="V665">
            <v>81492</v>
          </cell>
          <cell r="W665">
            <v>1238700</v>
          </cell>
          <cell r="X665">
            <v>0</v>
          </cell>
          <cell r="Y665" t="e">
            <v>#VALUE!</v>
          </cell>
          <cell r="Z665" t="e">
            <v>#VALUE!</v>
          </cell>
          <cell r="AA665" t="e">
            <v>#VALUE!</v>
          </cell>
          <cell r="AB665" t="e">
            <v>#VALUE!</v>
          </cell>
        </row>
        <row r="666">
          <cell r="A666">
            <v>4400</v>
          </cell>
          <cell r="C666" t="str">
            <v xml:space="preserve">Dana posojila posameznikom </v>
          </cell>
          <cell r="D666">
            <v>4417.9119999999994</v>
          </cell>
          <cell r="E666">
            <v>24000</v>
          </cell>
          <cell r="F666">
            <v>-19582.088</v>
          </cell>
          <cell r="G666">
            <v>10.170615590036372</v>
          </cell>
          <cell r="H666">
            <v>-90.660591744686528</v>
          </cell>
          <cell r="I666" t="e">
            <v>#VALUE!</v>
          </cell>
          <cell r="J666" t="e">
            <v>#VALUE!</v>
          </cell>
          <cell r="K666" t="e">
            <v>#VALUE!</v>
          </cell>
          <cell r="L666" t="e">
            <v>#VALUE!</v>
          </cell>
          <cell r="N666" t="e">
            <v>#VALUE!</v>
          </cell>
          <cell r="O666" t="e">
            <v>#VALUE!</v>
          </cell>
          <cell r="P666" t="e">
            <v>#VALUE!</v>
          </cell>
          <cell r="Q666" t="e">
            <v>#VALUE!</v>
          </cell>
          <cell r="R666" t="e">
            <v>#VALUE!</v>
          </cell>
          <cell r="S666" t="e">
            <v>#VALUE!</v>
          </cell>
          <cell r="T666" t="e">
            <v>#VALUE!</v>
          </cell>
          <cell r="U666" t="e">
            <v>#VALUE!</v>
          </cell>
          <cell r="V666">
            <v>-17</v>
          </cell>
          <cell r="W666">
            <v>0</v>
          </cell>
          <cell r="X666">
            <v>0</v>
          </cell>
          <cell r="Y666" t="e">
            <v>#VALUE!</v>
          </cell>
          <cell r="Z666" t="str">
            <v xml:space="preserve"> </v>
          </cell>
          <cell r="AA666" t="e">
            <v>#VALUE!</v>
          </cell>
          <cell r="AB666" t="e">
            <v>#VALUE!</v>
          </cell>
        </row>
        <row r="667">
          <cell r="A667">
            <v>4401</v>
          </cell>
          <cell r="C667" t="str">
            <v>Dana posojila javnim skladom</v>
          </cell>
          <cell r="D667">
            <v>0</v>
          </cell>
          <cell r="E667">
            <v>0</v>
          </cell>
          <cell r="F667">
            <v>0</v>
          </cell>
          <cell r="I667" t="e">
            <v>#VALUE!</v>
          </cell>
          <cell r="J667" t="e">
            <v>#VALUE!</v>
          </cell>
          <cell r="K667" t="e">
            <v>#VALUE!</v>
          </cell>
          <cell r="L667" t="e">
            <v>#VALUE!</v>
          </cell>
          <cell r="N667" t="e">
            <v>#VALUE!</v>
          </cell>
          <cell r="O667" t="e">
            <v>#VALUE!</v>
          </cell>
          <cell r="P667" t="e">
            <v>#VALUE!</v>
          </cell>
          <cell r="Q667" t="e">
            <v>#VALUE!</v>
          </cell>
          <cell r="R667" t="e">
            <v>#VALUE!</v>
          </cell>
          <cell r="S667" t="e">
            <v>#VALUE!</v>
          </cell>
          <cell r="T667" t="e">
            <v>#VALUE!</v>
          </cell>
          <cell r="U667" t="e">
            <v>#VALUE!</v>
          </cell>
          <cell r="V667">
            <v>0</v>
          </cell>
          <cell r="W667">
            <v>0</v>
          </cell>
          <cell r="X667">
            <v>0</v>
          </cell>
          <cell r="Y667" t="e">
            <v>#VALUE!</v>
          </cell>
          <cell r="Z667" t="str">
            <v xml:space="preserve"> </v>
          </cell>
          <cell r="AA667" t="e">
            <v>#VALUE!</v>
          </cell>
          <cell r="AB667" t="e">
            <v>#VALUE!</v>
          </cell>
        </row>
        <row r="668">
          <cell r="A668">
            <v>4402</v>
          </cell>
          <cell r="C668" t="str">
            <v>Dana posojila javnim podjetjem</v>
          </cell>
          <cell r="D668">
            <v>0</v>
          </cell>
          <cell r="E668">
            <v>0</v>
          </cell>
          <cell r="F668">
            <v>0</v>
          </cell>
          <cell r="I668" t="e">
            <v>#VALUE!</v>
          </cell>
          <cell r="J668" t="e">
            <v>#VALUE!</v>
          </cell>
          <cell r="K668" t="e">
            <v>#VALUE!</v>
          </cell>
          <cell r="L668" t="e">
            <v>#VALUE!</v>
          </cell>
          <cell r="N668" t="e">
            <v>#VALUE!</v>
          </cell>
          <cell r="O668" t="e">
            <v>#VALUE!</v>
          </cell>
          <cell r="P668" t="e">
            <v>#VALUE!</v>
          </cell>
          <cell r="Q668" t="e">
            <v>#VALUE!</v>
          </cell>
          <cell r="R668" t="e">
            <v>#VALUE!</v>
          </cell>
          <cell r="S668" t="e">
            <v>#VALUE!</v>
          </cell>
          <cell r="T668" t="e">
            <v>#VALUE!</v>
          </cell>
          <cell r="U668" t="e">
            <v>#VALUE!</v>
          </cell>
          <cell r="V668">
            <v>0</v>
          </cell>
          <cell r="W668">
            <v>0</v>
          </cell>
          <cell r="X668">
            <v>0</v>
          </cell>
          <cell r="Y668" t="e">
            <v>#VALUE!</v>
          </cell>
          <cell r="Z668" t="str">
            <v xml:space="preserve"> </v>
          </cell>
          <cell r="AA668" t="e">
            <v>#VALUE!</v>
          </cell>
          <cell r="AB668" t="e">
            <v>#VALUE!</v>
          </cell>
        </row>
        <row r="669">
          <cell r="A669">
            <v>4403</v>
          </cell>
          <cell r="C669" t="str">
            <v>Dana posojila finančnim institucijam</v>
          </cell>
          <cell r="D669">
            <v>0</v>
          </cell>
          <cell r="E669">
            <v>0</v>
          </cell>
          <cell r="F669">
            <v>0</v>
          </cell>
          <cell r="I669" t="e">
            <v>#VALUE!</v>
          </cell>
          <cell r="J669" t="e">
            <v>#VALUE!</v>
          </cell>
          <cell r="K669" t="e">
            <v>#VALUE!</v>
          </cell>
          <cell r="L669" t="e">
            <v>#VALUE!</v>
          </cell>
          <cell r="N669" t="e">
            <v>#VALUE!</v>
          </cell>
          <cell r="O669" t="e">
            <v>#VALUE!</v>
          </cell>
          <cell r="P669" t="e">
            <v>#VALUE!</v>
          </cell>
          <cell r="Q669" t="e">
            <v>#VALUE!</v>
          </cell>
          <cell r="R669" t="e">
            <v>#VALUE!</v>
          </cell>
          <cell r="S669" t="e">
            <v>#VALUE!</v>
          </cell>
          <cell r="T669" t="e">
            <v>#VALUE!</v>
          </cell>
          <cell r="U669" t="e">
            <v>#VALUE!</v>
          </cell>
          <cell r="V669">
            <v>0</v>
          </cell>
          <cell r="W669">
            <v>0</v>
          </cell>
          <cell r="X669">
            <v>0</v>
          </cell>
          <cell r="Y669" t="e">
            <v>#VALUE!</v>
          </cell>
          <cell r="Z669" t="str">
            <v xml:space="preserve"> </v>
          </cell>
          <cell r="AA669" t="e">
            <v>#VALUE!</v>
          </cell>
          <cell r="AB669" t="e">
            <v>#VALUE!</v>
          </cell>
        </row>
        <row r="670">
          <cell r="A670">
            <v>4404</v>
          </cell>
          <cell r="C670" t="str">
            <v>Dana posojila privatnim podjetjem in zasebnikom</v>
          </cell>
          <cell r="D670">
            <v>5897483.6434299992</v>
          </cell>
          <cell r="E670">
            <v>5419415</v>
          </cell>
          <cell r="F670">
            <v>478068.64342999924</v>
          </cell>
          <cell r="G670">
            <v>115.73578616225937</v>
          </cell>
          <cell r="H670">
            <v>6.2771222793933674</v>
          </cell>
          <cell r="I670" t="e">
            <v>#VALUE!</v>
          </cell>
          <cell r="J670" t="e">
            <v>#VALUE!</v>
          </cell>
          <cell r="K670" t="e">
            <v>#VALUE!</v>
          </cell>
          <cell r="L670" t="e">
            <v>#VALUE!</v>
          </cell>
          <cell r="N670" t="e">
            <v>#VALUE!</v>
          </cell>
          <cell r="O670" t="e">
            <v>#VALUE!</v>
          </cell>
          <cell r="P670" t="e">
            <v>#VALUE!</v>
          </cell>
          <cell r="Q670" t="e">
            <v>#VALUE!</v>
          </cell>
          <cell r="R670" t="e">
            <v>#VALUE!</v>
          </cell>
          <cell r="S670" t="e">
            <v>#VALUE!</v>
          </cell>
          <cell r="T670" t="e">
            <v>#VALUE!</v>
          </cell>
          <cell r="U670" t="e">
            <v>#VALUE!</v>
          </cell>
          <cell r="V670">
            <v>81509</v>
          </cell>
          <cell r="W670">
            <v>1238700</v>
          </cell>
          <cell r="X670">
            <v>0</v>
          </cell>
          <cell r="Y670" t="e">
            <v>#VALUE!</v>
          </cell>
          <cell r="Z670" t="str">
            <v xml:space="preserve"> </v>
          </cell>
          <cell r="AA670" t="e">
            <v>#VALUE!</v>
          </cell>
          <cell r="AB670" t="e">
            <v>#VALUE!</v>
          </cell>
        </row>
        <row r="671">
          <cell r="C671" t="str">
            <v xml:space="preserve"> - jamstva Republike Slovenije (MF)</v>
          </cell>
          <cell r="E671">
            <v>216336</v>
          </cell>
          <cell r="I671">
            <v>0</v>
          </cell>
          <cell r="J671">
            <v>0</v>
          </cell>
          <cell r="K671">
            <v>0</v>
          </cell>
          <cell r="L671">
            <v>0</v>
          </cell>
          <cell r="N671">
            <v>0</v>
          </cell>
          <cell r="O671">
            <v>0</v>
          </cell>
          <cell r="P671">
            <v>0</v>
          </cell>
          <cell r="R671">
            <v>0</v>
          </cell>
          <cell r="S671">
            <v>0</v>
          </cell>
          <cell r="T671">
            <v>0</v>
          </cell>
          <cell r="U671">
            <v>0</v>
          </cell>
          <cell r="V671">
            <v>216336</v>
          </cell>
          <cell r="W671">
            <v>216336</v>
          </cell>
          <cell r="X671">
            <v>216336</v>
          </cell>
          <cell r="Z671">
            <v>216336</v>
          </cell>
        </row>
        <row r="672">
          <cell r="C672" t="str">
            <v xml:space="preserve"> - druga dana posojila (MGD)</v>
          </cell>
          <cell r="E672">
            <v>5203079</v>
          </cell>
          <cell r="I672">
            <v>0</v>
          </cell>
          <cell r="J672">
            <v>0</v>
          </cell>
          <cell r="K672">
            <v>0</v>
          </cell>
          <cell r="L672">
            <v>0</v>
          </cell>
          <cell r="N672">
            <v>0</v>
          </cell>
          <cell r="O672">
            <v>0</v>
          </cell>
          <cell r="P672">
            <v>0</v>
          </cell>
          <cell r="R672">
            <v>0</v>
          </cell>
          <cell r="S672">
            <v>0</v>
          </cell>
          <cell r="T672">
            <v>0</v>
          </cell>
          <cell r="U672">
            <v>0</v>
          </cell>
          <cell r="V672">
            <v>-134827</v>
          </cell>
          <cell r="W672">
            <v>1022364</v>
          </cell>
          <cell r="X672">
            <v>-216336</v>
          </cell>
          <cell r="Z672" t="e">
            <v>#VALUE!</v>
          </cell>
        </row>
        <row r="673">
          <cell r="A673">
            <v>4405</v>
          </cell>
          <cell r="C673" t="str">
            <v>Dana posojila drugim ravnem države</v>
          </cell>
          <cell r="D673">
            <v>0</v>
          </cell>
          <cell r="E673">
            <v>0</v>
          </cell>
          <cell r="F673">
            <v>0</v>
          </cell>
          <cell r="I673" t="e">
            <v>#VALUE!</v>
          </cell>
          <cell r="J673" t="e">
            <v>#VALUE!</v>
          </cell>
          <cell r="K673" t="e">
            <v>#VALUE!</v>
          </cell>
          <cell r="L673" t="e">
            <v>#VALUE!</v>
          </cell>
          <cell r="N673" t="e">
            <v>#VALUE!</v>
          </cell>
          <cell r="O673" t="e">
            <v>#VALUE!</v>
          </cell>
          <cell r="P673" t="e">
            <v>#VALUE!</v>
          </cell>
          <cell r="Q673" t="e">
            <v>#VALUE!</v>
          </cell>
          <cell r="R673" t="e">
            <v>#VALUE!</v>
          </cell>
          <cell r="S673" t="e">
            <v>#VALUE!</v>
          </cell>
          <cell r="T673" t="e">
            <v>#VALUE!</v>
          </cell>
          <cell r="U673" t="e">
            <v>#VALUE!</v>
          </cell>
          <cell r="V673">
            <v>0</v>
          </cell>
          <cell r="W673">
            <v>0</v>
          </cell>
          <cell r="X673">
            <v>0</v>
          </cell>
          <cell r="Y673" t="e">
            <v>#VALUE!</v>
          </cell>
          <cell r="Z673" t="str">
            <v xml:space="preserve"> </v>
          </cell>
          <cell r="AA673" t="e">
            <v>#VALUE!</v>
          </cell>
          <cell r="AB673" t="e">
            <v>#VALUE!</v>
          </cell>
        </row>
        <row r="674">
          <cell r="A674">
            <v>4406</v>
          </cell>
          <cell r="C674" t="str">
            <v>Dana posojila v tujino</v>
          </cell>
          <cell r="D674">
            <v>0</v>
          </cell>
          <cell r="E674">
            <v>0</v>
          </cell>
          <cell r="F674">
            <v>0</v>
          </cell>
          <cell r="I674" t="e">
            <v>#VALUE!</v>
          </cell>
          <cell r="J674" t="e">
            <v>#VALUE!</v>
          </cell>
          <cell r="K674" t="e">
            <v>#VALUE!</v>
          </cell>
          <cell r="L674" t="e">
            <v>#VALUE!</v>
          </cell>
          <cell r="N674" t="e">
            <v>#VALUE!</v>
          </cell>
          <cell r="O674" t="e">
            <v>#VALUE!</v>
          </cell>
          <cell r="P674" t="e">
            <v>#VALUE!</v>
          </cell>
          <cell r="Q674" t="e">
            <v>#VALUE!</v>
          </cell>
          <cell r="R674" t="e">
            <v>#VALUE!</v>
          </cell>
          <cell r="S674" t="e">
            <v>#VALUE!</v>
          </cell>
          <cell r="T674" t="e">
            <v>#VALUE!</v>
          </cell>
          <cell r="U674" t="e">
            <v>#VALUE!</v>
          </cell>
          <cell r="V674">
            <v>0</v>
          </cell>
          <cell r="W674">
            <v>0</v>
          </cell>
          <cell r="X674">
            <v>0</v>
          </cell>
          <cell r="Y674" t="e">
            <v>#VALUE!</v>
          </cell>
          <cell r="Z674" t="str">
            <v xml:space="preserve"> </v>
          </cell>
          <cell r="AA674" t="e">
            <v>#VALUE!</v>
          </cell>
          <cell r="AB674" t="e">
            <v>#VALUE!</v>
          </cell>
        </row>
        <row r="675">
          <cell r="C675" t="str">
            <v xml:space="preserve"> </v>
          </cell>
        </row>
        <row r="676">
          <cell r="A676">
            <v>441</v>
          </cell>
          <cell r="C676" t="str">
            <v xml:space="preserve">POVEČANJE KAPITALSKIH DELEŽEV </v>
          </cell>
          <cell r="D676">
            <v>1487033.39683</v>
          </cell>
          <cell r="E676">
            <v>22895100</v>
          </cell>
          <cell r="F676">
            <v>-21408066.60317</v>
          </cell>
          <cell r="G676">
            <v>40.85669641408802</v>
          </cell>
          <cell r="H676">
            <v>-62.482372438853979</v>
          </cell>
          <cell r="I676" t="e">
            <v>#VALUE!</v>
          </cell>
          <cell r="J676" t="e">
            <v>#VALUE!</v>
          </cell>
          <cell r="K676" t="e">
            <v>#VALUE!</v>
          </cell>
          <cell r="L676" t="e">
            <v>#VALUE!</v>
          </cell>
          <cell r="N676" t="e">
            <v>#VALUE!</v>
          </cell>
          <cell r="O676" t="e">
            <v>#VALUE!</v>
          </cell>
          <cell r="P676" t="e">
            <v>#VALUE!</v>
          </cell>
          <cell r="Q676" t="e">
            <v>#VALUE!</v>
          </cell>
          <cell r="R676" t="e">
            <v>#VALUE!</v>
          </cell>
          <cell r="S676" t="e">
            <v>#VALUE!</v>
          </cell>
          <cell r="T676" t="e">
            <v>#VALUE!</v>
          </cell>
          <cell r="U676" t="e">
            <v>#VALUE!</v>
          </cell>
          <cell r="V676">
            <v>408636</v>
          </cell>
          <cell r="W676">
            <v>0</v>
          </cell>
          <cell r="X676">
            <v>0</v>
          </cell>
          <cell r="Y676" t="e">
            <v>#VALUE!</v>
          </cell>
          <cell r="Z676">
            <v>0</v>
          </cell>
          <cell r="AA676" t="e">
            <v>#VALUE!</v>
          </cell>
          <cell r="AB676" t="e">
            <v>#VALUE!</v>
          </cell>
        </row>
        <row r="677">
          <cell r="A677">
            <v>4410</v>
          </cell>
          <cell r="C677" t="str">
            <v>Povečanje kapitalskih deležev v javnih podjetjih</v>
          </cell>
          <cell r="D677">
            <v>805026.51249999995</v>
          </cell>
          <cell r="E677">
            <v>17409000</v>
          </cell>
          <cell r="F677">
            <v>-16603973.487500001</v>
          </cell>
          <cell r="G677">
            <v>25.196447965571206</v>
          </cell>
          <cell r="H677">
            <v>-76.86276587183545</v>
          </cell>
          <cell r="I677" t="e">
            <v>#VALUE!</v>
          </cell>
          <cell r="J677" t="e">
            <v>#VALUE!</v>
          </cell>
          <cell r="K677" t="e">
            <v>#VALUE!</v>
          </cell>
          <cell r="L677" t="e">
            <v>#VALUE!</v>
          </cell>
          <cell r="N677" t="e">
            <v>#VALUE!</v>
          </cell>
          <cell r="O677" t="e">
            <v>#VALUE!</v>
          </cell>
          <cell r="P677" t="e">
            <v>#VALUE!</v>
          </cell>
          <cell r="Q677" t="e">
            <v>#VALUE!</v>
          </cell>
          <cell r="R677" t="e">
            <v>#VALUE!</v>
          </cell>
          <cell r="S677" t="e">
            <v>#VALUE!</v>
          </cell>
          <cell r="T677" t="e">
            <v>#VALUE!</v>
          </cell>
          <cell r="U677" t="e">
            <v>#VALUE!</v>
          </cell>
          <cell r="V677">
            <v>408636</v>
          </cell>
          <cell r="W677">
            <v>0</v>
          </cell>
          <cell r="X677">
            <v>0</v>
          </cell>
          <cell r="Y677" t="e">
            <v>#VALUE!</v>
          </cell>
          <cell r="Z677" t="str">
            <v xml:space="preserve"> </v>
          </cell>
          <cell r="AA677" t="e">
            <v>#VALUE!</v>
          </cell>
          <cell r="AB677" t="e">
            <v>#VALUE!</v>
          </cell>
        </row>
        <row r="678">
          <cell r="A678">
            <v>4411</v>
          </cell>
          <cell r="C678" t="str">
            <v>Povečanje kapitalskih deležev v finančnih institucijah</v>
          </cell>
          <cell r="D678">
            <v>0</v>
          </cell>
          <cell r="E678">
            <v>5486100</v>
          </cell>
          <cell r="F678">
            <v>-5486100</v>
          </cell>
          <cell r="G678" t="str">
            <v>…</v>
          </cell>
          <cell r="H678" t="str">
            <v>…</v>
          </cell>
          <cell r="I678" t="e">
            <v>#VALUE!</v>
          </cell>
          <cell r="J678" t="e">
            <v>#VALUE!</v>
          </cell>
          <cell r="K678" t="e">
            <v>#VALUE!</v>
          </cell>
          <cell r="L678" t="e">
            <v>#VALUE!</v>
          </cell>
          <cell r="N678" t="e">
            <v>#VALUE!</v>
          </cell>
          <cell r="O678" t="e">
            <v>#VALUE!</v>
          </cell>
          <cell r="P678" t="e">
            <v>#VALUE!</v>
          </cell>
          <cell r="Q678" t="e">
            <v>#VALUE!</v>
          </cell>
          <cell r="R678" t="e">
            <v>#VALUE!</v>
          </cell>
          <cell r="S678" t="e">
            <v>#VALUE!</v>
          </cell>
          <cell r="T678" t="e">
            <v>#VALUE!</v>
          </cell>
          <cell r="U678" t="e">
            <v>#VALUE!</v>
          </cell>
          <cell r="V678">
            <v>0</v>
          </cell>
          <cell r="W678">
            <v>0</v>
          </cell>
          <cell r="X678">
            <v>0</v>
          </cell>
          <cell r="Y678" t="e">
            <v>#VALUE!</v>
          </cell>
          <cell r="Z678" t="str">
            <v xml:space="preserve"> </v>
          </cell>
          <cell r="AA678" t="e">
            <v>#VALUE!</v>
          </cell>
          <cell r="AB678" t="e">
            <v>#VALUE!</v>
          </cell>
        </row>
        <row r="679">
          <cell r="A679">
            <v>4412</v>
          </cell>
          <cell r="C679" t="str">
            <v>Povečanje kapitalskih deležev v privatnih podjetjih</v>
          </cell>
          <cell r="D679">
            <v>0</v>
          </cell>
          <cell r="E679">
            <v>0</v>
          </cell>
          <cell r="F679">
            <v>0</v>
          </cell>
          <cell r="I679" t="e">
            <v>#VALUE!</v>
          </cell>
          <cell r="J679" t="e">
            <v>#VALUE!</v>
          </cell>
          <cell r="K679" t="e">
            <v>#VALUE!</v>
          </cell>
          <cell r="L679" t="e">
            <v>#VALUE!</v>
          </cell>
          <cell r="N679" t="e">
            <v>#VALUE!</v>
          </cell>
          <cell r="O679" t="e">
            <v>#VALUE!</v>
          </cell>
          <cell r="P679" t="e">
            <v>#VALUE!</v>
          </cell>
          <cell r="Q679" t="e">
            <v>#VALUE!</v>
          </cell>
          <cell r="R679" t="e">
            <v>#VALUE!</v>
          </cell>
          <cell r="S679" t="e">
            <v>#VALUE!</v>
          </cell>
          <cell r="T679" t="e">
            <v>#VALUE!</v>
          </cell>
          <cell r="U679" t="e">
            <v>#VALUE!</v>
          </cell>
          <cell r="V679">
            <v>0</v>
          </cell>
          <cell r="W679">
            <v>0</v>
          </cell>
          <cell r="X679">
            <v>0</v>
          </cell>
          <cell r="Y679" t="e">
            <v>#VALUE!</v>
          </cell>
          <cell r="Z679" t="str">
            <v xml:space="preserve"> </v>
          </cell>
          <cell r="AA679" t="e">
            <v>#VALUE!</v>
          </cell>
          <cell r="AB679" t="e">
            <v>#VALUE!</v>
          </cell>
        </row>
        <row r="680">
          <cell r="A680">
            <v>4413</v>
          </cell>
          <cell r="C680" t="str">
            <v>Skupna vlaganja (joint ventures)</v>
          </cell>
          <cell r="D680">
            <v>0</v>
          </cell>
          <cell r="E680">
            <v>0</v>
          </cell>
          <cell r="F680">
            <v>0</v>
          </cell>
          <cell r="I680" t="e">
            <v>#VALUE!</v>
          </cell>
          <cell r="J680" t="e">
            <v>#VALUE!</v>
          </cell>
          <cell r="K680" t="e">
            <v>#VALUE!</v>
          </cell>
          <cell r="L680" t="e">
            <v>#VALUE!</v>
          </cell>
          <cell r="N680" t="e">
            <v>#VALUE!</v>
          </cell>
          <cell r="O680" t="e">
            <v>#VALUE!</v>
          </cell>
          <cell r="P680" t="e">
            <v>#VALUE!</v>
          </cell>
          <cell r="Q680" t="e">
            <v>#VALUE!</v>
          </cell>
          <cell r="R680" t="e">
            <v>#VALUE!</v>
          </cell>
          <cell r="S680" t="e">
            <v>#VALUE!</v>
          </cell>
          <cell r="T680" t="e">
            <v>#VALUE!</v>
          </cell>
          <cell r="U680" t="e">
            <v>#VALUE!</v>
          </cell>
          <cell r="V680">
            <v>0</v>
          </cell>
          <cell r="W680">
            <v>0</v>
          </cell>
          <cell r="X680">
            <v>0</v>
          </cell>
          <cell r="Y680" t="e">
            <v>#VALUE!</v>
          </cell>
          <cell r="Z680" t="str">
            <v xml:space="preserve"> </v>
          </cell>
          <cell r="AA680" t="e">
            <v>#VALUE!</v>
          </cell>
          <cell r="AB680" t="e">
            <v>#VALUE!</v>
          </cell>
        </row>
        <row r="681">
          <cell r="A681">
            <v>4414</v>
          </cell>
          <cell r="C681" t="str">
            <v>Povečanje kapitalskih deležev v tujino</v>
          </cell>
          <cell r="D681">
            <v>257075.88433</v>
          </cell>
          <cell r="E681">
            <v>0</v>
          </cell>
          <cell r="F681">
            <v>257075.88433</v>
          </cell>
          <cell r="G681">
            <v>87.253212254609139</v>
          </cell>
          <cell r="H681">
            <v>-19.877674697328615</v>
          </cell>
          <cell r="I681" t="e">
            <v>#VALUE!</v>
          </cell>
          <cell r="J681" t="e">
            <v>#VALUE!</v>
          </cell>
          <cell r="K681" t="e">
            <v>#VALUE!</v>
          </cell>
          <cell r="L681" t="e">
            <v>#VALUE!</v>
          </cell>
          <cell r="N681" t="e">
            <v>#VALUE!</v>
          </cell>
          <cell r="O681" t="e">
            <v>#VALUE!</v>
          </cell>
          <cell r="P681" t="e">
            <v>#VALUE!</v>
          </cell>
          <cell r="Q681" t="e">
            <v>#VALUE!</v>
          </cell>
          <cell r="R681" t="e">
            <v>#VALUE!</v>
          </cell>
          <cell r="S681" t="e">
            <v>#VALUE!</v>
          </cell>
          <cell r="T681" t="e">
            <v>#VALUE!</v>
          </cell>
          <cell r="U681" t="e">
            <v>#VALUE!</v>
          </cell>
          <cell r="V681">
            <v>0</v>
          </cell>
          <cell r="W681">
            <v>0</v>
          </cell>
          <cell r="X681">
            <v>0</v>
          </cell>
          <cell r="Y681" t="e">
            <v>#VALUE!</v>
          </cell>
          <cell r="Z681" t="str">
            <v xml:space="preserve"> </v>
          </cell>
          <cell r="AA681" t="e">
            <v>#VALUE!</v>
          </cell>
          <cell r="AB681" t="e">
            <v>#VALUE!</v>
          </cell>
        </row>
        <row r="682">
          <cell r="A682">
            <v>4415</v>
          </cell>
          <cell r="C682" t="str">
            <v>Povečanje drugih finančnih naložb</v>
          </cell>
          <cell r="D682">
            <v>424931</v>
          </cell>
          <cell r="E682">
            <v>0</v>
          </cell>
          <cell r="F682">
            <v>424931</v>
          </cell>
        </row>
        <row r="684">
          <cell r="A684">
            <v>442</v>
          </cell>
          <cell r="C684" t="str">
            <v>PORABA SREDSTEV KUPNIN IZ NASLOVA PRIVATIZACIJE</v>
          </cell>
          <cell r="D684">
            <v>5009009.9453199999</v>
          </cell>
          <cell r="E684">
            <v>3500000</v>
          </cell>
          <cell r="F684">
            <v>1509009.9453199999</v>
          </cell>
          <cell r="G684">
            <v>65.660588850961645</v>
          </cell>
          <cell r="H684">
            <v>-39.705611707105923</v>
          </cell>
          <cell r="I684" t="e">
            <v>#VALUE!</v>
          </cell>
          <cell r="J684" t="e">
            <v>#VALUE!</v>
          </cell>
          <cell r="K684" t="e">
            <v>#VALUE!</v>
          </cell>
          <cell r="L684" t="e">
            <v>#VALUE!</v>
          </cell>
          <cell r="N684" t="e">
            <v>#VALUE!</v>
          </cell>
          <cell r="O684" t="e">
            <v>#VALUE!</v>
          </cell>
          <cell r="P684" t="e">
            <v>#VALUE!</v>
          </cell>
          <cell r="Q684" t="e">
            <v>#VALUE!</v>
          </cell>
          <cell r="R684" t="e">
            <v>#VALUE!</v>
          </cell>
          <cell r="S684" t="e">
            <v>#VALUE!</v>
          </cell>
          <cell r="T684" t="e">
            <v>#VALUE!</v>
          </cell>
          <cell r="U684" t="e">
            <v>#VALUE!</v>
          </cell>
          <cell r="V684">
            <v>752288</v>
          </cell>
          <cell r="W684">
            <v>0</v>
          </cell>
          <cell r="X684">
            <v>0</v>
          </cell>
          <cell r="Y684" t="e">
            <v>#VALUE!</v>
          </cell>
          <cell r="Z684" t="e">
            <v>#VALUE!</v>
          </cell>
          <cell r="AA684" t="e">
            <v>#VALUE!</v>
          </cell>
          <cell r="AB684" t="e">
            <v>#VALUE!</v>
          </cell>
        </row>
        <row r="685">
          <cell r="A685" t="str">
            <v xml:space="preserve"> </v>
          </cell>
          <cell r="C685" t="str">
            <v>PODJETIJ</v>
          </cell>
        </row>
        <row r="686">
          <cell r="A686">
            <v>4420</v>
          </cell>
          <cell r="C686" t="str">
            <v xml:space="preserve">Dana posojila iz sredstev kupnin </v>
          </cell>
          <cell r="D686">
            <v>976334.08</v>
          </cell>
          <cell r="E686">
            <v>665000</v>
          </cell>
          <cell r="F686">
            <v>311334.08</v>
          </cell>
          <cell r="G686">
            <v>43.985372659740442</v>
          </cell>
          <cell r="H686">
            <v>-59.60939149702439</v>
          </cell>
          <cell r="I686" t="e">
            <v>#VALUE!</v>
          </cell>
          <cell r="J686" t="e">
            <v>#VALUE!</v>
          </cell>
          <cell r="K686" t="e">
            <v>#VALUE!</v>
          </cell>
          <cell r="L686" t="e">
            <v>#VALUE!</v>
          </cell>
          <cell r="N686" t="e">
            <v>#VALUE!</v>
          </cell>
          <cell r="O686" t="e">
            <v>#VALUE!</v>
          </cell>
          <cell r="P686" t="e">
            <v>#VALUE!</v>
          </cell>
          <cell r="Q686" t="e">
            <v>#VALUE!</v>
          </cell>
          <cell r="R686" t="e">
            <v>#VALUE!</v>
          </cell>
          <cell r="S686" t="e">
            <v>#VALUE!</v>
          </cell>
          <cell r="T686" t="e">
            <v>#VALUE!</v>
          </cell>
          <cell r="U686" t="e">
            <v>#VALUE!</v>
          </cell>
          <cell r="V686">
            <v>115000</v>
          </cell>
          <cell r="W686">
            <v>0</v>
          </cell>
          <cell r="X686">
            <v>0</v>
          </cell>
          <cell r="Y686" t="e">
            <v>#VALUE!</v>
          </cell>
          <cell r="Z686" t="str">
            <v xml:space="preserve"> </v>
          </cell>
          <cell r="AA686" t="e">
            <v>#VALUE!</v>
          </cell>
          <cell r="AB686" t="e">
            <v>#VALUE!</v>
          </cell>
        </row>
        <row r="687">
          <cell r="A687">
            <v>4421</v>
          </cell>
          <cell r="C687" t="str">
            <v xml:space="preserve">Sredstva kupnin, razporejena v javne sklade in agencije </v>
          </cell>
          <cell r="D687">
            <v>3532675.8653200003</v>
          </cell>
          <cell r="E687">
            <v>2835000</v>
          </cell>
          <cell r="F687">
            <v>697675.86532000033</v>
          </cell>
          <cell r="G687">
            <v>65.311542555400209</v>
          </cell>
          <cell r="H687">
            <v>-40.026131721395586</v>
          </cell>
          <cell r="I687" t="e">
            <v>#VALUE!</v>
          </cell>
          <cell r="J687" t="e">
            <v>#VALUE!</v>
          </cell>
          <cell r="K687" t="e">
            <v>#VALUE!</v>
          </cell>
          <cell r="L687" t="e">
            <v>#VALUE!</v>
          </cell>
          <cell r="N687" t="e">
            <v>#VALUE!</v>
          </cell>
          <cell r="O687" t="e">
            <v>#VALUE!</v>
          </cell>
          <cell r="P687" t="e">
            <v>#VALUE!</v>
          </cell>
          <cell r="Q687" t="e">
            <v>#VALUE!</v>
          </cell>
          <cell r="R687" t="e">
            <v>#VALUE!</v>
          </cell>
          <cell r="S687" t="e">
            <v>#VALUE!</v>
          </cell>
          <cell r="T687" t="e">
            <v>#VALUE!</v>
          </cell>
          <cell r="U687" t="e">
            <v>#VALUE!</v>
          </cell>
          <cell r="V687">
            <v>637288</v>
          </cell>
          <cell r="W687">
            <v>0</v>
          </cell>
          <cell r="X687">
            <v>0</v>
          </cell>
          <cell r="Y687" t="e">
            <v>#VALUE!</v>
          </cell>
          <cell r="Z687" t="str">
            <v xml:space="preserve"> </v>
          </cell>
          <cell r="AA687" t="e">
            <v>#VALUE!</v>
          </cell>
          <cell r="AB687" t="e">
            <v>#VALUE!</v>
          </cell>
        </row>
        <row r="688">
          <cell r="A688">
            <v>4422</v>
          </cell>
          <cell r="C688" t="str">
            <v>Povečanje kapitalskih deležev države iz sredstev kupnin</v>
          </cell>
          <cell r="D688">
            <v>500000</v>
          </cell>
          <cell r="E688">
            <v>0</v>
          </cell>
          <cell r="F688">
            <v>500000</v>
          </cell>
          <cell r="G688" t="str">
            <v>…</v>
          </cell>
          <cell r="H688" t="str">
            <v>…</v>
          </cell>
          <cell r="I688" t="e">
            <v>#VALUE!</v>
          </cell>
          <cell r="J688" t="e">
            <v>#VALUE!</v>
          </cell>
          <cell r="K688" t="e">
            <v>#VALUE!</v>
          </cell>
          <cell r="L688" t="e">
            <v>#VALUE!</v>
          </cell>
          <cell r="N688" t="e">
            <v>#VALUE!</v>
          </cell>
          <cell r="O688" t="e">
            <v>#VALUE!</v>
          </cell>
          <cell r="P688" t="e">
            <v>#VALUE!</v>
          </cell>
          <cell r="Q688" t="e">
            <v>#VALUE!</v>
          </cell>
          <cell r="R688" t="e">
            <v>#VALUE!</v>
          </cell>
          <cell r="S688" t="e">
            <v>#VALUE!</v>
          </cell>
          <cell r="T688" t="e">
            <v>#VALUE!</v>
          </cell>
          <cell r="U688" t="e">
            <v>#VALUE!</v>
          </cell>
          <cell r="V688">
            <v>0</v>
          </cell>
          <cell r="W688">
            <v>0</v>
          </cell>
          <cell r="X688">
            <v>0</v>
          </cell>
          <cell r="Y688" t="e">
            <v>#VALUE!</v>
          </cell>
          <cell r="Z688" t="str">
            <v xml:space="preserve"> </v>
          </cell>
          <cell r="AA688" t="e">
            <v>#VALUE!</v>
          </cell>
          <cell r="AB688" t="e">
            <v>#VALUE!</v>
          </cell>
        </row>
        <row r="691">
          <cell r="A691" t="str">
            <v xml:space="preserve"> </v>
          </cell>
          <cell r="B691" t="str">
            <v>VI.</v>
          </cell>
          <cell r="C691" t="str">
            <v>PREJETA MINUS DANA POSOJILA</v>
          </cell>
          <cell r="D691">
            <v>4898590.3233000021</v>
          </cell>
          <cell r="E691">
            <v>-934215</v>
          </cell>
          <cell r="F691">
            <v>5832805.3233000021</v>
          </cell>
          <cell r="G691" t="str">
            <v>…</v>
          </cell>
          <cell r="H691" t="str">
            <v>…</v>
          </cell>
          <cell r="I691" t="e">
            <v>#VALUE!</v>
          </cell>
          <cell r="J691" t="e">
            <v>#VALUE!</v>
          </cell>
          <cell r="K691" t="e">
            <v>#VALUE!</v>
          </cell>
          <cell r="L691" t="e">
            <v>#VALUE!</v>
          </cell>
          <cell r="N691" t="e">
            <v>#VALUE!</v>
          </cell>
          <cell r="O691" t="e">
            <v>#VALUE!</v>
          </cell>
          <cell r="P691" t="e">
            <v>#VALUE!</v>
          </cell>
          <cell r="Q691" t="e">
            <v>#VALUE!</v>
          </cell>
          <cell r="R691" t="e">
            <v>#VALUE!</v>
          </cell>
          <cell r="S691" t="e">
            <v>#VALUE!</v>
          </cell>
          <cell r="T691" t="e">
            <v>#VALUE!</v>
          </cell>
          <cell r="U691" t="e">
            <v>#VALUE!</v>
          </cell>
          <cell r="V691">
            <v>-1234642</v>
          </cell>
          <cell r="W691">
            <v>1881340</v>
          </cell>
          <cell r="X691">
            <v>0</v>
          </cell>
          <cell r="Y691" t="e">
            <v>#VALUE!</v>
          </cell>
          <cell r="Z691" t="e">
            <v>#VALUE!</v>
          </cell>
          <cell r="AA691" t="str">
            <v>…</v>
          </cell>
          <cell r="AB691" t="str">
            <v>…</v>
          </cell>
        </row>
        <row r="692">
          <cell r="C692" t="str">
            <v xml:space="preserve">IN SPREMEMBE KAPITALSKIH </v>
          </cell>
        </row>
        <row r="693">
          <cell r="C693" t="str">
            <v xml:space="preserve"> DELEŽEV (IV. - V.)</v>
          </cell>
        </row>
        <row r="695">
          <cell r="A695" t="str">
            <v xml:space="preserve"> </v>
          </cell>
          <cell r="B695" t="str">
            <v>VII.</v>
          </cell>
          <cell r="C695" t="str">
            <v xml:space="preserve">SKUPNI PRESEŽEK (PRIMANJKLJAJ) </v>
          </cell>
          <cell r="D695">
            <v>-33700335.923279881</v>
          </cell>
          <cell r="E695">
            <v>-39327349.630328059</v>
          </cell>
          <cell r="I695" t="e">
            <v>#VALUE!</v>
          </cell>
          <cell r="J695" t="e">
            <v>#VALUE!</v>
          </cell>
          <cell r="K695" t="e">
            <v>#VALUE!</v>
          </cell>
          <cell r="O695" t="e">
            <v>#VALUE!</v>
          </cell>
          <cell r="P695" t="e">
            <v>#VALUE!</v>
          </cell>
          <cell r="Q695" t="e">
            <v>#VALUE!</v>
          </cell>
          <cell r="R695" t="e">
            <v>#VALUE!</v>
          </cell>
          <cell r="S695" t="e">
            <v>#VALUE!</v>
          </cell>
          <cell r="T695" t="e">
            <v>#VALUE!</v>
          </cell>
          <cell r="U695" t="e">
            <v>#VALUE!</v>
          </cell>
          <cell r="V695">
            <v>29972372.699798822</v>
          </cell>
          <cell r="W695">
            <v>22183899.262124345</v>
          </cell>
          <cell r="X695">
            <v>17787611.889999993</v>
          </cell>
          <cell r="Y695" t="e">
            <v>#VALUE!</v>
          </cell>
          <cell r="Z695" t="e">
            <v>#VALUE!</v>
          </cell>
        </row>
        <row r="696">
          <cell r="C696" t="str">
            <v xml:space="preserve">(PRIHODKI MINUS ODHODKI TER </v>
          </cell>
        </row>
        <row r="697">
          <cell r="C697" t="str">
            <v>SALDO PREJETIH IN DANIH POSOJIL</v>
          </cell>
        </row>
        <row r="698">
          <cell r="C698" t="str">
            <v xml:space="preserve"> (I. + IV.) - (II.+ V.)</v>
          </cell>
        </row>
        <row r="704">
          <cell r="B704" t="str">
            <v>C.    R A Č U N    F I N A N C I R A N J A</v>
          </cell>
        </row>
        <row r="706">
          <cell r="A706" t="str">
            <v xml:space="preserve"> </v>
          </cell>
          <cell r="Q706" t="str">
            <v xml:space="preserve"> - V  TISOČIH   TOLARJEV</v>
          </cell>
          <cell r="X706" t="str">
            <v>- V TISOČ TOLARJIH</v>
          </cell>
        </row>
        <row r="707">
          <cell r="A707" t="str">
            <v xml:space="preserve"> </v>
          </cell>
          <cell r="B707" t="str">
            <v xml:space="preserve"> </v>
          </cell>
          <cell r="D707" t="str">
            <v>O C E N A</v>
          </cell>
          <cell r="E707" t="str">
            <v xml:space="preserve"> </v>
          </cell>
          <cell r="F707" t="str">
            <v>RAZLIKA</v>
          </cell>
          <cell r="G707" t="str">
            <v>NOMINALNI</v>
          </cell>
          <cell r="H707" t="str">
            <v>REALNE</v>
          </cell>
          <cell r="I707" t="str">
            <v xml:space="preserve"> </v>
          </cell>
          <cell r="L707" t="str">
            <v xml:space="preserve"> </v>
          </cell>
          <cell r="N707" t="str">
            <v xml:space="preserve"> </v>
          </cell>
          <cell r="O707" t="str">
            <v xml:space="preserve"> </v>
          </cell>
          <cell r="P707" t="str">
            <v xml:space="preserve"> </v>
          </cell>
          <cell r="Q707" t="str">
            <v xml:space="preserve"> </v>
          </cell>
          <cell r="R707" t="str">
            <v xml:space="preserve"> </v>
          </cell>
          <cell r="S707" t="str">
            <v xml:space="preserve"> </v>
          </cell>
          <cell r="T707" t="str">
            <v xml:space="preserve"> </v>
          </cell>
          <cell r="U707" t="str">
            <v xml:space="preserve"> </v>
          </cell>
          <cell r="Y707" t="str">
            <v xml:space="preserve"> </v>
          </cell>
          <cell r="Z707" t="str">
            <v xml:space="preserve"> </v>
          </cell>
          <cell r="AA707" t="str">
            <v>NOMINALNI</v>
          </cell>
          <cell r="AB707" t="str">
            <v>REALNE</v>
          </cell>
        </row>
        <row r="708">
          <cell r="A708" t="str">
            <v xml:space="preserve"> </v>
          </cell>
          <cell r="B708" t="str">
            <v xml:space="preserve"> </v>
          </cell>
          <cell r="C708" t="str">
            <v xml:space="preserve"> </v>
          </cell>
          <cell r="D708" t="str">
            <v>REALIZACIJE</v>
          </cell>
          <cell r="E708" t="str">
            <v>SPREJETI</v>
          </cell>
          <cell r="F708" t="str">
            <v xml:space="preserve">OCENA </v>
          </cell>
          <cell r="G708" t="str">
            <v>INDEKSI</v>
          </cell>
          <cell r="H708" t="str">
            <v>STOPNJE</v>
          </cell>
          <cell r="I708" t="str">
            <v>PROJEKCIJE</v>
          </cell>
          <cell r="J708" t="str">
            <v>PROJEKCIJE</v>
          </cell>
          <cell r="K708" t="str">
            <v>PROJEKCIJE</v>
          </cell>
          <cell r="L708" t="str">
            <v>SKUPAJ</v>
          </cell>
          <cell r="N708" t="str">
            <v>PROJEKCIJE</v>
          </cell>
          <cell r="O708" t="str">
            <v>PROJEKCIJE</v>
          </cell>
          <cell r="P708" t="str">
            <v>PROJEKCIJE</v>
          </cell>
          <cell r="Q708" t="str">
            <v>SKUPAJ</v>
          </cell>
          <cell r="R708" t="str">
            <v>PROJEKCIJE</v>
          </cell>
          <cell r="S708" t="str">
            <v>PROJEKCIJE</v>
          </cell>
          <cell r="T708" t="str">
            <v>PROJEKCIJE</v>
          </cell>
          <cell r="U708" t="str">
            <v>PROJEKCIJE</v>
          </cell>
          <cell r="V708" t="str">
            <v>PROJEKCIJE</v>
          </cell>
          <cell r="W708" t="str">
            <v>PROJEKCIJE</v>
          </cell>
          <cell r="X708" t="str">
            <v>PROJEKCIJE</v>
          </cell>
          <cell r="Y708" t="str">
            <v>PROJEKCIJE</v>
          </cell>
          <cell r="Z708" t="str">
            <v>PREDLOG</v>
          </cell>
          <cell r="AA708" t="str">
            <v>INDEKSI</v>
          </cell>
          <cell r="AB708" t="str">
            <v>STOPNJE</v>
          </cell>
        </row>
        <row r="709">
          <cell r="A709" t="str">
            <v>KONTO</v>
          </cell>
          <cell r="B709" t="str">
            <v xml:space="preserve"> </v>
          </cell>
          <cell r="C709" t="str">
            <v xml:space="preserve"> </v>
          </cell>
          <cell r="D709" t="str">
            <v>JANUAR -</v>
          </cell>
          <cell r="E709" t="str">
            <v>PRORAČUN</v>
          </cell>
          <cell r="F709">
            <v>2000</v>
          </cell>
          <cell r="G709" t="str">
            <v>RASTI</v>
          </cell>
          <cell r="H709" t="str">
            <v>RASTI</v>
          </cell>
          <cell r="I709" t="str">
            <v>JANUAR</v>
          </cell>
          <cell r="J709" t="str">
            <v>FEBRUAR</v>
          </cell>
          <cell r="K709" t="str">
            <v>MAREC</v>
          </cell>
          <cell r="L709" t="str">
            <v>JANUAR -</v>
          </cell>
          <cell r="N709" t="str">
            <v>APRIL</v>
          </cell>
          <cell r="O709" t="str">
            <v>MAJ</v>
          </cell>
          <cell r="P709" t="str">
            <v>JUNIJ</v>
          </cell>
          <cell r="Q709" t="str">
            <v>JANUAR -</v>
          </cell>
          <cell r="R709" t="str">
            <v>JULIJ</v>
          </cell>
          <cell r="S709" t="str">
            <v>AVGUST</v>
          </cell>
          <cell r="T709" t="str">
            <v>SEPTEMBER</v>
          </cell>
          <cell r="U709" t="str">
            <v>OKTOBER</v>
          </cell>
          <cell r="V709" t="str">
            <v>NOVEMBER</v>
          </cell>
          <cell r="W709" t="str">
            <v>DECEMBER</v>
          </cell>
          <cell r="X709" t="str">
            <v>JANUAR</v>
          </cell>
          <cell r="Y709" t="str">
            <v>JANUAR -</v>
          </cell>
          <cell r="Z709" t="str">
            <v>PRORAČUNA</v>
          </cell>
          <cell r="AA709" t="str">
            <v>RASTI</v>
          </cell>
          <cell r="AB709" t="str">
            <v>RASTI</v>
          </cell>
        </row>
        <row r="710">
          <cell r="A710" t="str">
            <v xml:space="preserve"> </v>
          </cell>
          <cell r="B710" t="str">
            <v xml:space="preserve"> </v>
          </cell>
          <cell r="C710" t="str">
            <v xml:space="preserve"> </v>
          </cell>
          <cell r="D710" t="str">
            <v>DECEMBER</v>
          </cell>
          <cell r="E710" t="str">
            <v>ZA LETO</v>
          </cell>
          <cell r="F710" t="str">
            <v>MINUS</v>
          </cell>
          <cell r="G710" t="str">
            <v>I.XII.2000/</v>
          </cell>
          <cell r="H710" t="str">
            <v>I.XII.2000/</v>
          </cell>
          <cell r="I710">
            <v>2001</v>
          </cell>
          <cell r="J710">
            <v>2001</v>
          </cell>
          <cell r="K710">
            <v>2001</v>
          </cell>
          <cell r="L710" t="str">
            <v>MAREC</v>
          </cell>
          <cell r="N710">
            <v>2001</v>
          </cell>
          <cell r="O710">
            <v>2001</v>
          </cell>
          <cell r="P710">
            <v>2001</v>
          </cell>
          <cell r="Q710" t="str">
            <v>JUNIJ</v>
          </cell>
          <cell r="R710">
            <v>2001</v>
          </cell>
          <cell r="S710">
            <v>2001</v>
          </cell>
          <cell r="T710">
            <v>2001</v>
          </cell>
          <cell r="U710">
            <v>2001</v>
          </cell>
          <cell r="V710">
            <v>2001</v>
          </cell>
          <cell r="W710">
            <v>2001</v>
          </cell>
          <cell r="X710">
            <v>2002</v>
          </cell>
          <cell r="Y710" t="str">
            <v>DECEMBER</v>
          </cell>
          <cell r="Z710" t="str">
            <v>ZA LETO</v>
          </cell>
          <cell r="AA710" t="str">
            <v>I.XII.2001/</v>
          </cell>
          <cell r="AB710" t="str">
            <v>I.XII.2001/</v>
          </cell>
        </row>
        <row r="711">
          <cell r="C711" t="str">
            <v xml:space="preserve"> </v>
          </cell>
          <cell r="D711" t="str">
            <v>2 0 0 0</v>
          </cell>
          <cell r="E711" t="str">
            <v>2 0 0 0</v>
          </cell>
          <cell r="F711" t="str">
            <v>SPR.PROR.</v>
          </cell>
          <cell r="G711" t="str">
            <v>I.-XII.1999</v>
          </cell>
          <cell r="H711" t="str">
            <v>I.-XII.1999</v>
          </cell>
          <cell r="I711" t="str">
            <v xml:space="preserve"> </v>
          </cell>
          <cell r="J711" t="str">
            <v xml:space="preserve"> </v>
          </cell>
          <cell r="K711" t="str">
            <v xml:space="preserve"> </v>
          </cell>
          <cell r="L711" t="str">
            <v>2 0 0 1</v>
          </cell>
          <cell r="N711" t="str">
            <v xml:space="preserve"> </v>
          </cell>
          <cell r="O711" t="str">
            <v xml:space="preserve"> </v>
          </cell>
          <cell r="P711" t="str">
            <v xml:space="preserve"> </v>
          </cell>
          <cell r="Q711" t="str">
            <v>2 0 0 1</v>
          </cell>
          <cell r="R711" t="str">
            <v xml:space="preserve"> </v>
          </cell>
          <cell r="S711" t="str">
            <v xml:space="preserve"> </v>
          </cell>
          <cell r="T711" t="str">
            <v xml:space="preserve"> </v>
          </cell>
          <cell r="U711" t="str">
            <v xml:space="preserve"> </v>
          </cell>
          <cell r="V711" t="str">
            <v xml:space="preserve"> </v>
          </cell>
          <cell r="W711" t="str">
            <v xml:space="preserve"> </v>
          </cell>
          <cell r="X711" t="str">
            <v>ZA LETO 2001</v>
          </cell>
          <cell r="Y711" t="str">
            <v>2 0 0 1</v>
          </cell>
          <cell r="Z711" t="str">
            <v>2 0 0 1</v>
          </cell>
          <cell r="AA711" t="str">
            <v>I.-XII.2000</v>
          </cell>
          <cell r="AB711" t="str">
            <v>I.-XII.2000</v>
          </cell>
        </row>
        <row r="712">
          <cell r="A712" t="str">
            <v xml:space="preserve"> </v>
          </cell>
          <cell r="D712" t="str">
            <v>(1)</v>
          </cell>
          <cell r="E712" t="str">
            <v>(2)</v>
          </cell>
          <cell r="F712" t="str">
            <v>(3=1-2)</v>
          </cell>
          <cell r="G712" t="str">
            <v xml:space="preserve"> </v>
          </cell>
          <cell r="H712" t="str">
            <v xml:space="preserve"> </v>
          </cell>
          <cell r="I712" t="str">
            <v xml:space="preserve"> </v>
          </cell>
          <cell r="J712" t="str">
            <v xml:space="preserve"> </v>
          </cell>
          <cell r="K712" t="str">
            <v xml:space="preserve"> </v>
          </cell>
          <cell r="L712" t="str">
            <v xml:space="preserve"> </v>
          </cell>
          <cell r="N712" t="str">
            <v xml:space="preserve"> </v>
          </cell>
          <cell r="O712" t="str">
            <v xml:space="preserve"> </v>
          </cell>
          <cell r="P712" t="str">
            <v xml:space="preserve"> </v>
          </cell>
          <cell r="Q712" t="str">
            <v xml:space="preserve"> </v>
          </cell>
          <cell r="R712" t="str">
            <v xml:space="preserve"> </v>
          </cell>
          <cell r="S712" t="str">
            <v xml:space="preserve"> </v>
          </cell>
          <cell r="T712" t="str">
            <v xml:space="preserve"> </v>
          </cell>
          <cell r="U712" t="str">
            <v xml:space="preserve"> </v>
          </cell>
          <cell r="V712" t="str">
            <v xml:space="preserve"> </v>
          </cell>
          <cell r="W712" t="str">
            <v xml:space="preserve"> </v>
          </cell>
          <cell r="X712" t="str">
            <v xml:space="preserve"> </v>
          </cell>
          <cell r="Y712" t="str">
            <v>(1)</v>
          </cell>
          <cell r="Z712" t="str">
            <v>(2)</v>
          </cell>
          <cell r="AA712" t="str">
            <v xml:space="preserve"> </v>
          </cell>
          <cell r="AB712" t="str">
            <v xml:space="preserve"> </v>
          </cell>
        </row>
        <row r="713">
          <cell r="A713" t="str">
            <v xml:space="preserve"> </v>
          </cell>
          <cell r="B713" t="str">
            <v>VII.</v>
          </cell>
          <cell r="C713" t="str">
            <v xml:space="preserve">Z  A  D  O  L  Ž  E  V  A  N  J  E  </v>
          </cell>
          <cell r="D713">
            <v>157554886.31495997</v>
          </cell>
          <cell r="E713">
            <v>157554886</v>
          </cell>
          <cell r="F713">
            <v>0.31495997309684753</v>
          </cell>
          <cell r="G713">
            <v>135.67756541954014</v>
          </cell>
          <cell r="H713">
            <v>24.589132616657608</v>
          </cell>
          <cell r="I713" t="e">
            <v>#VALUE!</v>
          </cell>
          <cell r="J713" t="e">
            <v>#VALUE!</v>
          </cell>
          <cell r="K713" t="e">
            <v>#VALUE!</v>
          </cell>
          <cell r="L713" t="e">
            <v>#VALUE!</v>
          </cell>
          <cell r="N713" t="e">
            <v>#VALUE!</v>
          </cell>
          <cell r="O713" t="e">
            <v>#VALUE!</v>
          </cell>
          <cell r="P713" t="e">
            <v>#VALUE!</v>
          </cell>
          <cell r="Q713" t="e">
            <v>#VALUE!</v>
          </cell>
          <cell r="R713" t="e">
            <v>#VALUE!</v>
          </cell>
          <cell r="S713" t="e">
            <v>#VALUE!</v>
          </cell>
          <cell r="T713" t="e">
            <v>#VALUE!</v>
          </cell>
          <cell r="U713" t="e">
            <v>#VALUE!</v>
          </cell>
          <cell r="V713">
            <v>-2226696</v>
          </cell>
          <cell r="W713">
            <v>0</v>
          </cell>
          <cell r="X713">
            <v>-980034</v>
          </cell>
          <cell r="Y713" t="e">
            <v>#VALUE!</v>
          </cell>
          <cell r="Z713">
            <v>157554886</v>
          </cell>
          <cell r="AA713" t="e">
            <v>#VALUE!</v>
          </cell>
          <cell r="AB713" t="e">
            <v>#VALUE!</v>
          </cell>
        </row>
        <row r="714">
          <cell r="C714" t="str">
            <v xml:space="preserve">                                 - dinamizirani sprejeti proračun</v>
          </cell>
          <cell r="D714">
            <v>149554886</v>
          </cell>
          <cell r="I714">
            <v>16350000</v>
          </cell>
          <cell r="J714">
            <v>21335700</v>
          </cell>
          <cell r="K714">
            <v>81203000</v>
          </cell>
          <cell r="N714">
            <v>1595000</v>
          </cell>
          <cell r="O714">
            <v>6209000</v>
          </cell>
          <cell r="P714">
            <v>7609000</v>
          </cell>
          <cell r="Q714">
            <v>134301700</v>
          </cell>
          <cell r="R714">
            <v>8209000</v>
          </cell>
          <cell r="S714">
            <v>209000</v>
          </cell>
          <cell r="T714">
            <v>209000</v>
          </cell>
          <cell r="U714">
            <v>209000</v>
          </cell>
          <cell r="V714">
            <v>2209000</v>
          </cell>
          <cell r="W714">
            <v>6208186</v>
          </cell>
          <cell r="X714">
            <v>0</v>
          </cell>
          <cell r="Y714">
            <v>151554886</v>
          </cell>
        </row>
        <row r="716">
          <cell r="A716">
            <v>500</v>
          </cell>
          <cell r="C716" t="str">
            <v xml:space="preserve">DOMAČE ZADOLŽEVANJE </v>
          </cell>
          <cell r="D716">
            <v>73350534.862500012</v>
          </cell>
          <cell r="E716" t="str">
            <v xml:space="preserve"> </v>
          </cell>
          <cell r="G716">
            <v>182.59298131264705</v>
          </cell>
          <cell r="H716">
            <v>67.670322601145131</v>
          </cell>
          <cell r="I716" t="e">
            <v>#VALUE!</v>
          </cell>
          <cell r="J716" t="e">
            <v>#VALUE!</v>
          </cell>
          <cell r="K716" t="e">
            <v>#VALUE!</v>
          </cell>
          <cell r="L716" t="e">
            <v>#VALUE!</v>
          </cell>
          <cell r="N716" t="e">
            <v>#VALUE!</v>
          </cell>
          <cell r="O716" t="e">
            <v>#VALUE!</v>
          </cell>
          <cell r="P716" t="e">
            <v>#VALUE!</v>
          </cell>
          <cell r="Q716" t="e">
            <v>#VALUE!</v>
          </cell>
          <cell r="R716" t="e">
            <v>#VALUE!</v>
          </cell>
          <cell r="S716" t="e">
            <v>#VALUE!</v>
          </cell>
          <cell r="T716" t="e">
            <v>#VALUE!</v>
          </cell>
          <cell r="U716" t="e">
            <v>#VALUE!</v>
          </cell>
          <cell r="V716">
            <v>-2300000</v>
          </cell>
          <cell r="W716">
            <v>0</v>
          </cell>
          <cell r="X716">
            <v>-980034</v>
          </cell>
          <cell r="Y716" t="e">
            <v>#VALUE!</v>
          </cell>
          <cell r="Z716" t="str">
            <v xml:space="preserve"> </v>
          </cell>
          <cell r="AA716" t="e">
            <v>#VALUE!</v>
          </cell>
          <cell r="AB716" t="e">
            <v>#VALUE!</v>
          </cell>
        </row>
        <row r="718">
          <cell r="A718">
            <v>5000</v>
          </cell>
          <cell r="C718" t="str">
            <v>Najeti krediti pri  Banki Slovenije</v>
          </cell>
          <cell r="D718">
            <v>0</v>
          </cell>
          <cell r="I718" t="e">
            <v>#VALUE!</v>
          </cell>
          <cell r="J718" t="e">
            <v>#VALUE!</v>
          </cell>
          <cell r="K718" t="e">
            <v>#VALUE!</v>
          </cell>
          <cell r="L718" t="e">
            <v>#VALUE!</v>
          </cell>
          <cell r="N718" t="e">
            <v>#VALUE!</v>
          </cell>
          <cell r="O718" t="e">
            <v>#VALUE!</v>
          </cell>
          <cell r="P718" t="e">
            <v>#VALUE!</v>
          </cell>
          <cell r="Q718" t="e">
            <v>#VALUE!</v>
          </cell>
          <cell r="R718" t="e">
            <v>#VALUE!</v>
          </cell>
          <cell r="S718" t="e">
            <v>#VALUE!</v>
          </cell>
          <cell r="T718" t="e">
            <v>#VALUE!</v>
          </cell>
          <cell r="U718" t="e">
            <v>#VALUE!</v>
          </cell>
          <cell r="V718">
            <v>0</v>
          </cell>
          <cell r="W718">
            <v>0</v>
          </cell>
          <cell r="X718">
            <v>0</v>
          </cell>
          <cell r="Y718" t="e">
            <v>#VALUE!</v>
          </cell>
          <cell r="AA718" t="e">
            <v>#VALUE!</v>
          </cell>
          <cell r="AB718" t="e">
            <v>#VALUE!</v>
          </cell>
        </row>
        <row r="719">
          <cell r="A719">
            <v>5001</v>
          </cell>
          <cell r="C719" t="str">
            <v xml:space="preserve">Najeti krediti pri poslovnih bankah </v>
          </cell>
          <cell r="D719">
            <v>13023213.170030002</v>
          </cell>
          <cell r="E719" t="str">
            <v xml:space="preserve"> </v>
          </cell>
          <cell r="G719">
            <v>51.233347693870279</v>
          </cell>
          <cell r="H719">
            <v>-52.953767039604891</v>
          </cell>
          <cell r="I719" t="e">
            <v>#VALUE!</v>
          </cell>
          <cell r="J719" t="e">
            <v>#VALUE!</v>
          </cell>
          <cell r="K719" t="e">
            <v>#VALUE!</v>
          </cell>
          <cell r="L719" t="e">
            <v>#VALUE!</v>
          </cell>
          <cell r="N719" t="e">
            <v>#VALUE!</v>
          </cell>
          <cell r="O719" t="e">
            <v>#VALUE!</v>
          </cell>
          <cell r="P719" t="e">
            <v>#VALUE!</v>
          </cell>
          <cell r="Q719" t="e">
            <v>#VALUE!</v>
          </cell>
          <cell r="R719" t="e">
            <v>#VALUE!</v>
          </cell>
          <cell r="S719" t="e">
            <v>#VALUE!</v>
          </cell>
          <cell r="T719" t="e">
            <v>#VALUE!</v>
          </cell>
          <cell r="U719" t="e">
            <v>#VALUE!</v>
          </cell>
          <cell r="V719">
            <v>0</v>
          </cell>
          <cell r="W719">
            <v>0</v>
          </cell>
          <cell r="X719">
            <v>0</v>
          </cell>
          <cell r="Y719" t="e">
            <v>#VALUE!</v>
          </cell>
          <cell r="Z719" t="str">
            <v xml:space="preserve"> </v>
          </cell>
          <cell r="AA719" t="e">
            <v>#VALUE!</v>
          </cell>
          <cell r="AB719" t="e">
            <v>#VALUE!</v>
          </cell>
        </row>
        <row r="720">
          <cell r="C720" t="str">
            <v>Evidenčno: najeti krediti pri poslovnih bankah za T R P</v>
          </cell>
          <cell r="I720">
            <v>0</v>
          </cell>
          <cell r="L720">
            <v>0</v>
          </cell>
          <cell r="Q720" t="e">
            <v>#REF!</v>
          </cell>
        </row>
        <row r="721">
          <cell r="A721">
            <v>5002</v>
          </cell>
          <cell r="C721" t="str">
            <v>Najeti krediti pri drugih finančnih institucijah</v>
          </cell>
          <cell r="D721">
            <v>0</v>
          </cell>
          <cell r="I721" t="e">
            <v>#VALUE!</v>
          </cell>
          <cell r="J721" t="e">
            <v>#VALUE!</v>
          </cell>
          <cell r="K721" t="e">
            <v>#VALUE!</v>
          </cell>
          <cell r="L721" t="e">
            <v>#VALUE!</v>
          </cell>
          <cell r="N721" t="e">
            <v>#VALUE!</v>
          </cell>
          <cell r="O721" t="e">
            <v>#VALUE!</v>
          </cell>
          <cell r="P721" t="e">
            <v>#VALUE!</v>
          </cell>
          <cell r="Q721" t="e">
            <v>#VALUE!</v>
          </cell>
          <cell r="R721" t="e">
            <v>#VALUE!</v>
          </cell>
          <cell r="S721" t="e">
            <v>#VALUE!</v>
          </cell>
          <cell r="T721" t="e">
            <v>#VALUE!</v>
          </cell>
          <cell r="U721" t="e">
            <v>#VALUE!</v>
          </cell>
          <cell r="Y721" t="e">
            <v>#VALUE!</v>
          </cell>
          <cell r="AA721" t="e">
            <v>#VALUE!</v>
          </cell>
          <cell r="AB721" t="e">
            <v>#VALUE!</v>
          </cell>
        </row>
        <row r="722">
          <cell r="A722">
            <v>5003</v>
          </cell>
          <cell r="C722" t="str">
            <v xml:space="preserve">Najeti krediti pri drugih domačih kreditodajalcih </v>
          </cell>
          <cell r="D722">
            <v>0</v>
          </cell>
          <cell r="E722" t="str">
            <v xml:space="preserve"> </v>
          </cell>
          <cell r="I722" t="e">
            <v>#VALUE!</v>
          </cell>
          <cell r="J722" t="e">
            <v>#VALUE!</v>
          </cell>
          <cell r="K722" t="e">
            <v>#VALUE!</v>
          </cell>
          <cell r="L722" t="e">
            <v>#VALUE!</v>
          </cell>
          <cell r="N722" t="e">
            <v>#VALUE!</v>
          </cell>
          <cell r="O722" t="e">
            <v>#VALUE!</v>
          </cell>
          <cell r="P722" t="e">
            <v>#VALUE!</v>
          </cell>
          <cell r="Q722" t="e">
            <v>#VALUE!</v>
          </cell>
          <cell r="R722" t="e">
            <v>#VALUE!</v>
          </cell>
          <cell r="S722" t="e">
            <v>#VALUE!</v>
          </cell>
          <cell r="T722" t="e">
            <v>#VALUE!</v>
          </cell>
          <cell r="U722">
            <v>0</v>
          </cell>
          <cell r="V722">
            <v>0</v>
          </cell>
          <cell r="W722">
            <v>0</v>
          </cell>
          <cell r="X722">
            <v>0</v>
          </cell>
          <cell r="Y722" t="e">
            <v>#VALUE!</v>
          </cell>
          <cell r="Z722" t="str">
            <v xml:space="preserve"> </v>
          </cell>
          <cell r="AA722" t="e">
            <v>#VALUE!</v>
          </cell>
          <cell r="AB722" t="e">
            <v>#VALUE!</v>
          </cell>
        </row>
        <row r="723">
          <cell r="A723">
            <v>5004</v>
          </cell>
          <cell r="C723" t="str">
            <v xml:space="preserve">Sredstva, pridobljena z izdajo vrednostnih papirjev </v>
          </cell>
          <cell r="D723">
            <v>60853065.692469999</v>
          </cell>
          <cell r="E723" t="str">
            <v xml:space="preserve"> </v>
          </cell>
          <cell r="G723">
            <v>468.02130172178556</v>
          </cell>
          <cell r="H723">
            <v>329.77162692542288</v>
          </cell>
          <cell r="I723" t="e">
            <v>#VALUE!</v>
          </cell>
          <cell r="J723" t="e">
            <v>#VALUE!</v>
          </cell>
          <cell r="K723" t="e">
            <v>#VALUE!</v>
          </cell>
          <cell r="L723" t="e">
            <v>#VALUE!</v>
          </cell>
          <cell r="N723" t="e">
            <v>#VALUE!</v>
          </cell>
          <cell r="O723" t="e">
            <v>#VALUE!</v>
          </cell>
          <cell r="P723" t="e">
            <v>#VALUE!</v>
          </cell>
          <cell r="Q723" t="e">
            <v>#VALUE!</v>
          </cell>
          <cell r="R723" t="e">
            <v>#VALUE!</v>
          </cell>
          <cell r="S723" t="e">
            <v>#VALUE!</v>
          </cell>
          <cell r="T723" t="e">
            <v>#VALUE!</v>
          </cell>
          <cell r="U723">
            <v>7813791</v>
          </cell>
          <cell r="V723">
            <v>-2300000</v>
          </cell>
          <cell r="W723">
            <v>0</v>
          </cell>
          <cell r="X723">
            <v>-980034</v>
          </cell>
          <cell r="Y723" t="e">
            <v>#VALUE!</v>
          </cell>
          <cell r="Z723" t="str">
            <v xml:space="preserve"> </v>
          </cell>
          <cell r="AA723" t="e">
            <v>#VALUE!</v>
          </cell>
          <cell r="AB723" t="e">
            <v>#VALUE!</v>
          </cell>
        </row>
        <row r="725">
          <cell r="A725">
            <v>501</v>
          </cell>
          <cell r="C725" t="str">
            <v xml:space="preserve">ZADOLŽEVANJE V TUJINI </v>
          </cell>
          <cell r="D725">
            <v>84204351.452459991</v>
          </cell>
          <cell r="E725" t="str">
            <v xml:space="preserve"> </v>
          </cell>
          <cell r="G725">
            <v>110.86392470171673</v>
          </cell>
          <cell r="H725">
            <v>1.8034202954239902</v>
          </cell>
          <cell r="I725" t="e">
            <v>#VALUE!</v>
          </cell>
          <cell r="J725" t="e">
            <v>#VALUE!</v>
          </cell>
          <cell r="K725" t="e">
            <v>#VALUE!</v>
          </cell>
          <cell r="L725" t="e">
            <v>#VALUE!</v>
          </cell>
          <cell r="N725" t="e">
            <v>#VALUE!</v>
          </cell>
          <cell r="O725" t="e">
            <v>#VALUE!</v>
          </cell>
          <cell r="P725" t="e">
            <v>#VALUE!</v>
          </cell>
          <cell r="Q725" t="e">
            <v>#VALUE!</v>
          </cell>
          <cell r="R725" t="e">
            <v>#VALUE!</v>
          </cell>
          <cell r="S725" t="e">
            <v>#VALUE!</v>
          </cell>
          <cell r="T725" t="e">
            <v>#VALUE!</v>
          </cell>
          <cell r="U725" t="e">
            <v>#VALUE!</v>
          </cell>
          <cell r="V725">
            <v>73304</v>
          </cell>
          <cell r="W725">
            <v>0</v>
          </cell>
          <cell r="X725">
            <v>0</v>
          </cell>
          <cell r="Y725" t="e">
            <v>#VALUE!</v>
          </cell>
          <cell r="Z725" t="str">
            <v xml:space="preserve"> </v>
          </cell>
          <cell r="AA725" t="e">
            <v>#VALUE!</v>
          </cell>
          <cell r="AB725" t="e">
            <v>#VALUE!</v>
          </cell>
        </row>
        <row r="727">
          <cell r="A727">
            <v>5010</v>
          </cell>
          <cell r="C727" t="str">
            <v>Najeti krediti pri mednarodnih finančnih institucijah</v>
          </cell>
          <cell r="D727">
            <v>3248552.4524599998</v>
          </cell>
          <cell r="G727">
            <v>106.36654831667873</v>
          </cell>
          <cell r="H727">
            <v>-2.3264019130590157</v>
          </cell>
          <cell r="I727" t="e">
            <v>#VALUE!</v>
          </cell>
          <cell r="J727" t="e">
            <v>#VALUE!</v>
          </cell>
          <cell r="K727" t="e">
            <v>#VALUE!</v>
          </cell>
          <cell r="L727" t="e">
            <v>#VALUE!</v>
          </cell>
          <cell r="N727" t="e">
            <v>#VALUE!</v>
          </cell>
          <cell r="O727" t="e">
            <v>#VALUE!</v>
          </cell>
          <cell r="P727" t="e">
            <v>#VALUE!</v>
          </cell>
          <cell r="Q727" t="e">
            <v>#VALUE!</v>
          </cell>
          <cell r="R727" t="e">
            <v>#VALUE!</v>
          </cell>
          <cell r="S727" t="e">
            <v>#VALUE!</v>
          </cell>
          <cell r="T727" t="e">
            <v>#VALUE!</v>
          </cell>
          <cell r="U727" t="e">
            <v>#VALUE!</v>
          </cell>
          <cell r="V727">
            <v>73304</v>
          </cell>
          <cell r="Y727" t="e">
            <v>#VALUE!</v>
          </cell>
          <cell r="AA727" t="e">
            <v>#VALUE!</v>
          </cell>
          <cell r="AB727" t="e">
            <v>#VALUE!</v>
          </cell>
        </row>
        <row r="728">
          <cell r="A728">
            <v>5011</v>
          </cell>
          <cell r="C728" t="str">
            <v xml:space="preserve">Najeti krediti pri tujih vladah </v>
          </cell>
          <cell r="D728">
            <v>402559</v>
          </cell>
          <cell r="I728" t="e">
            <v>#VALUE!</v>
          </cell>
          <cell r="J728" t="e">
            <v>#VALUE!</v>
          </cell>
          <cell r="K728" t="e">
            <v>#VALUE!</v>
          </cell>
          <cell r="L728" t="e">
            <v>#VALUE!</v>
          </cell>
          <cell r="N728" t="e">
            <v>#VALUE!</v>
          </cell>
          <cell r="O728" t="e">
            <v>#VALUE!</v>
          </cell>
          <cell r="P728" t="e">
            <v>#VALUE!</v>
          </cell>
          <cell r="Q728" t="e">
            <v>#VALUE!</v>
          </cell>
          <cell r="R728" t="e">
            <v>#VALUE!</v>
          </cell>
          <cell r="S728" t="e">
            <v>#VALUE!</v>
          </cell>
          <cell r="T728" t="e">
            <v>#VALUE!</v>
          </cell>
          <cell r="U728" t="e">
            <v>#VALUE!</v>
          </cell>
          <cell r="Y728" t="e">
            <v>#VALUE!</v>
          </cell>
          <cell r="AA728" t="e">
            <v>#VALUE!</v>
          </cell>
          <cell r="AB728" t="e">
            <v>#VALUE!</v>
          </cell>
        </row>
        <row r="729">
          <cell r="C729" t="str">
            <v>Evidenčno: najeti tuji krediti za T R P</v>
          </cell>
          <cell r="I729">
            <v>0</v>
          </cell>
          <cell r="J729">
            <v>0</v>
          </cell>
          <cell r="K729">
            <v>0</v>
          </cell>
          <cell r="L729">
            <v>0</v>
          </cell>
        </row>
        <row r="730">
          <cell r="A730">
            <v>5012</v>
          </cell>
          <cell r="C730" t="str">
            <v>Najeti krediti pri tujih poslovnih bankah in finanč.instit.</v>
          </cell>
          <cell r="D730">
            <v>0</v>
          </cell>
          <cell r="I730" t="e">
            <v>#VALUE!</v>
          </cell>
          <cell r="J730" t="e">
            <v>#VALUE!</v>
          </cell>
          <cell r="K730" t="e">
            <v>#VALUE!</v>
          </cell>
          <cell r="L730" t="e">
            <v>#VALUE!</v>
          </cell>
          <cell r="N730" t="e">
            <v>#VALUE!</v>
          </cell>
          <cell r="O730" t="e">
            <v>#VALUE!</v>
          </cell>
          <cell r="P730" t="e">
            <v>#VALUE!</v>
          </cell>
          <cell r="Q730" t="e">
            <v>#VALUE!</v>
          </cell>
          <cell r="R730" t="e">
            <v>#VALUE!</v>
          </cell>
          <cell r="S730" t="e">
            <v>#VALUE!</v>
          </cell>
          <cell r="T730" t="e">
            <v>#VALUE!</v>
          </cell>
          <cell r="U730" t="e">
            <v>#VALUE!</v>
          </cell>
          <cell r="Y730" t="e">
            <v>#VALUE!</v>
          </cell>
          <cell r="AA730" t="e">
            <v>#VALUE!</v>
          </cell>
          <cell r="AB730" t="e">
            <v>#VALUE!</v>
          </cell>
        </row>
        <row r="731">
          <cell r="A731">
            <v>5013</v>
          </cell>
          <cell r="C731" t="str">
            <v>Najeti krediti pri drugih tujih kreditodajalcih</v>
          </cell>
          <cell r="D731">
            <v>0</v>
          </cell>
          <cell r="E731" t="str">
            <v xml:space="preserve"> </v>
          </cell>
          <cell r="I731" t="e">
            <v>#VALUE!</v>
          </cell>
          <cell r="J731" t="e">
            <v>#VALUE!</v>
          </cell>
          <cell r="K731" t="e">
            <v>#VALUE!</v>
          </cell>
          <cell r="L731" t="e">
            <v>#VALUE!</v>
          </cell>
          <cell r="N731" t="e">
            <v>#VALUE!</v>
          </cell>
          <cell r="O731" t="e">
            <v>#VALUE!</v>
          </cell>
          <cell r="P731" t="e">
            <v>#VALUE!</v>
          </cell>
          <cell r="Q731" t="e">
            <v>#VALUE!</v>
          </cell>
          <cell r="R731" t="e">
            <v>#VALUE!</v>
          </cell>
          <cell r="S731" t="e">
            <v>#VALUE!</v>
          </cell>
          <cell r="T731" t="e">
            <v>#VALUE!</v>
          </cell>
          <cell r="U731" t="e">
            <v>#VALUE!</v>
          </cell>
          <cell r="V731">
            <v>0</v>
          </cell>
          <cell r="W731">
            <v>0</v>
          </cell>
          <cell r="X731">
            <v>0</v>
          </cell>
          <cell r="Y731" t="e">
            <v>#VALUE!</v>
          </cell>
          <cell r="Z731" t="str">
            <v xml:space="preserve"> </v>
          </cell>
          <cell r="AA731" t="e">
            <v>#VALUE!</v>
          </cell>
          <cell r="AB731" t="e">
            <v>#VALUE!</v>
          </cell>
        </row>
        <row r="732">
          <cell r="A732">
            <v>5014</v>
          </cell>
          <cell r="C732" t="str">
            <v xml:space="preserve">Sredstva, pridobljena z izdajo vrednostnih papirjev </v>
          </cell>
          <cell r="D732">
            <v>80553240</v>
          </cell>
          <cell r="G732">
            <v>111.51785225172483</v>
          </cell>
          <cell r="H732">
            <v>2.4039047306931423</v>
          </cell>
          <cell r="I732" t="e">
            <v>#VALUE!</v>
          </cell>
          <cell r="J732" t="e">
            <v>#VALUE!</v>
          </cell>
          <cell r="K732" t="e">
            <v>#VALUE!</v>
          </cell>
          <cell r="L732" t="e">
            <v>#VALUE!</v>
          </cell>
          <cell r="N732" t="e">
            <v>#VALUE!</v>
          </cell>
          <cell r="O732" t="e">
            <v>#VALUE!</v>
          </cell>
          <cell r="P732" t="e">
            <v>#VALUE!</v>
          </cell>
          <cell r="Q732" t="e">
            <v>#VALUE!</v>
          </cell>
          <cell r="R732" t="e">
            <v>#VALUE!</v>
          </cell>
          <cell r="S732" t="e">
            <v>#VALUE!</v>
          </cell>
          <cell r="T732" t="e">
            <v>#VALUE!</v>
          </cell>
          <cell r="U732" t="e">
            <v>#VALUE!</v>
          </cell>
          <cell r="Y732" t="e">
            <v>#VALUE!</v>
          </cell>
          <cell r="AA732" t="e">
            <v>#VALUE!</v>
          </cell>
          <cell r="AB732" t="e">
            <v>#VALUE!</v>
          </cell>
        </row>
        <row r="733">
          <cell r="A733" t="str">
            <v xml:space="preserve"> </v>
          </cell>
        </row>
        <row r="734">
          <cell r="I734" t="str">
            <v xml:space="preserve"> </v>
          </cell>
          <cell r="J734" t="str">
            <v xml:space="preserve"> </v>
          </cell>
          <cell r="K734" t="str">
            <v xml:space="preserve"> </v>
          </cell>
          <cell r="N734" t="str">
            <v xml:space="preserve"> </v>
          </cell>
          <cell r="O734" t="str">
            <v xml:space="preserve"> </v>
          </cell>
          <cell r="P734" t="str">
            <v xml:space="preserve"> </v>
          </cell>
          <cell r="Q734" t="str">
            <v xml:space="preserve"> </v>
          </cell>
          <cell r="R734" t="str">
            <v xml:space="preserve"> </v>
          </cell>
        </row>
        <row r="735">
          <cell r="I735" t="str">
            <v xml:space="preserve"> </v>
          </cell>
          <cell r="J735" t="str">
            <v xml:space="preserve"> </v>
          </cell>
          <cell r="K735" t="str">
            <v xml:space="preserve"> </v>
          </cell>
          <cell r="Q735" t="str">
            <v xml:space="preserve"> </v>
          </cell>
        </row>
        <row r="736">
          <cell r="A736" t="str">
            <v xml:space="preserve"> </v>
          </cell>
          <cell r="B736" t="str">
            <v>VIII.</v>
          </cell>
          <cell r="C736" t="str">
            <v>O D P L A Č I L A    D O L G A</v>
          </cell>
          <cell r="D736">
            <v>120464563.36069</v>
          </cell>
          <cell r="E736">
            <v>117983036</v>
          </cell>
          <cell r="F736">
            <v>2481527.3606899977</v>
          </cell>
          <cell r="G736">
            <v>162.75371903526525</v>
          </cell>
          <cell r="H736">
            <v>49.452450904743102</v>
          </cell>
          <cell r="I736" t="e">
            <v>#VALUE!</v>
          </cell>
          <cell r="J736" t="e">
            <v>#VALUE!</v>
          </cell>
          <cell r="K736" t="e">
            <v>#VALUE!</v>
          </cell>
          <cell r="L736" t="e">
            <v>#VALUE!</v>
          </cell>
          <cell r="N736" t="e">
            <v>#VALUE!</v>
          </cell>
          <cell r="O736" t="e">
            <v>#VALUE!</v>
          </cell>
          <cell r="P736" t="e">
            <v>#VALUE!</v>
          </cell>
          <cell r="Q736" t="e">
            <v>#VALUE!</v>
          </cell>
          <cell r="R736" t="e">
            <v>#VALUE!</v>
          </cell>
          <cell r="S736" t="e">
            <v>#VALUE!</v>
          </cell>
          <cell r="T736" t="e">
            <v>#VALUE!</v>
          </cell>
          <cell r="U736" t="e">
            <v>#VALUE!</v>
          </cell>
          <cell r="V736">
            <v>972149</v>
          </cell>
          <cell r="W736">
            <v>32383194</v>
          </cell>
          <cell r="X736">
            <v>0</v>
          </cell>
          <cell r="Y736" t="e">
            <v>#VALUE!</v>
          </cell>
          <cell r="Z736" t="e">
            <v>#VALUE!</v>
          </cell>
          <cell r="AA736" t="e">
            <v>#VALUE!</v>
          </cell>
          <cell r="AB736" t="e">
            <v>#VALUE!</v>
          </cell>
        </row>
        <row r="737">
          <cell r="C737" t="str">
            <v xml:space="preserve">                                 - dinamizirani sprejeti proračun</v>
          </cell>
          <cell r="D737">
            <v>102266824</v>
          </cell>
          <cell r="I737">
            <v>8639115</v>
          </cell>
          <cell r="J737">
            <v>4484950</v>
          </cell>
          <cell r="K737">
            <v>5304868</v>
          </cell>
          <cell r="N737">
            <v>4026161</v>
          </cell>
          <cell r="O737">
            <v>8010100</v>
          </cell>
          <cell r="P737">
            <v>8340503</v>
          </cell>
          <cell r="Q737">
            <v>38805697</v>
          </cell>
          <cell r="R737">
            <v>26776809</v>
          </cell>
          <cell r="S737">
            <v>1278710</v>
          </cell>
          <cell r="T737">
            <v>1278710</v>
          </cell>
          <cell r="U737">
            <v>1278710</v>
          </cell>
          <cell r="V737">
            <v>1172412</v>
          </cell>
          <cell r="W737">
            <v>31569478</v>
          </cell>
          <cell r="X737">
            <v>0</v>
          </cell>
          <cell r="Y737">
            <v>102160526</v>
          </cell>
        </row>
        <row r="739">
          <cell r="A739">
            <v>550</v>
          </cell>
          <cell r="C739" t="str">
            <v xml:space="preserve">ODPLAČILA DOMAČEGA DOLGA </v>
          </cell>
          <cell r="D739">
            <v>106085483.39032999</v>
          </cell>
          <cell r="E739">
            <v>103682464</v>
          </cell>
          <cell r="F739">
            <v>2403019.3903299868</v>
          </cell>
          <cell r="G739">
            <v>178.49315646766502</v>
          </cell>
          <cell r="H739">
            <v>63.905561494641887</v>
          </cell>
          <cell r="I739" t="e">
            <v>#VALUE!</v>
          </cell>
          <cell r="J739" t="e">
            <v>#VALUE!</v>
          </cell>
          <cell r="K739" t="e">
            <v>#VALUE!</v>
          </cell>
          <cell r="L739" t="e">
            <v>#VALUE!</v>
          </cell>
          <cell r="N739" t="e">
            <v>#VALUE!</v>
          </cell>
          <cell r="O739" t="e">
            <v>#VALUE!</v>
          </cell>
          <cell r="P739" t="e">
            <v>#VALUE!</v>
          </cell>
          <cell r="Q739" t="e">
            <v>#VALUE!</v>
          </cell>
          <cell r="R739" t="e">
            <v>#VALUE!</v>
          </cell>
          <cell r="S739" t="e">
            <v>#VALUE!</v>
          </cell>
          <cell r="T739" t="e">
            <v>#VALUE!</v>
          </cell>
          <cell r="U739" t="e">
            <v>#VALUE!</v>
          </cell>
          <cell r="V739">
            <v>645152</v>
          </cell>
          <cell r="W739">
            <v>27238684</v>
          </cell>
          <cell r="X739">
            <v>0</v>
          </cell>
          <cell r="Y739" t="e">
            <v>#VALUE!</v>
          </cell>
          <cell r="Z739" t="e">
            <v>#VALUE!</v>
          </cell>
          <cell r="AA739" t="e">
            <v>#VALUE!</v>
          </cell>
          <cell r="AB739" t="e">
            <v>#VALUE!</v>
          </cell>
        </row>
        <row r="740">
          <cell r="I740" t="str">
            <v xml:space="preserve"> </v>
          </cell>
        </row>
        <row r="741">
          <cell r="A741">
            <v>5500</v>
          </cell>
          <cell r="C741" t="str">
            <v>Odplačila kreditov Banki Slovenije</v>
          </cell>
          <cell r="D741">
            <v>0</v>
          </cell>
          <cell r="E741">
            <v>0</v>
          </cell>
          <cell r="F741">
            <v>0</v>
          </cell>
          <cell r="I741" t="e">
            <v>#VALUE!</v>
          </cell>
          <cell r="J741" t="e">
            <v>#VALUE!</v>
          </cell>
          <cell r="K741" t="e">
            <v>#VALUE!</v>
          </cell>
          <cell r="L741" t="e">
            <v>#VALUE!</v>
          </cell>
          <cell r="N741" t="e">
            <v>#VALUE!</v>
          </cell>
          <cell r="O741" t="e">
            <v>#VALUE!</v>
          </cell>
          <cell r="P741" t="e">
            <v>#VALUE!</v>
          </cell>
          <cell r="Q741" t="e">
            <v>#VALUE!</v>
          </cell>
          <cell r="R741" t="e">
            <v>#VALUE!</v>
          </cell>
          <cell r="S741" t="e">
            <v>#VALUE!</v>
          </cell>
          <cell r="T741" t="e">
            <v>#VALUE!</v>
          </cell>
          <cell r="U741" t="e">
            <v>#VALUE!</v>
          </cell>
          <cell r="V741">
            <v>0</v>
          </cell>
          <cell r="W741">
            <v>0</v>
          </cell>
          <cell r="X741">
            <v>0</v>
          </cell>
          <cell r="Y741" t="e">
            <v>#VALUE!</v>
          </cell>
          <cell r="Z741" t="str">
            <v xml:space="preserve"> </v>
          </cell>
          <cell r="AA741" t="e">
            <v>#VALUE!</v>
          </cell>
          <cell r="AB741" t="e">
            <v>#VALUE!</v>
          </cell>
        </row>
        <row r="742">
          <cell r="A742">
            <v>5501</v>
          </cell>
          <cell r="C742" t="str">
            <v>Odplačila kreditov poslovnim bankam</v>
          </cell>
          <cell r="D742">
            <v>22116318.218499999</v>
          </cell>
          <cell r="E742">
            <v>20525816</v>
          </cell>
          <cell r="F742">
            <v>1590502.2184999995</v>
          </cell>
          <cell r="G742">
            <v>80.894256453268767</v>
          </cell>
          <cell r="H742">
            <v>-25.716936222893693</v>
          </cell>
          <cell r="I742" t="e">
            <v>#VALUE!</v>
          </cell>
          <cell r="J742" t="e">
            <v>#VALUE!</v>
          </cell>
          <cell r="K742" t="e">
            <v>#VALUE!</v>
          </cell>
          <cell r="L742" t="e">
            <v>#VALUE!</v>
          </cell>
          <cell r="N742" t="e">
            <v>#VALUE!</v>
          </cell>
          <cell r="O742" t="e">
            <v>#VALUE!</v>
          </cell>
          <cell r="P742" t="e">
            <v>#VALUE!</v>
          </cell>
          <cell r="Q742" t="e">
            <v>#VALUE!</v>
          </cell>
          <cell r="R742" t="e">
            <v>#VALUE!</v>
          </cell>
          <cell r="S742" t="e">
            <v>#VALUE!</v>
          </cell>
          <cell r="T742" t="e">
            <v>#VALUE!</v>
          </cell>
          <cell r="U742" t="e">
            <v>#VALUE!</v>
          </cell>
          <cell r="V742">
            <v>80312</v>
          </cell>
          <cell r="W742">
            <v>5909397</v>
          </cell>
          <cell r="X742">
            <v>0</v>
          </cell>
          <cell r="Y742" t="e">
            <v>#VALUE!</v>
          </cell>
          <cell r="Z742" t="str">
            <v xml:space="preserve"> </v>
          </cell>
          <cell r="AA742" t="e">
            <v>#VALUE!</v>
          </cell>
          <cell r="AB742" t="e">
            <v>#VALUE!</v>
          </cell>
        </row>
        <row r="743">
          <cell r="C743" t="str">
            <v xml:space="preserve"> - odplačila kreditov poslovnim bankam (MF)</v>
          </cell>
          <cell r="E743">
            <v>5103034</v>
          </cell>
          <cell r="I743" t="e">
            <v>#N/A</v>
          </cell>
          <cell r="J743" t="e">
            <v>#N/A</v>
          </cell>
          <cell r="K743" t="e">
            <v>#N/A</v>
          </cell>
          <cell r="L743" t="e">
            <v>#N/A</v>
          </cell>
          <cell r="N743" t="e">
            <v>#N/A</v>
          </cell>
          <cell r="O743" t="e">
            <v>#N/A</v>
          </cell>
          <cell r="P743" t="e">
            <v>#N/A</v>
          </cell>
          <cell r="Q743" t="e">
            <v>#N/A</v>
          </cell>
          <cell r="R743" t="e">
            <v>#N/A</v>
          </cell>
          <cell r="S743" t="e">
            <v>#N/A</v>
          </cell>
          <cell r="T743" t="e">
            <v>#N/A</v>
          </cell>
          <cell r="U743" t="e">
            <v>#N/A</v>
          </cell>
          <cell r="V743">
            <v>5103034</v>
          </cell>
          <cell r="W743">
            <v>5103034</v>
          </cell>
          <cell r="X743">
            <v>5103034</v>
          </cell>
          <cell r="Z743">
            <v>5103034</v>
          </cell>
        </row>
        <row r="744">
          <cell r="C744" t="str">
            <v xml:space="preserve"> - odplačila stanov.kreditov poslovnim bankam (SSSV)</v>
          </cell>
          <cell r="E744">
            <v>11674</v>
          </cell>
          <cell r="I744" t="e">
            <v>#N/A</v>
          </cell>
          <cell r="J744" t="e">
            <v>#N/A</v>
          </cell>
          <cell r="K744" t="e">
            <v>#N/A</v>
          </cell>
          <cell r="L744" t="e">
            <v>#N/A</v>
          </cell>
          <cell r="N744" t="e">
            <v>#N/A</v>
          </cell>
          <cell r="O744" t="e">
            <v>#N/A</v>
          </cell>
          <cell r="P744" t="e">
            <v>#N/A</v>
          </cell>
          <cell r="Q744" t="e">
            <v>#N/A</v>
          </cell>
          <cell r="R744" t="e">
            <v>#N/A</v>
          </cell>
          <cell r="S744" t="e">
            <v>#N/A</v>
          </cell>
          <cell r="T744" t="e">
            <v>#N/A</v>
          </cell>
          <cell r="U744" t="e">
            <v>#N/A</v>
          </cell>
          <cell r="V744">
            <v>11674</v>
          </cell>
          <cell r="W744">
            <v>11674</v>
          </cell>
          <cell r="X744">
            <v>11674</v>
          </cell>
          <cell r="Z744">
            <v>11674</v>
          </cell>
        </row>
        <row r="745">
          <cell r="C745" t="str">
            <v xml:space="preserve"> - odplačila stanov.kreditov poslovnim bankam (MNZ)</v>
          </cell>
          <cell r="E745">
            <v>15411108</v>
          </cell>
          <cell r="I745" t="e">
            <v>#N/A</v>
          </cell>
          <cell r="J745" t="e">
            <v>#N/A</v>
          </cell>
          <cell r="K745" t="e">
            <v>#N/A</v>
          </cell>
          <cell r="L745" t="e">
            <v>#N/A</v>
          </cell>
          <cell r="N745" t="e">
            <v>#N/A</v>
          </cell>
          <cell r="O745" t="e">
            <v>#N/A</v>
          </cell>
          <cell r="P745" t="e">
            <v>#N/A</v>
          </cell>
          <cell r="Q745" t="e">
            <v>#N/A</v>
          </cell>
          <cell r="R745" t="e">
            <v>#N/A</v>
          </cell>
          <cell r="S745" t="e">
            <v>#N/A</v>
          </cell>
          <cell r="T745" t="e">
            <v>#N/A</v>
          </cell>
          <cell r="U745" t="e">
            <v>#N/A</v>
          </cell>
          <cell r="V745">
            <v>-5034396</v>
          </cell>
          <cell r="W745">
            <v>794689</v>
          </cell>
          <cell r="X745">
            <v>-5114708</v>
          </cell>
          <cell r="Z745" t="e">
            <v>#VALUE!</v>
          </cell>
        </row>
        <row r="746">
          <cell r="A746">
            <v>5502</v>
          </cell>
          <cell r="C746" t="str">
            <v>Odplačila kreditov drugim finančnim institucijam</v>
          </cell>
          <cell r="D746">
            <v>0</v>
          </cell>
          <cell r="E746">
            <v>0</v>
          </cell>
          <cell r="F746">
            <v>0</v>
          </cell>
          <cell r="I746" t="e">
            <v>#VALUE!</v>
          </cell>
          <cell r="J746" t="e">
            <v>#VALUE!</v>
          </cell>
          <cell r="K746" t="e">
            <v>#VALUE!</v>
          </cell>
          <cell r="L746" t="e">
            <v>#VALUE!</v>
          </cell>
          <cell r="N746" t="e">
            <v>#VALUE!</v>
          </cell>
          <cell r="O746" t="e">
            <v>#VALUE!</v>
          </cell>
          <cell r="P746" t="e">
            <v>#VALUE!</v>
          </cell>
          <cell r="Q746" t="e">
            <v>#VALUE!</v>
          </cell>
          <cell r="R746" t="e">
            <v>#VALUE!</v>
          </cell>
          <cell r="S746" t="e">
            <v>#VALUE!</v>
          </cell>
          <cell r="T746" t="e">
            <v>#VALUE!</v>
          </cell>
          <cell r="U746" t="e">
            <v>#VALUE!</v>
          </cell>
          <cell r="V746">
            <v>0</v>
          </cell>
          <cell r="W746">
            <v>0</v>
          </cell>
          <cell r="X746">
            <v>0</v>
          </cell>
          <cell r="Y746" t="e">
            <v>#VALUE!</v>
          </cell>
          <cell r="Z746" t="str">
            <v xml:space="preserve"> </v>
          </cell>
          <cell r="AA746" t="e">
            <v>#VALUE!</v>
          </cell>
          <cell r="AB746" t="e">
            <v>#VALUE!</v>
          </cell>
        </row>
        <row r="747">
          <cell r="A747">
            <v>5503</v>
          </cell>
          <cell r="C747" t="str">
            <v xml:space="preserve">Odplačila kreditov drugim domačim kreditodajalcem </v>
          </cell>
          <cell r="D747">
            <v>0</v>
          </cell>
          <cell r="E747">
            <v>0</v>
          </cell>
          <cell r="F747">
            <v>0</v>
          </cell>
          <cell r="I747" t="e">
            <v>#VALUE!</v>
          </cell>
          <cell r="J747" t="e">
            <v>#VALUE!</v>
          </cell>
          <cell r="K747" t="e">
            <v>#VALUE!</v>
          </cell>
          <cell r="L747" t="e">
            <v>#VALUE!</v>
          </cell>
          <cell r="N747" t="e">
            <v>#VALUE!</v>
          </cell>
          <cell r="O747" t="e">
            <v>#VALUE!</v>
          </cell>
          <cell r="P747" t="e">
            <v>#VALUE!</v>
          </cell>
          <cell r="Q747" t="e">
            <v>#VALUE!</v>
          </cell>
          <cell r="R747" t="e">
            <v>#VALUE!</v>
          </cell>
          <cell r="S747" t="e">
            <v>#VALUE!</v>
          </cell>
          <cell r="T747" t="e">
            <v>#VALUE!</v>
          </cell>
          <cell r="U747" t="e">
            <v>#VALUE!</v>
          </cell>
          <cell r="V747">
            <v>0</v>
          </cell>
          <cell r="W747">
            <v>0</v>
          </cell>
          <cell r="X747">
            <v>0</v>
          </cell>
          <cell r="Y747" t="e">
            <v>#VALUE!</v>
          </cell>
          <cell r="Z747" t="str">
            <v xml:space="preserve"> </v>
          </cell>
          <cell r="AA747" t="e">
            <v>#VALUE!</v>
          </cell>
          <cell r="AB747" t="e">
            <v>#VALUE!</v>
          </cell>
        </row>
        <row r="748">
          <cell r="A748">
            <v>5504</v>
          </cell>
          <cell r="C748" t="str">
            <v>Odplačila glavnice vrednostnih papirjev</v>
          </cell>
          <cell r="D748">
            <v>83969165.171829998</v>
          </cell>
          <cell r="E748">
            <v>83156648</v>
          </cell>
          <cell r="F748">
            <v>812517.17182999849</v>
          </cell>
          <cell r="G748">
            <v>261.63399570722174</v>
          </cell>
          <cell r="H748">
            <v>140.25160303693457</v>
          </cell>
          <cell r="I748" t="e">
            <v>#VALUE!</v>
          </cell>
          <cell r="J748" t="e">
            <v>#VALUE!</v>
          </cell>
          <cell r="K748" t="e">
            <v>#VALUE!</v>
          </cell>
          <cell r="L748" t="e">
            <v>#VALUE!</v>
          </cell>
          <cell r="N748" t="e">
            <v>#VALUE!</v>
          </cell>
          <cell r="O748" t="e">
            <v>#VALUE!</v>
          </cell>
          <cell r="P748" t="e">
            <v>#VALUE!</v>
          </cell>
          <cell r="Q748" t="e">
            <v>#VALUE!</v>
          </cell>
          <cell r="R748" t="e">
            <v>#VALUE!</v>
          </cell>
          <cell r="S748" t="e">
            <v>#VALUE!</v>
          </cell>
          <cell r="T748" t="e">
            <v>#VALUE!</v>
          </cell>
          <cell r="U748" t="e">
            <v>#VALUE!</v>
          </cell>
          <cell r="V748">
            <v>564840</v>
          </cell>
          <cell r="W748">
            <v>21329287</v>
          </cell>
          <cell r="X748">
            <v>0</v>
          </cell>
          <cell r="Y748" t="e">
            <v>#VALUE!</v>
          </cell>
          <cell r="Z748" t="str">
            <v xml:space="preserve"> </v>
          </cell>
          <cell r="AA748" t="e">
            <v>#VALUE!</v>
          </cell>
          <cell r="AB748" t="e">
            <v>#VALUE!</v>
          </cell>
        </row>
        <row r="749">
          <cell r="I749" t="str">
            <v xml:space="preserve"> </v>
          </cell>
          <cell r="AA749" t="str">
            <v xml:space="preserve"> </v>
          </cell>
          <cell r="AB749" t="str">
            <v xml:space="preserve"> </v>
          </cell>
        </row>
        <row r="750">
          <cell r="A750">
            <v>551</v>
          </cell>
          <cell r="C750" t="str">
            <v>ODPLAČILA DOLGA V TUJINO</v>
          </cell>
          <cell r="D750">
            <v>14379079.97036</v>
          </cell>
          <cell r="E750">
            <v>14300572</v>
          </cell>
          <cell r="F750">
            <v>78507.970359999686</v>
          </cell>
          <cell r="G750">
            <v>98.604691680388214</v>
          </cell>
          <cell r="H750">
            <v>-9.4539103026738189</v>
          </cell>
          <cell r="I750" t="e">
            <v>#VALUE!</v>
          </cell>
          <cell r="J750" t="e">
            <v>#VALUE!</v>
          </cell>
          <cell r="K750" t="e">
            <v>#VALUE!</v>
          </cell>
          <cell r="L750" t="e">
            <v>#VALUE!</v>
          </cell>
          <cell r="N750" t="e">
            <v>#VALUE!</v>
          </cell>
          <cell r="O750" t="e">
            <v>#VALUE!</v>
          </cell>
          <cell r="P750" t="e">
            <v>#VALUE!</v>
          </cell>
          <cell r="Q750" t="e">
            <v>#VALUE!</v>
          </cell>
          <cell r="R750" t="e">
            <v>#VALUE!</v>
          </cell>
          <cell r="S750" t="e">
            <v>#VALUE!</v>
          </cell>
          <cell r="T750" t="e">
            <v>#VALUE!</v>
          </cell>
          <cell r="U750" t="e">
            <v>#VALUE!</v>
          </cell>
          <cell r="V750">
            <v>326997</v>
          </cell>
          <cell r="W750">
            <v>5144510</v>
          </cell>
          <cell r="X750">
            <v>0</v>
          </cell>
          <cell r="Y750" t="e">
            <v>#VALUE!</v>
          </cell>
          <cell r="Z750">
            <v>0</v>
          </cell>
          <cell r="AA750" t="e">
            <v>#VALUE!</v>
          </cell>
          <cell r="AB750" t="e">
            <v>#VALUE!</v>
          </cell>
        </row>
        <row r="751">
          <cell r="I751" t="str">
            <v xml:space="preserve"> </v>
          </cell>
        </row>
        <row r="752">
          <cell r="A752">
            <v>5510</v>
          </cell>
          <cell r="C752" t="str">
            <v>Odplačila dolga mednarodnim finančnim institucijam</v>
          </cell>
          <cell r="D752">
            <v>9675318.1717199981</v>
          </cell>
          <cell r="E752">
            <v>8957937</v>
          </cell>
          <cell r="F752">
            <v>717381.17171999812</v>
          </cell>
          <cell r="G752">
            <v>211.53871092369525</v>
          </cell>
          <cell r="H752">
            <v>94.250423254081937</v>
          </cell>
          <cell r="I752" t="e">
            <v>#VALUE!</v>
          </cell>
          <cell r="J752" t="e">
            <v>#VALUE!</v>
          </cell>
          <cell r="K752" t="e">
            <v>#VALUE!</v>
          </cell>
          <cell r="L752" t="e">
            <v>#VALUE!</v>
          </cell>
          <cell r="N752" t="e">
            <v>#VALUE!</v>
          </cell>
          <cell r="O752" t="e">
            <v>#VALUE!</v>
          </cell>
          <cell r="P752" t="e">
            <v>#VALUE!</v>
          </cell>
          <cell r="Q752" t="e">
            <v>#VALUE!</v>
          </cell>
          <cell r="R752" t="e">
            <v>#VALUE!</v>
          </cell>
          <cell r="S752" t="e">
            <v>#VALUE!</v>
          </cell>
          <cell r="T752" t="e">
            <v>#VALUE!</v>
          </cell>
          <cell r="U752" t="e">
            <v>#VALUE!</v>
          </cell>
          <cell r="V752">
            <v>326997</v>
          </cell>
          <cell r="W752">
            <v>2589367</v>
          </cell>
          <cell r="X752">
            <v>0</v>
          </cell>
          <cell r="Y752" t="e">
            <v>#VALUE!</v>
          </cell>
          <cell r="Z752" t="str">
            <v xml:space="preserve"> </v>
          </cell>
          <cell r="AA752" t="e">
            <v>#VALUE!</v>
          </cell>
          <cell r="AB752" t="e">
            <v>#VALUE!</v>
          </cell>
        </row>
        <row r="753">
          <cell r="A753">
            <v>5511</v>
          </cell>
          <cell r="C753" t="str">
            <v xml:space="preserve">Odplačila dolga tujim vladam </v>
          </cell>
          <cell r="D753">
            <v>2521190.0715899998</v>
          </cell>
          <cell r="E753">
            <v>3403120</v>
          </cell>
          <cell r="F753">
            <v>-881929.92841000017</v>
          </cell>
          <cell r="G753">
            <v>66.199201667883003</v>
          </cell>
          <cell r="H753">
            <v>-39.211017752173547</v>
          </cell>
          <cell r="I753" t="e">
            <v>#VALUE!</v>
          </cell>
          <cell r="J753" t="e">
            <v>#VALUE!</v>
          </cell>
          <cell r="K753" t="e">
            <v>#VALUE!</v>
          </cell>
          <cell r="L753" t="e">
            <v>#VALUE!</v>
          </cell>
          <cell r="N753" t="e">
            <v>#VALUE!</v>
          </cell>
          <cell r="O753" t="e">
            <v>#VALUE!</v>
          </cell>
          <cell r="P753" t="e">
            <v>#VALUE!</v>
          </cell>
          <cell r="Q753" t="e">
            <v>#VALUE!</v>
          </cell>
          <cell r="R753" t="e">
            <v>#VALUE!</v>
          </cell>
          <cell r="S753" t="e">
            <v>#VALUE!</v>
          </cell>
          <cell r="T753" t="e">
            <v>#VALUE!</v>
          </cell>
          <cell r="U753" t="e">
            <v>#VALUE!</v>
          </cell>
          <cell r="V753">
            <v>0</v>
          </cell>
          <cell r="W753">
            <v>1568170</v>
          </cell>
          <cell r="X753">
            <v>0</v>
          </cell>
          <cell r="Y753" t="e">
            <v>#VALUE!</v>
          </cell>
          <cell r="Z753" t="str">
            <v xml:space="preserve"> </v>
          </cell>
          <cell r="AA753" t="e">
            <v>#VALUE!</v>
          </cell>
          <cell r="AB753" t="e">
            <v>#VALUE!</v>
          </cell>
        </row>
        <row r="754">
          <cell r="A754">
            <v>5512</v>
          </cell>
          <cell r="C754" t="str">
            <v>Odplačila dolga tujim bankam in finančnim institucijam</v>
          </cell>
          <cell r="D754">
            <v>132359.36960999999</v>
          </cell>
          <cell r="E754">
            <v>133255</v>
          </cell>
          <cell r="F754">
            <v>-895.63039000000572</v>
          </cell>
          <cell r="G754">
            <v>3.0112553966704034</v>
          </cell>
          <cell r="H754">
            <v>-97.234843529228286</v>
          </cell>
          <cell r="I754" t="e">
            <v>#VALUE!</v>
          </cell>
          <cell r="J754" t="e">
            <v>#VALUE!</v>
          </cell>
          <cell r="K754" t="e">
            <v>#VALUE!</v>
          </cell>
          <cell r="L754" t="e">
            <v>#VALUE!</v>
          </cell>
          <cell r="N754" t="e">
            <v>#VALUE!</v>
          </cell>
          <cell r="O754" t="e">
            <v>#VALUE!</v>
          </cell>
          <cell r="P754" t="e">
            <v>#VALUE!</v>
          </cell>
          <cell r="Q754" t="e">
            <v>#VALUE!</v>
          </cell>
          <cell r="R754" t="e">
            <v>#VALUE!</v>
          </cell>
          <cell r="S754" t="e">
            <v>#VALUE!</v>
          </cell>
          <cell r="T754" t="e">
            <v>#VALUE!</v>
          </cell>
          <cell r="U754" t="e">
            <v>#VALUE!</v>
          </cell>
          <cell r="V754">
            <v>0</v>
          </cell>
          <cell r="W754">
            <v>0</v>
          </cell>
          <cell r="X754">
            <v>0</v>
          </cell>
          <cell r="Y754" t="e">
            <v>#VALUE!</v>
          </cell>
          <cell r="Z754" t="str">
            <v xml:space="preserve"> </v>
          </cell>
          <cell r="AA754" t="e">
            <v>#VALUE!</v>
          </cell>
          <cell r="AB754" t="e">
            <v>#VALUE!</v>
          </cell>
        </row>
        <row r="755">
          <cell r="A755">
            <v>5513</v>
          </cell>
          <cell r="C755" t="str">
            <v>Odplačila dolga drugim tujim kreditodajalcem</v>
          </cell>
          <cell r="D755">
            <v>0</v>
          </cell>
          <cell r="E755">
            <v>1806260</v>
          </cell>
          <cell r="F755">
            <v>-1806260</v>
          </cell>
          <cell r="G755">
            <v>0</v>
          </cell>
          <cell r="H755">
            <v>-100</v>
          </cell>
          <cell r="I755" t="e">
            <v>#VALUE!</v>
          </cell>
          <cell r="J755" t="e">
            <v>#VALUE!</v>
          </cell>
          <cell r="K755" t="e">
            <v>#VALUE!</v>
          </cell>
          <cell r="L755" t="e">
            <v>#VALUE!</v>
          </cell>
          <cell r="N755" t="e">
            <v>#VALUE!</v>
          </cell>
          <cell r="O755" t="e">
            <v>#VALUE!</v>
          </cell>
          <cell r="P755" t="e">
            <v>#VALUE!</v>
          </cell>
          <cell r="Q755" t="e">
            <v>#VALUE!</v>
          </cell>
          <cell r="R755" t="e">
            <v>#VALUE!</v>
          </cell>
          <cell r="S755" t="e">
            <v>#VALUE!</v>
          </cell>
          <cell r="T755" t="e">
            <v>#VALUE!</v>
          </cell>
          <cell r="U755" t="e">
            <v>#VALUE!</v>
          </cell>
          <cell r="V755">
            <v>0</v>
          </cell>
          <cell r="W755">
            <v>986973</v>
          </cell>
          <cell r="X755">
            <v>0</v>
          </cell>
          <cell r="Y755" t="e">
            <v>#VALUE!</v>
          </cell>
          <cell r="Z755" t="str">
            <v xml:space="preserve"> </v>
          </cell>
          <cell r="AA755" t="e">
            <v>#VALUE!</v>
          </cell>
          <cell r="AB755" t="e">
            <v>#VALUE!</v>
          </cell>
        </row>
        <row r="756">
          <cell r="A756">
            <v>5514</v>
          </cell>
          <cell r="C756" t="str">
            <v>Odplačila glavnice vrednostnih papirjev, izdanih na tujih trgih</v>
          </cell>
          <cell r="D756">
            <v>2050212.3574399999</v>
          </cell>
          <cell r="G756" t="str">
            <v>…</v>
          </cell>
          <cell r="H756" t="str">
            <v>…</v>
          </cell>
          <cell r="I756" t="e">
            <v>#VALUE!</v>
          </cell>
          <cell r="J756" t="e">
            <v>#VALUE!</v>
          </cell>
          <cell r="K756" t="e">
            <v>#VALUE!</v>
          </cell>
          <cell r="N756" t="e">
            <v>#VALUE!</v>
          </cell>
          <cell r="O756" t="e">
            <v>#VALUE!</v>
          </cell>
          <cell r="P756" t="e">
            <v>#VALUE!</v>
          </cell>
          <cell r="Q756" t="e">
            <v>#VALUE!</v>
          </cell>
          <cell r="R756" t="e">
            <v>#VALUE!</v>
          </cell>
          <cell r="S756" t="e">
            <v>#VALUE!</v>
          </cell>
          <cell r="T756" t="e">
            <v>#VALUE!</v>
          </cell>
          <cell r="U756" t="e">
            <v>#VALUE!</v>
          </cell>
          <cell r="Y756" t="e">
            <v>#VALUE!</v>
          </cell>
          <cell r="Z756" t="str">
            <v xml:space="preserve"> </v>
          </cell>
          <cell r="AA756" t="e">
            <v>#VALUE!</v>
          </cell>
          <cell r="AB756" t="e">
            <v>#VALUE!</v>
          </cell>
        </row>
        <row r="758">
          <cell r="B758" t="str">
            <v>IX.</v>
          </cell>
          <cell r="C758" t="str">
            <v xml:space="preserve">POVEČANJE (ZMANJŠANJE) </v>
          </cell>
          <cell r="D758">
            <v>3389987.0309900939</v>
          </cell>
          <cell r="E758">
            <v>244500.3696719408</v>
          </cell>
          <cell r="F758">
            <v>3145486.6613181531</v>
          </cell>
          <cell r="G758" t="str">
            <v>…</v>
          </cell>
          <cell r="H758" t="str">
            <v>…</v>
          </cell>
          <cell r="I758" t="e">
            <v>#VALUE!</v>
          </cell>
          <cell r="J758" t="e">
            <v>#VALUE!</v>
          </cell>
          <cell r="K758" t="e">
            <v>#VALUE!</v>
          </cell>
          <cell r="L758" t="e">
            <v>#VALUE!</v>
          </cell>
          <cell r="N758" t="e">
            <v>#VALUE!</v>
          </cell>
          <cell r="O758" t="e">
            <v>#VALUE!</v>
          </cell>
          <cell r="P758" t="e">
            <v>#VALUE!</v>
          </cell>
          <cell r="Q758" t="e">
            <v>#VALUE!</v>
          </cell>
          <cell r="R758" t="e">
            <v>#VALUE!</v>
          </cell>
          <cell r="S758" t="e">
            <v>#VALUE!</v>
          </cell>
          <cell r="T758" t="e">
            <v>#VALUE!</v>
          </cell>
          <cell r="U758" t="e">
            <v>#VALUE!</v>
          </cell>
          <cell r="V758">
            <v>26773527.699798822</v>
          </cell>
          <cell r="W758">
            <v>-10199294.737875655</v>
          </cell>
          <cell r="X758">
            <v>16807577.889999993</v>
          </cell>
          <cell r="Y758" t="e">
            <v>#VALUE!</v>
          </cell>
          <cell r="Z758" t="e">
            <v>#VALUE!</v>
          </cell>
          <cell r="AA758" t="str">
            <v>…</v>
          </cell>
          <cell r="AB758" t="str">
            <v>…</v>
          </cell>
        </row>
        <row r="759">
          <cell r="C759" t="str">
            <v>SREDSTEV NA RAČUNIH (I.+IV.+VII.-II.-V.-VIII.)</v>
          </cell>
        </row>
        <row r="760">
          <cell r="A760" t="str">
            <v xml:space="preserve"> </v>
          </cell>
          <cell r="B760" t="str">
            <v>X.</v>
          </cell>
          <cell r="C760" t="str">
            <v>NETO FINANCRANJE (VI.+VII.-VIII.-IX. = - III.)</v>
          </cell>
          <cell r="D760">
            <v>38598926.246579885</v>
          </cell>
          <cell r="E760">
            <v>38393134.630328059</v>
          </cell>
          <cell r="F760">
            <v>205791.61625182629</v>
          </cell>
          <cell r="G760" t="str">
            <v>…</v>
          </cell>
          <cell r="H760" t="str">
            <v>…</v>
          </cell>
          <cell r="I760" t="e">
            <v>#VALUE!</v>
          </cell>
          <cell r="J760" t="e">
            <v>#VALUE!</v>
          </cell>
          <cell r="K760" t="e">
            <v>#VALUE!</v>
          </cell>
          <cell r="L760" t="e">
            <v>#VALUE!</v>
          </cell>
          <cell r="N760" t="e">
            <v>#VALUE!</v>
          </cell>
          <cell r="O760" t="e">
            <v>#VALUE!</v>
          </cell>
          <cell r="P760" t="e">
            <v>#VALUE!</v>
          </cell>
          <cell r="Q760" t="e">
            <v>#VALUE!</v>
          </cell>
          <cell r="R760" t="e">
            <v>#VALUE!</v>
          </cell>
          <cell r="S760" t="e">
            <v>#VALUE!</v>
          </cell>
          <cell r="T760" t="e">
            <v>#VALUE!</v>
          </cell>
          <cell r="U760" t="e">
            <v>#VALUE!</v>
          </cell>
          <cell r="V760">
            <v>-31207014.699798822</v>
          </cell>
          <cell r="W760">
            <v>-20302559.262124345</v>
          </cell>
          <cell r="X760">
            <v>-17787611.889999993</v>
          </cell>
          <cell r="Y760" t="e">
            <v>#VALUE!</v>
          </cell>
          <cell r="Z760" t="e">
            <v>#VALUE!</v>
          </cell>
          <cell r="AA760" t="str">
            <v>…</v>
          </cell>
          <cell r="AB760" t="str">
            <v>…</v>
          </cell>
        </row>
        <row r="762">
          <cell r="A762" t="str">
            <v xml:space="preserve">  *)  V realiziranem obsegu zadolževanja državnega proračuna v obdobju januar - december 1999 je zajeto tudi zadolževanje proračuna, ki je posledica zagotavljanja sredstev za realizacijo temeljnih razvojnih programov v obrambi, ki skladno z zakonom o izvr</v>
          </cell>
        </row>
        <row r="763">
          <cell r="A763" t="str">
            <v xml:space="preserve">       V obdobju  januar - december 1999 je bil skupni realizirani obseg zadolževanja za realizacijo temeljnih razvojnih programov v obrambi znašal 8.551.513 tisoč SIT. Skupni obseg zadolževanja - vključno z zadolževanjem za TRP, je v obdobju januar-decem</v>
          </cell>
        </row>
        <row r="775">
          <cell r="A775" t="str">
            <v xml:space="preserve"> </v>
          </cell>
        </row>
        <row r="776">
          <cell r="A776" t="str">
            <v xml:space="preserve"> </v>
          </cell>
        </row>
        <row r="777">
          <cell r="A777" t="str">
            <v xml:space="preserve"> </v>
          </cell>
        </row>
        <row r="778">
          <cell r="A778"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P_Dollars"/>
      <sheetName val="SR Table 2004"/>
      <sheetName val="SR Table 2008"/>
      <sheetName val="SR_%GDP"/>
      <sheetName val="Export of goods EU NonEU"/>
      <sheetName val="ControlSheet"/>
      <sheetName val="CurrentAccount"/>
      <sheetName val="CapitalAccount"/>
      <sheetName val="IntLiq"/>
      <sheetName val="i1-CA"/>
      <sheetName val="i2-KA"/>
      <sheetName val="i3-LQ"/>
      <sheetName val="BOP$_1994-2001"/>
      <sheetName val="BOP_SIT_1994-2001"/>
      <sheetName val="BOP_Euros_1994-2001"/>
      <sheetName val="Assu"/>
      <sheetName val="BoP monthly"/>
      <sheetName val="BoP monthly Euros"/>
      <sheetName val="BoP monthly SIT"/>
      <sheetName val="BoP"/>
      <sheetName val="SR table"/>
      <sheetName val="Assu. summary"/>
      <sheetName val="Export_goods"/>
      <sheetName val="Import_goods"/>
      <sheetName val="Mission vs now"/>
      <sheetName val="Graphs"/>
      <sheetName val="Exchange rates"/>
      <sheetName val="X Services"/>
      <sheetName val="M Services"/>
      <sheetName val="oil prices"/>
      <sheetName val="Services"/>
      <sheetName val="Exports EU_non"/>
      <sheetName val="IndProd_X"/>
      <sheetName val="BoP 2002"/>
      <sheetName val="SR_E"/>
      <sheetName val="Q4_H4"/>
      <sheetName val="Prorač"/>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 val="i1-CA"/>
      <sheetName val="Prorač"/>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 sheetId="4" refreshError="1"/>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Table 1. Czech Republic: Selected Economic and Financial Indicators, 1997–2002</v>
          </cell>
        </row>
        <row r="6">
          <cell r="D6">
            <v>1994</v>
          </cell>
          <cell r="E6">
            <v>1997</v>
          </cell>
          <cell r="F6">
            <v>1998</v>
          </cell>
          <cell r="G6">
            <v>1999</v>
          </cell>
        </row>
        <row r="10">
          <cell r="A10" t="str">
            <v>Real sector</v>
          </cell>
        </row>
        <row r="11">
          <cell r="A11" t="str">
            <v xml:space="preserve">  Real GDP </v>
          </cell>
          <cell r="D11">
            <v>3.2</v>
          </cell>
          <cell r="E11">
            <v>-1</v>
          </cell>
          <cell r="F11" t="str">
            <v>-2.2</v>
          </cell>
          <cell r="G11" t="str">
            <v>-0.8</v>
          </cell>
        </row>
        <row r="12">
          <cell r="A12" t="str">
            <v xml:space="preserve">  CPI inflation</v>
          </cell>
        </row>
        <row r="13">
          <cell r="A13" t="str">
            <v xml:space="preserve">    Period average</v>
          </cell>
          <cell r="D13">
            <v>10</v>
          </cell>
          <cell r="E13">
            <v>8.5</v>
          </cell>
          <cell r="F13">
            <v>10.7</v>
          </cell>
          <cell r="G13" t="str">
            <v>2.1</v>
          </cell>
        </row>
        <row r="14">
          <cell r="A14" t="str">
            <v xml:space="preserve">    12-month change</v>
          </cell>
          <cell r="D14">
            <v>10.199999999999999</v>
          </cell>
          <cell r="E14">
            <v>10</v>
          </cell>
          <cell r="F14">
            <v>6.8</v>
          </cell>
          <cell r="G14" t="str">
            <v>2.5</v>
          </cell>
        </row>
        <row r="15">
          <cell r="A15" t="str">
            <v xml:space="preserve">  Net inflation, 12-month change 2/</v>
          </cell>
          <cell r="D15" t="str">
            <v>...</v>
          </cell>
          <cell r="E15">
            <v>6.8</v>
          </cell>
          <cell r="F15">
            <v>1.7</v>
          </cell>
          <cell r="G15">
            <v>1.5</v>
          </cell>
        </row>
        <row r="16">
          <cell r="A16" t="str">
            <v xml:space="preserve">  Real wages (industry), period average</v>
          </cell>
          <cell r="D16">
            <v>7.7</v>
          </cell>
          <cell r="E16">
            <v>3.2</v>
          </cell>
          <cell r="F16">
            <v>-0.2</v>
          </cell>
          <cell r="G16">
            <v>4.5999999999999996</v>
          </cell>
        </row>
        <row r="17">
          <cell r="A17" t="str">
            <v xml:space="preserve">  Registered unemployed, per. average (percent of labor force)</v>
          </cell>
          <cell r="E17">
            <v>4.3</v>
          </cell>
          <cell r="F17">
            <v>6.1</v>
          </cell>
          <cell r="G17" t="str">
            <v>8.6</v>
          </cell>
        </row>
        <row r="19">
          <cell r="A19" t="str">
            <v xml:space="preserve"> </v>
          </cell>
        </row>
        <row r="20">
          <cell r="A20" t="str">
            <v>Fiscal sector 3/</v>
          </cell>
        </row>
        <row r="21">
          <cell r="A21" t="str">
            <v xml:space="preserve">  Revenues</v>
          </cell>
          <cell r="D21">
            <v>43.9</v>
          </cell>
          <cell r="E21">
            <v>39.614958084338504</v>
          </cell>
          <cell r="F21">
            <v>38.622620161234991</v>
          </cell>
          <cell r="G21">
            <v>39.416899580093521</v>
          </cell>
        </row>
        <row r="22">
          <cell r="A22" t="str">
            <v xml:space="preserve">  Expenditures and net lending</v>
          </cell>
          <cell r="D22">
            <v>43.1</v>
          </cell>
          <cell r="E22">
            <v>41.621004797249405</v>
          </cell>
          <cell r="F22">
            <v>40.993229785459221</v>
          </cell>
          <cell r="G22">
            <v>42.021114540420967</v>
          </cell>
        </row>
        <row r="23">
          <cell r="A23" t="str">
            <v xml:space="preserve">  Overall Balance</v>
          </cell>
          <cell r="D23">
            <v>0.8</v>
          </cell>
          <cell r="E23">
            <v>-2.0060467129109076</v>
          </cell>
          <cell r="F23">
            <v>-2.3706096242242349</v>
          </cell>
          <cell r="G23">
            <v>-2.6042149603274525</v>
          </cell>
        </row>
        <row r="24">
          <cell r="A24" t="str">
            <v xml:space="preserve">    Excluding grants to transformation institutions</v>
          </cell>
        </row>
        <row r="25">
          <cell r="A25" t="str">
            <v xml:space="preserve">      to cover costs related to bad asset management</v>
          </cell>
          <cell r="E25">
            <v>-1.6429343998914263</v>
          </cell>
          <cell r="F25">
            <v>-1.3699965261405209</v>
          </cell>
          <cell r="G25">
            <v>-2.1944286225212979</v>
          </cell>
        </row>
        <row r="26">
          <cell r="A26" t="str">
            <v xml:space="preserve">  Gross debt </v>
          </cell>
          <cell r="D26">
            <v>18.100000000000001</v>
          </cell>
          <cell r="E26">
            <v>12.947037390448719</v>
          </cell>
          <cell r="F26">
            <v>13.067809954839825</v>
          </cell>
          <cell r="G26">
            <v>14.549693349052232</v>
          </cell>
        </row>
        <row r="27">
          <cell r="A27" t="str">
            <v xml:space="preserve">  Loan guarantees outstanding 4/</v>
          </cell>
          <cell r="E27">
            <v>16.976988798878043</v>
          </cell>
          <cell r="F27">
            <v>17.064381832695002</v>
          </cell>
          <cell r="G27">
            <v>15.381558555097824</v>
          </cell>
        </row>
        <row r="30">
          <cell r="A30" t="str">
            <v>Money and credit (end-of-period)</v>
          </cell>
        </row>
        <row r="31">
          <cell r="A31" t="str">
            <v xml:space="preserve">  Broad money </v>
          </cell>
          <cell r="D31">
            <v>19.899999999999999</v>
          </cell>
          <cell r="E31">
            <v>8.6999999999999993</v>
          </cell>
          <cell r="F31">
            <v>5.2</v>
          </cell>
          <cell r="G31">
            <v>8.1</v>
          </cell>
        </row>
        <row r="32">
          <cell r="A32" t="str">
            <v xml:space="preserve">  Credit to enterprises and households</v>
          </cell>
          <cell r="D32">
            <v>16.600000000000001</v>
          </cell>
          <cell r="E32">
            <v>9.4</v>
          </cell>
          <cell r="F32">
            <v>-3.5</v>
          </cell>
          <cell r="G32">
            <v>-3.9</v>
          </cell>
        </row>
        <row r="33">
          <cell r="A33" t="str">
            <v xml:space="preserve">  Net foreign assets</v>
          </cell>
          <cell r="D33">
            <v>11.2</v>
          </cell>
          <cell r="E33">
            <v>20.100000000000001</v>
          </cell>
          <cell r="F33">
            <v>25.6</v>
          </cell>
          <cell r="G33">
            <v>33.200000000000003</v>
          </cell>
        </row>
        <row r="34">
          <cell r="A34" t="str">
            <v xml:space="preserve">  Velocity (percentage change, end-of-period)</v>
          </cell>
          <cell r="D34">
            <v>4</v>
          </cell>
          <cell r="E34">
            <v>-2.2999999999999998</v>
          </cell>
          <cell r="F34">
            <v>2.4</v>
          </cell>
          <cell r="G34">
            <v>-5.7</v>
          </cell>
        </row>
        <row r="37">
          <cell r="A37" t="str">
            <v>Interest rates</v>
          </cell>
        </row>
        <row r="38">
          <cell r="A38" t="str">
            <v xml:space="preserve">  Average lending rate </v>
          </cell>
          <cell r="D38">
            <v>12.8</v>
          </cell>
          <cell r="E38">
            <v>13.2</v>
          </cell>
          <cell r="F38">
            <v>12.9</v>
          </cell>
          <cell r="G38">
            <v>8.6999999999999993</v>
          </cell>
        </row>
        <row r="39">
          <cell r="A39" t="str">
            <v xml:space="preserve">  Average deposit rate </v>
          </cell>
          <cell r="D39">
            <v>6.9</v>
          </cell>
          <cell r="E39">
            <v>7.7</v>
          </cell>
          <cell r="F39">
            <v>8.1</v>
          </cell>
          <cell r="G39">
            <v>4.5</v>
          </cell>
        </row>
        <row r="42">
          <cell r="A42" t="str">
            <v xml:space="preserve">Balance of payments </v>
          </cell>
        </row>
        <row r="43">
          <cell r="A43" t="str">
            <v xml:space="preserve">  Merchandise exports</v>
          </cell>
          <cell r="D43">
            <v>16</v>
          </cell>
          <cell r="E43">
            <v>22.776700000000002</v>
          </cell>
          <cell r="F43">
            <v>26.351400000000002</v>
          </cell>
          <cell r="G43">
            <v>26.264599999999998</v>
          </cell>
        </row>
        <row r="44">
          <cell r="A44" t="str">
            <v xml:space="preserve">  Merchandise imports</v>
          </cell>
          <cell r="D44">
            <v>17.3</v>
          </cell>
          <cell r="E44">
            <v>27.3171</v>
          </cell>
          <cell r="F44">
            <v>28.904900000000001</v>
          </cell>
          <cell r="G44">
            <v>28.167200000000001</v>
          </cell>
        </row>
        <row r="45">
          <cell r="A45" t="str">
            <v xml:space="preserve">  Trade balance</v>
          </cell>
          <cell r="D45">
            <v>-1.3</v>
          </cell>
          <cell r="E45">
            <v>-4.5403999999999982</v>
          </cell>
          <cell r="F45">
            <v>-2.5535000000000001</v>
          </cell>
          <cell r="G45">
            <v>-1.9026000000000023</v>
          </cell>
        </row>
        <row r="46">
          <cell r="A46" t="str">
            <v xml:space="preserve">  Current account</v>
          </cell>
          <cell r="D46">
            <v>-0.8</v>
          </cell>
          <cell r="E46">
            <v>-3.2109999999999967</v>
          </cell>
          <cell r="F46">
            <v>-1.3357000000000003</v>
          </cell>
          <cell r="G46">
            <v>-1.5671000000000022</v>
          </cell>
        </row>
        <row r="47">
          <cell r="A47" t="str">
            <v xml:space="preserve">    (Percent of GDP)</v>
          </cell>
          <cell r="D47">
            <v>-2</v>
          </cell>
          <cell r="E47">
            <v>-6.1035594439117942</v>
          </cell>
          <cell r="F47">
            <v>-2.396763610076186</v>
          </cell>
          <cell r="G47">
            <v>-2.9580687397708703</v>
          </cell>
        </row>
        <row r="48">
          <cell r="A48" t="str">
            <v xml:space="preserve">  Non-debt capital inflows (percent of GDP) 5/</v>
          </cell>
          <cell r="D48">
            <v>3</v>
          </cell>
          <cell r="E48">
            <v>3.2977468948123891</v>
          </cell>
          <cell r="F48">
            <v>6.8181348275858973</v>
          </cell>
          <cell r="G48">
            <v>10.747844807211624</v>
          </cell>
        </row>
        <row r="51">
          <cell r="A51" t="str">
            <v>Reserves and external debt</v>
          </cell>
        </row>
        <row r="52">
          <cell r="A52" t="str">
            <v xml:space="preserve">  Gross official reserves (end-of-period)</v>
          </cell>
          <cell r="D52">
            <v>6.2</v>
          </cell>
          <cell r="E52">
            <v>9.7739999999999991</v>
          </cell>
          <cell r="F52">
            <v>12.617000000000001</v>
          </cell>
          <cell r="G52">
            <v>12.824999999999999</v>
          </cell>
        </row>
        <row r="53">
          <cell r="A53" t="str">
            <v xml:space="preserve">   (In months of  imports of goods and services)</v>
          </cell>
          <cell r="D53">
            <v>4.3</v>
          </cell>
          <cell r="E53">
            <v>3.5850348453356156</v>
          </cell>
          <cell r="F53">
            <v>4.3751426796318507</v>
          </cell>
          <cell r="G53">
            <v>4.5273361083736594</v>
          </cell>
        </row>
        <row r="54">
          <cell r="A54" t="str">
            <v xml:space="preserve">  Total external debt (end-of-period)  7/</v>
          </cell>
          <cell r="D54">
            <v>10.7</v>
          </cell>
          <cell r="E54">
            <v>21.616499999999998</v>
          </cell>
          <cell r="F54">
            <v>24.348400000000002</v>
          </cell>
          <cell r="G54">
            <v>22.798399999999997</v>
          </cell>
        </row>
        <row r="55">
          <cell r="A55" t="str">
            <v xml:space="preserve">   (Percent of GDP) </v>
          </cell>
          <cell r="D55">
            <v>26.9</v>
          </cell>
          <cell r="E55">
            <v>44.865238494726746</v>
          </cell>
          <cell r="F55">
            <v>40.42263804704443</v>
          </cell>
          <cell r="G55">
            <v>44.877294053464261</v>
          </cell>
        </row>
        <row r="56">
          <cell r="A56" t="str">
            <v xml:space="preserve">  Short-term debt (convertible currencies, end-of-period)  7/</v>
          </cell>
          <cell r="D56">
            <v>2.9</v>
          </cell>
          <cell r="E56">
            <v>7.0591999999999997</v>
          </cell>
          <cell r="F56">
            <v>9.0919000000000008</v>
          </cell>
          <cell r="G56">
            <v>8.5187999999999988</v>
          </cell>
        </row>
        <row r="57">
          <cell r="A57" t="str">
            <v xml:space="preserve">  External debt service ratio in convertible currencies  7/</v>
          </cell>
        </row>
        <row r="58">
          <cell r="A58" t="str">
            <v xml:space="preserve">    (Percent of exports of goods and nonfactor services)</v>
          </cell>
          <cell r="D58">
            <v>13.1</v>
          </cell>
          <cell r="E58">
            <v>15.722020515115785</v>
          </cell>
          <cell r="F58">
            <v>15.139651764372179</v>
          </cell>
          <cell r="G58">
            <v>12.767906099552311</v>
          </cell>
        </row>
        <row r="61">
          <cell r="A61" t="str">
            <v>Exchange rate (period average)</v>
          </cell>
        </row>
        <row r="62">
          <cell r="A62" t="str">
            <v xml:space="preserve">  Nominal effective </v>
          </cell>
          <cell r="D62">
            <v>-0.17093711260115496</v>
          </cell>
          <cell r="E62">
            <v>-3.7</v>
          </cell>
          <cell r="F62">
            <v>-0.6</v>
          </cell>
          <cell r="G62">
            <v>-3.6</v>
          </cell>
        </row>
        <row r="63">
          <cell r="A63" t="str">
            <v xml:space="preserve">  Real effective (ULC-based)</v>
          </cell>
          <cell r="D63">
            <v>9.0117606701676003</v>
          </cell>
          <cell r="E63">
            <v>-0.4</v>
          </cell>
          <cell r="F63">
            <v>8.1</v>
          </cell>
          <cell r="G63">
            <v>-0.7</v>
          </cell>
        </row>
        <row r="65">
          <cell r="A65" t="str">
            <v>Memorandum item:</v>
          </cell>
        </row>
        <row r="66">
          <cell r="A66" t="str">
            <v xml:space="preserve">  GDP in nominal terms</v>
          </cell>
        </row>
        <row r="67">
          <cell r="A67" t="str">
            <v xml:space="preserve">    (In US$ billions)</v>
          </cell>
          <cell r="D67">
            <v>39.799999999999997</v>
          </cell>
          <cell r="E67">
            <v>52.608646307244861</v>
          </cell>
          <cell r="F67">
            <v>55.729317417229232</v>
          </cell>
          <cell r="G67">
            <v>52.977132645044229</v>
          </cell>
        </row>
        <row r="68">
          <cell r="A68" t="str">
            <v xml:space="preserve">    (In CZK billions)</v>
          </cell>
          <cell r="D68">
            <v>1148.5999999999999</v>
          </cell>
          <cell r="E68">
            <v>1668.8</v>
          </cell>
          <cell r="F68">
            <v>1798.3</v>
          </cell>
          <cell r="G68">
            <v>1833</v>
          </cell>
        </row>
        <row r="70">
          <cell r="A70" t="str">
            <v xml:space="preserve">  </v>
          </cell>
        </row>
        <row r="71">
          <cell r="A71" t="str">
            <v>Sources: Czech authorities; and staff estimates and projections.</v>
          </cell>
        </row>
        <row r="73">
          <cell r="A73" t="str">
            <v>1/ Staff projections.</v>
          </cell>
        </row>
        <row r="74">
          <cell r="A74" t="str">
            <v>2/ Net inflation excludes regulated prices and changes in indirect taxes. Authorities' target range for 2001.</v>
          </cell>
        </row>
        <row r="75">
          <cell r="A75" t="str">
            <v>3/ General government operations and debt; central government guarantees. Revenues and expenditures include privatization receipts and therefore</v>
          </cell>
        </row>
      </sheetData>
      <sheetData sheetId="8"/>
      <sheetData sheetId="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Sel. Ind. Tbl"/>
      <sheetName val="Sheet1"/>
      <sheetName val="SUMMARY"/>
      <sheetName val="ARDAL_Loan"/>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22"/>
      <sheetName val="Table 23"/>
      <sheetName val="Table 24"/>
      <sheetName val="Table 25"/>
      <sheetName val="Table26"/>
      <sheetName val="Table 27"/>
      <sheetName val="Table28"/>
      <sheetName val="Table 29"/>
      <sheetName val="ControlSheet"/>
      <sheetName val="Table 30"/>
      <sheetName val="Table21"/>
      <sheetName val="Table 22"/>
      <sheetName val="Table24"/>
      <sheetName val="IMATA"/>
      <sheetName val="SUMMARY"/>
      <sheetName val="ARDAL_Loan"/>
      <sheetName val="RED4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ummary Table"/>
      <sheetName val="Table"/>
      <sheetName val="B"/>
      <sheetName val="perfcrit 2"/>
      <sheetName val="Table 1"/>
      <sheetName val="SUMMARY"/>
      <sheetName val="ARDAL_Loan"/>
      <sheetName val="g13_EU cerpanie  EU28"/>
      <sheetName val="Sel. Ind. Tbl"/>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Rank"/>
      <sheetName val="Commercial Banks"/>
      <sheetName val="T7"/>
      <sheetName val="Table3"/>
      <sheetName val="Annual BiH summary data"/>
      <sheetName val="Table 37"/>
      <sheetName val="Table 1"/>
      <sheetName val="SUMMARY"/>
      <sheetName val="ARDAL_Loan"/>
    </sheetNames>
    <sheetDataSet>
      <sheetData sheetId="0" refreshError="1"/>
      <sheetData sheetId="1" refreshError="1"/>
      <sheetData sheetId="2" refreshError="1">
        <row r="3">
          <cell r="B3" t="str">
            <v>External Debt Sustainability Framework, 2000-2010</v>
          </cell>
        </row>
        <row r="4">
          <cell r="B4" t="str">
            <v>(In percent of GDP, unless otherwise indicated)</v>
          </cell>
        </row>
        <row r="7">
          <cell r="F7" t="str">
            <v xml:space="preserve">Actual </v>
          </cell>
          <cell r="S7" t="str">
            <v>Projections</v>
          </cell>
        </row>
        <row r="8">
          <cell r="C8">
            <v>1995</v>
          </cell>
          <cell r="D8">
            <v>1996</v>
          </cell>
          <cell r="E8">
            <v>1997</v>
          </cell>
          <cell r="F8">
            <v>1998</v>
          </cell>
          <cell r="G8">
            <v>1999</v>
          </cell>
          <cell r="H8">
            <v>2000</v>
          </cell>
          <cell r="I8">
            <v>2001</v>
          </cell>
          <cell r="J8">
            <v>2002</v>
          </cell>
          <cell r="K8">
            <v>2003</v>
          </cell>
          <cell r="L8">
            <v>2004</v>
          </cell>
          <cell r="M8">
            <v>2005</v>
          </cell>
          <cell r="S8">
            <v>2006</v>
          </cell>
          <cell r="T8">
            <v>2007</v>
          </cell>
          <cell r="U8">
            <v>2008</v>
          </cell>
          <cell r="V8">
            <v>2009</v>
          </cell>
          <cell r="W8">
            <v>2010</v>
          </cell>
          <cell r="X8">
            <v>2011</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27.827143186829524</v>
          </cell>
          <cell r="D12">
            <v>28.477824267660534</v>
          </cell>
          <cell r="E12">
            <v>31.072419950435865</v>
          </cell>
          <cell r="F12">
            <v>36.574292747427883</v>
          </cell>
          <cell r="G12">
            <v>40.264478031766188</v>
          </cell>
          <cell r="H12">
            <v>45.409712848704906</v>
          </cell>
          <cell r="I12">
            <v>46.054244929808483</v>
          </cell>
          <cell r="J12">
            <v>47.523120253755543</v>
          </cell>
          <cell r="K12">
            <v>52.299048021540614</v>
          </cell>
          <cell r="L12">
            <v>46.437884371086149</v>
          </cell>
          <cell r="M12">
            <v>37.800126732454714</v>
          </cell>
          <cell r="S12">
            <v>38.362436203717643</v>
          </cell>
          <cell r="T12">
            <v>38.406957404478156</v>
          </cell>
          <cell r="U12">
            <v>38.146187105693365</v>
          </cell>
          <cell r="V12">
            <v>36.808499323906979</v>
          </cell>
          <cell r="W12">
            <v>35.558309557314352</v>
          </cell>
          <cell r="X12">
            <v>34.529000742578553</v>
          </cell>
          <cell r="AA12">
            <v>-1.7918969785476864</v>
          </cell>
        </row>
        <row r="14">
          <cell r="A14">
            <v>2</v>
          </cell>
          <cell r="B14" t="str">
            <v>Change in external debt</v>
          </cell>
          <cell r="D14">
            <v>0.65068108083100995</v>
          </cell>
          <cell r="E14">
            <v>2.5945956827753314</v>
          </cell>
          <cell r="F14">
            <v>5.5018727969920178</v>
          </cell>
          <cell r="G14">
            <v>3.6901852843383054</v>
          </cell>
          <cell r="H14">
            <v>5.1452348169387179</v>
          </cell>
          <cell r="I14">
            <v>0.64453208110357707</v>
          </cell>
          <cell r="J14">
            <v>1.46887532394706</v>
          </cell>
          <cell r="K14">
            <v>4.7759277677850704</v>
          </cell>
          <cell r="L14">
            <v>-5.8611636504544649</v>
          </cell>
          <cell r="M14">
            <v>-8.6377576386314345</v>
          </cell>
          <cell r="S14">
            <v>0.56230947126292818</v>
          </cell>
          <cell r="T14">
            <v>4.452120076051358E-2</v>
          </cell>
          <cell r="U14">
            <v>-0.26077029878479152</v>
          </cell>
          <cell r="V14">
            <v>-1.3376877817863857</v>
          </cell>
          <cell r="W14">
            <v>-1.2501897665926265</v>
          </cell>
          <cell r="X14">
            <v>-1.0293088147357992</v>
          </cell>
          <cell r="Y14">
            <v>0</v>
          </cell>
        </row>
        <row r="15">
          <cell r="A15">
            <v>3</v>
          </cell>
          <cell r="B15" t="str">
            <v>Identified external debt-creating flows (4+8+9)</v>
          </cell>
          <cell r="D15">
            <v>2.5155907450021102</v>
          </cell>
          <cell r="E15">
            <v>-1.6629987718349488</v>
          </cell>
          <cell r="F15">
            <v>-2.090591783671492</v>
          </cell>
          <cell r="G15">
            <v>6.2629521364405036</v>
          </cell>
          <cell r="H15">
            <v>6.4528783696999321</v>
          </cell>
          <cell r="I15">
            <v>-2.1706731470476841</v>
          </cell>
          <cell r="J15">
            <v>-3.8432895871342665</v>
          </cell>
          <cell r="K15">
            <v>7.4168454666967314</v>
          </cell>
          <cell r="L15">
            <v>-6.3385907149520051</v>
          </cell>
          <cell r="M15">
            <v>-11.519119623015765</v>
          </cell>
          <cell r="S15">
            <v>0.42302703127567698</v>
          </cell>
          <cell r="T15">
            <v>0.63506520301859881</v>
          </cell>
          <cell r="U15">
            <v>-0.66785436892264993</v>
          </cell>
          <cell r="V15">
            <v>-1.5555077461891385</v>
          </cell>
          <cell r="W15">
            <v>-1.5347336122325728</v>
          </cell>
          <cell r="X15">
            <v>-1.5222228799874453</v>
          </cell>
          <cell r="Y15">
            <v>0</v>
          </cell>
        </row>
        <row r="16">
          <cell r="A16">
            <v>4</v>
          </cell>
          <cell r="B16" t="str">
            <v>Current account deficit, excluding interest payments</v>
          </cell>
          <cell r="D16">
            <v>2.9500705138157968</v>
          </cell>
          <cell r="E16">
            <v>2.6435604766287164</v>
          </cell>
          <cell r="F16">
            <v>3.538040599460019</v>
          </cell>
          <cell r="G16">
            <v>2.5657779902981943</v>
          </cell>
          <cell r="H16">
            <v>-3.895406019845713</v>
          </cell>
          <cell r="I16">
            <v>-4.0882190744706284</v>
          </cell>
          <cell r="J16">
            <v>-2.0265264117934039</v>
          </cell>
          <cell r="K16">
            <v>-1.5842426889007037</v>
          </cell>
          <cell r="L16">
            <v>-1.4885347019879471</v>
          </cell>
          <cell r="M16">
            <v>-1.4646583321137183</v>
          </cell>
          <cell r="S16">
            <v>0.42992179530000463</v>
          </cell>
          <cell r="T16">
            <v>0.62345597052561874</v>
          </cell>
          <cell r="U16">
            <v>0.5839605977487039</v>
          </cell>
          <cell r="V16">
            <v>0.27555274141605451</v>
          </cell>
          <cell r="W16">
            <v>0.2407546828294263</v>
          </cell>
          <cell r="X16">
            <v>0.25937471636527804</v>
          </cell>
          <cell r="Y16">
            <v>1.7918969785476864</v>
          </cell>
        </row>
        <row r="17">
          <cell r="A17">
            <v>5</v>
          </cell>
          <cell r="B17" t="str">
            <v>Deficit in balance of goods and services</v>
          </cell>
          <cell r="D17">
            <v>3.9608664324196017</v>
          </cell>
          <cell r="E17">
            <v>-3.4796248445492726</v>
          </cell>
          <cell r="F17">
            <v>-3.3729061676472778</v>
          </cell>
          <cell r="G17">
            <v>-3.2060102481046986</v>
          </cell>
          <cell r="H17">
            <v>-8.4798428565616959</v>
          </cell>
          <cell r="I17">
            <v>-10.212378201437215</v>
          </cell>
          <cell r="J17">
            <v>-7.7666073678079464</v>
          </cell>
          <cell r="K17">
            <v>-7.6148200625131821</v>
          </cell>
          <cell r="L17">
            <v>-6.9611039964526569</v>
          </cell>
          <cell r="M17">
            <v>-6.4358952596151333</v>
          </cell>
          <cell r="S17">
            <v>-4.2174776308203601</v>
          </cell>
          <cell r="T17">
            <v>-4.3446568370763874</v>
          </cell>
          <cell r="U17">
            <v>-3.5168279362037289</v>
          </cell>
          <cell r="V17">
            <v>-3.5279129148168131</v>
          </cell>
          <cell r="W17">
            <v>-3.6047560160212573</v>
          </cell>
          <cell r="X17">
            <v>-3.8126296595809919</v>
          </cell>
        </row>
        <row r="18">
          <cell r="A18">
            <v>6</v>
          </cell>
          <cell r="B18" t="str">
            <v>Exports</v>
          </cell>
          <cell r="C18">
            <v>13.103093361120566</v>
          </cell>
          <cell r="D18">
            <v>13.36046046502681</v>
          </cell>
          <cell r="E18">
            <v>13.134972090158284</v>
          </cell>
          <cell r="F18">
            <v>15.114023623695646</v>
          </cell>
          <cell r="G18">
            <v>14.747596544067695</v>
          </cell>
          <cell r="H18">
            <v>17.280052193586215</v>
          </cell>
          <cell r="I18">
            <v>20.101132871743602</v>
          </cell>
          <cell r="J18">
            <v>18.272643716278289</v>
          </cell>
          <cell r="K18">
            <v>19.864572856665035</v>
          </cell>
          <cell r="L18">
            <v>18.996571727027138</v>
          </cell>
          <cell r="M18">
            <v>18.194553293237256</v>
          </cell>
          <cell r="S18">
            <v>18.01940401077719</v>
          </cell>
          <cell r="T18">
            <v>18.511563328201756</v>
          </cell>
          <cell r="U18">
            <v>18.001409286695633</v>
          </cell>
          <cell r="V18">
            <v>18.490670415665349</v>
          </cell>
          <cell r="W18">
            <v>18.950518280149431</v>
          </cell>
          <cell r="X18">
            <v>19.703028249700498</v>
          </cell>
        </row>
        <row r="19">
          <cell r="A19">
            <v>7</v>
          </cell>
          <cell r="B19" t="str">
            <v xml:space="preserve">Imports </v>
          </cell>
          <cell r="D19">
            <v>17.321326897446411</v>
          </cell>
          <cell r="E19">
            <v>9.6553472456090113</v>
          </cell>
          <cell r="F19">
            <v>11.741117456048368</v>
          </cell>
          <cell r="G19">
            <v>11.541586295962997</v>
          </cell>
          <cell r="H19">
            <v>8.8002093370245191</v>
          </cell>
          <cell r="I19">
            <v>9.8887546703063869</v>
          </cell>
          <cell r="J19">
            <v>10.506036348470342</v>
          </cell>
          <cell r="K19">
            <v>12.249752794151853</v>
          </cell>
          <cell r="L19">
            <v>12.035467730574481</v>
          </cell>
          <cell r="M19">
            <v>11.758658033622122</v>
          </cell>
          <cell r="S19">
            <v>13.80192637995683</v>
          </cell>
          <cell r="T19">
            <v>14.166906491125369</v>
          </cell>
          <cell r="U19">
            <v>14.484581350491904</v>
          </cell>
          <cell r="V19">
            <v>14.962757500848536</v>
          </cell>
          <cell r="W19">
            <v>15.345762264128174</v>
          </cell>
          <cell r="X19">
            <v>15.890398590119506</v>
          </cell>
        </row>
        <row r="20">
          <cell r="A20">
            <v>8</v>
          </cell>
          <cell r="B20" t="str">
            <v>Net non-debt creating capital inflows (negative)</v>
          </cell>
          <cell r="D20">
            <v>-1.2249435894567466</v>
          </cell>
          <cell r="E20">
            <v>-2.7787779755663116</v>
          </cell>
          <cell r="F20">
            <v>-5.0517492114984872</v>
          </cell>
          <cell r="G20">
            <v>-2.2312266369523392</v>
          </cell>
          <cell r="H20">
            <v>-1.7213625282789431</v>
          </cell>
          <cell r="I20">
            <v>-2.6376295689416644</v>
          </cell>
          <cell r="J20">
            <v>-3.0484042579074391</v>
          </cell>
          <cell r="K20">
            <v>-1.7616416644231585</v>
          </cell>
          <cell r="L20">
            <v>-1.0431233239018987</v>
          </cell>
          <cell r="M20">
            <v>-2.536062120970223</v>
          </cell>
          <cell r="S20">
            <v>-2.2242392649417373</v>
          </cell>
          <cell r="T20">
            <v>-2.0233225857366341</v>
          </cell>
          <cell r="U20">
            <v>-2.1643698851007245</v>
          </cell>
          <cell r="V20">
            <v>-2.1891096614786472</v>
          </cell>
          <cell r="W20">
            <v>-2.2231514682321389</v>
          </cell>
          <cell r="X20">
            <v>-2.1373981249157614</v>
          </cell>
          <cell r="Y20">
            <v>-2.1373981249157614</v>
          </cell>
        </row>
        <row r="21">
          <cell r="A21" t="str">
            <v>hide</v>
          </cell>
          <cell r="B21" t="str">
            <v>Net foreign direct investment, equity</v>
          </cell>
          <cell r="D21">
            <v>1.0469220077109218</v>
          </cell>
          <cell r="E21">
            <v>2.7787779755663116</v>
          </cell>
          <cell r="F21">
            <v>5.0517492114984872</v>
          </cell>
          <cell r="G21">
            <v>2.2312266369523392</v>
          </cell>
          <cell r="H21">
            <v>1.7213625282789431</v>
          </cell>
          <cell r="I21">
            <v>2.6376295689416644</v>
          </cell>
          <cell r="J21">
            <v>3.0484042579074391</v>
          </cell>
          <cell r="K21">
            <v>1.7616416644231585</v>
          </cell>
          <cell r="L21">
            <v>1.0431233239018987</v>
          </cell>
          <cell r="M21">
            <v>2.536062120970223</v>
          </cell>
          <cell r="S21">
            <v>2.2242392649417373</v>
          </cell>
          <cell r="T21">
            <v>2.0233225857366341</v>
          </cell>
          <cell r="U21">
            <v>2.1643698851007245</v>
          </cell>
          <cell r="V21">
            <v>2.1891096614786472</v>
          </cell>
          <cell r="W21">
            <v>2.2231514682321389</v>
          </cell>
          <cell r="X21">
            <v>2.1373981249157614</v>
          </cell>
        </row>
        <row r="22">
          <cell r="A22" t="str">
            <v>hide</v>
          </cell>
          <cell r="B22" t="str">
            <v>Net portfolio investment,equity</v>
          </cell>
          <cell r="D22">
            <v>0.17802158174582483</v>
          </cell>
          <cell r="E22">
            <v>0</v>
          </cell>
          <cell r="F22">
            <v>0</v>
          </cell>
          <cell r="G22">
            <v>0</v>
          </cell>
          <cell r="H22">
            <v>0</v>
          </cell>
          <cell r="I22">
            <v>0</v>
          </cell>
          <cell r="J22">
            <v>0</v>
          </cell>
          <cell r="K22">
            <v>0</v>
          </cell>
          <cell r="L22">
            <v>0</v>
          </cell>
          <cell r="M22">
            <v>0</v>
          </cell>
          <cell r="S22">
            <v>0</v>
          </cell>
          <cell r="T22">
            <v>0</v>
          </cell>
          <cell r="U22">
            <v>0</v>
          </cell>
          <cell r="V22">
            <v>0</v>
          </cell>
          <cell r="W22">
            <v>0</v>
          </cell>
          <cell r="X22">
            <v>0</v>
          </cell>
        </row>
        <row r="23">
          <cell r="A23">
            <v>9</v>
          </cell>
          <cell r="B23" t="str">
            <v>Automatic debt dynamics 1/</v>
          </cell>
          <cell r="D23">
            <v>0.79046382064306009</v>
          </cell>
          <cell r="E23">
            <v>-1.5277812728973537</v>
          </cell>
          <cell r="F23">
            <v>-0.57688317163302405</v>
          </cell>
          <cell r="G23">
            <v>5.9284007830946486</v>
          </cell>
          <cell r="H23">
            <v>12.069646917824588</v>
          </cell>
          <cell r="I23">
            <v>4.5551754963646092</v>
          </cell>
          <cell r="J23">
            <v>1.231641082566576</v>
          </cell>
          <cell r="K23">
            <v>10.762729820020594</v>
          </cell>
          <cell r="L23">
            <v>-3.8069326890621591</v>
          </cell>
          <cell r="M23">
            <v>-7.5183991699318238</v>
          </cell>
          <cell r="S23">
            <v>2.2173445009174095</v>
          </cell>
          <cell r="T23">
            <v>2.0349318182296141</v>
          </cell>
          <cell r="U23">
            <v>0.91255491842937064</v>
          </cell>
          <cell r="V23">
            <v>0.35804917387345414</v>
          </cell>
          <cell r="W23">
            <v>0.44766317317013982</v>
          </cell>
          <cell r="X23">
            <v>0.35580052856303801</v>
          </cell>
          <cell r="Y23">
            <v>0.34550114636807505</v>
          </cell>
        </row>
        <row r="24">
          <cell r="A24" t="str">
            <v>hide</v>
          </cell>
          <cell r="B24" t="str">
            <v>Denominator: 1+g+r+gr</v>
          </cell>
          <cell r="D24">
            <v>1.0523677390395292</v>
          </cell>
          <cell r="E24">
            <v>1.1362937126984194</v>
          </cell>
          <cell r="F24">
            <v>1.0980310692167397</v>
          </cell>
          <cell r="G24">
            <v>0.92317891156420873</v>
          </cell>
          <cell r="H24">
            <v>0.82139295787955102</v>
          </cell>
          <cell r="I24">
            <v>0.96995753887179526</v>
          </cell>
          <cell r="J24">
            <v>1.0489437125477905</v>
          </cell>
          <cell r="K24">
            <v>0.86751322901733152</v>
          </cell>
          <cell r="L24">
            <v>1.1481493764611281</v>
          </cell>
          <cell r="M24">
            <v>1.2728316963506765</v>
          </cell>
          <cell r="S24">
            <v>1.0097757027456906</v>
          </cell>
          <cell r="T24">
            <v>1.0024077788894341</v>
          </cell>
          <cell r="U24">
            <v>1.0375663615710768</v>
          </cell>
          <cell r="V24">
            <v>1.0574563311184948</v>
          </cell>
          <cell r="W24">
            <v>1.0577951371017122</v>
          </cell>
          <cell r="X24">
            <v>1.0610887317759343</v>
          </cell>
          <cell r="Y24">
            <v>1.0610887317759343</v>
          </cell>
        </row>
        <row r="25">
          <cell r="A25">
            <v>10</v>
          </cell>
          <cell r="B25" t="str">
            <v>Contribution from nominal interest rate</v>
          </cell>
          <cell r="D25">
            <v>2.1751932441746984</v>
          </cell>
          <cell r="E25">
            <v>1.8880155018602462</v>
          </cell>
          <cell r="F25">
            <v>2.1972300900851853</v>
          </cell>
          <cell r="G25">
            <v>2.884920323964534</v>
          </cell>
          <cell r="H25">
            <v>3.3143742376902647</v>
          </cell>
          <cell r="I25">
            <v>3.1487020390966287</v>
          </cell>
          <cell r="J25">
            <v>3.3805321035872917</v>
          </cell>
          <cell r="K25">
            <v>3.504990642287158</v>
          </cell>
          <cell r="L25">
            <v>2.9413803029138967</v>
          </cell>
          <cell r="M25">
            <v>2.435569453119637</v>
          </cell>
          <cell r="S25">
            <v>2.5979496801034268</v>
          </cell>
          <cell r="T25">
            <v>2.1707737659105324</v>
          </cell>
          <cell r="U25">
            <v>2.3231478470577671</v>
          </cell>
          <cell r="V25">
            <v>2.4380841098801538</v>
          </cell>
          <cell r="W25">
            <v>2.4651166296581692</v>
          </cell>
          <cell r="X25">
            <v>2.4077219784129658</v>
          </cell>
          <cell r="Y25">
            <v>2.3380254859006047</v>
          </cell>
        </row>
        <row r="26">
          <cell r="A26">
            <v>11</v>
          </cell>
          <cell r="B26" t="str">
            <v xml:space="preserve">Contribution from real GDP growth </v>
          </cell>
          <cell r="D26">
            <v>-1.3756500739943727</v>
          </cell>
          <cell r="E26">
            <v>-0.51523887317358985</v>
          </cell>
          <cell r="F26">
            <v>-0.97071502540586418</v>
          </cell>
          <cell r="G26">
            <v>-0.22573576848553051</v>
          </cell>
          <cell r="H26">
            <v>2.0607977923516989</v>
          </cell>
          <cell r="I26">
            <v>-1.3693086011474331</v>
          </cell>
          <cell r="J26">
            <v>-0.6460750920598235</v>
          </cell>
          <cell r="K26">
            <v>-1.0584688235787245</v>
          </cell>
          <cell r="L26">
            <v>-1.7494252388140368</v>
          </cell>
          <cell r="M26">
            <v>-1.3863891877543575</v>
          </cell>
          <cell r="S26">
            <v>-1.4973668519008954</v>
          </cell>
          <cell r="T26">
            <v>-1.5308115923130348</v>
          </cell>
          <cell r="U26">
            <v>-1.4806554578859941</v>
          </cell>
          <cell r="V26">
            <v>-1.4429413672466396</v>
          </cell>
          <cell r="W26">
            <v>-1.3918951990934589</v>
          </cell>
          <cell r="X26">
            <v>-1.3404462225435483</v>
          </cell>
          <cell r="Y26">
            <v>-1.3016442342116938</v>
          </cell>
        </row>
        <row r="27">
          <cell r="A27">
            <v>12</v>
          </cell>
          <cell r="B27" t="str">
            <v xml:space="preserve">Contribution from price and exchange rate changes 2/ </v>
          </cell>
          <cell r="D27">
            <v>-9.0793495372656057E-3</v>
          </cell>
          <cell r="E27">
            <v>-2.9005579015840102</v>
          </cell>
          <cell r="F27">
            <v>-1.8033982363123451</v>
          </cell>
          <cell r="G27">
            <v>3.2692162276156456</v>
          </cell>
          <cell r="H27">
            <v>6.6944748877826248</v>
          </cell>
          <cell r="I27">
            <v>2.7757820584154138</v>
          </cell>
          <cell r="J27">
            <v>-1.5028159289608922</v>
          </cell>
          <cell r="K27">
            <v>8.3162080013121606</v>
          </cell>
          <cell r="L27">
            <v>-4.9988877531620188</v>
          </cell>
          <cell r="M27">
            <v>-8.5675794352971035</v>
          </cell>
          <cell r="S27">
            <v>1.1167616727148784</v>
          </cell>
          <cell r="T27">
            <v>1.3949696446321163</v>
          </cell>
          <cell r="U27">
            <v>7.0062529257597636E-2</v>
          </cell>
          <cell r="V27">
            <v>-0.63709356876006007</v>
          </cell>
          <cell r="W27">
            <v>-0.62555825739457049</v>
          </cell>
          <cell r="X27">
            <v>-0.71147522730637947</v>
          </cell>
          <cell r="Y27">
            <v>-0.69088010532083577</v>
          </cell>
        </row>
        <row r="28">
          <cell r="A28">
            <v>13</v>
          </cell>
          <cell r="B28" t="str">
            <v>Residual, incl. change in gross foreign assets (2-3)</v>
          </cell>
          <cell r="D28">
            <v>-1.8649096641711003</v>
          </cell>
          <cell r="E28">
            <v>4.2575944546102802</v>
          </cell>
          <cell r="F28">
            <v>7.5924645806635098</v>
          </cell>
          <cell r="G28">
            <v>-2.5727668521021982</v>
          </cell>
          <cell r="H28">
            <v>-1.3076435527612142</v>
          </cell>
          <cell r="I28">
            <v>2.8152052281512612</v>
          </cell>
          <cell r="J28">
            <v>5.3121649110813269</v>
          </cell>
          <cell r="K28">
            <v>-2.6409176989116609</v>
          </cell>
          <cell r="L28">
            <v>0.47742706449754024</v>
          </cell>
          <cell r="M28">
            <v>2.8813619843843306</v>
          </cell>
          <cell r="S28">
            <v>0.13928243998725121</v>
          </cell>
          <cell r="T28">
            <v>-0.59054400225808523</v>
          </cell>
          <cell r="U28">
            <v>0.40708407013785841</v>
          </cell>
          <cell r="V28">
            <v>0.21781996440275275</v>
          </cell>
          <cell r="W28">
            <v>0.28454384563994628</v>
          </cell>
          <cell r="X28">
            <v>0.49291406525164616</v>
          </cell>
          <cell r="Y28">
            <v>0</v>
          </cell>
        </row>
        <row r="30">
          <cell r="B30" t="str">
            <v>External debt-to-exports ratio (in percent)</v>
          </cell>
          <cell r="C30">
            <v>212.37079230006927</v>
          </cell>
          <cell r="D30">
            <v>213.15002085598692</v>
          </cell>
          <cell r="E30">
            <v>236.56251217859591</v>
          </cell>
          <cell r="F30">
            <v>241.98911989317656</v>
          </cell>
          <cell r="G30">
            <v>273.02400029354482</v>
          </cell>
          <cell r="H30">
            <v>262.78689635879397</v>
          </cell>
          <cell r="I30">
            <v>229.11268346744515</v>
          </cell>
          <cell r="J30">
            <v>260.07796677729397</v>
          </cell>
          <cell r="K30">
            <v>263.27798940812886</v>
          </cell>
          <cell r="L30">
            <v>244.45402590730211</v>
          </cell>
          <cell r="M30">
            <v>207.75517883423205</v>
          </cell>
          <cell r="S30">
            <v>212.89514448298914</v>
          </cell>
          <cell r="T30">
            <v>207.47549368759377</v>
          </cell>
          <cell r="U30">
            <v>211.9066707398637</v>
          </cell>
          <cell r="V30">
            <v>199.06525018542709</v>
          </cell>
          <cell r="W30">
            <v>187.63766263090281</v>
          </cell>
          <cell r="X30">
            <v>175.24717675367197</v>
          </cell>
        </row>
        <row r="32">
          <cell r="B32" t="str">
            <v>Gross external financing need (in billions of US dollars) 3/</v>
          </cell>
          <cell r="D32">
            <v>11.902903431120297</v>
          </cell>
          <cell r="E32">
            <v>16.156556433588076</v>
          </cell>
          <cell r="F32">
            <v>14.938820385104657</v>
          </cell>
          <cell r="G32">
            <v>13.928871145543585</v>
          </cell>
          <cell r="H32">
            <v>8.3624089357911302</v>
          </cell>
          <cell r="I32">
            <v>8.7420668794403174</v>
          </cell>
          <cell r="J32">
            <v>10.764463026050214</v>
          </cell>
          <cell r="K32">
            <v>13.221166021095659</v>
          </cell>
          <cell r="L32">
            <v>12.769018636732786</v>
          </cell>
          <cell r="M32">
            <v>12.459160155848535</v>
          </cell>
          <cell r="S32">
            <v>15.71926270793422</v>
          </cell>
          <cell r="T32">
            <v>15.665410145180729</v>
          </cell>
          <cell r="U32">
            <v>16.26746031902503</v>
          </cell>
          <cell r="V32">
            <v>17.560776988044715</v>
          </cell>
          <cell r="W32">
            <v>18.35981727621348</v>
          </cell>
          <cell r="X32">
            <v>19.702522674881639</v>
          </cell>
        </row>
        <row r="33">
          <cell r="B33" t="str">
            <v>in percent of GDP</v>
          </cell>
          <cell r="D33">
            <v>12.868599531303843</v>
          </cell>
          <cell r="E33">
            <v>16.127938498970661</v>
          </cell>
          <cell r="F33">
            <v>15.877870398278644</v>
          </cell>
          <cell r="G33">
            <v>15.289965510820011</v>
          </cell>
          <cell r="H33">
            <v>10.338290815625511</v>
          </cell>
          <cell r="I33">
            <v>11.142399997094715</v>
          </cell>
          <cell r="J33">
            <v>13.079911532749117</v>
          </cell>
          <cell r="K33">
            <v>18.518512063793203</v>
          </cell>
          <cell r="L33">
            <v>15.577417381349324</v>
          </cell>
          <cell r="M33">
            <v>11.94141309964313</v>
          </cell>
          <cell r="O33" t="str">
            <v>10-Year</v>
          </cell>
          <cell r="Q33" t="str">
            <v>10-Year</v>
          </cell>
          <cell r="S33">
            <v>14.920185054561713</v>
          </cell>
          <cell r="T33">
            <v>14.833354610832055</v>
          </cell>
          <cell r="U33">
            <v>14.845727414903282</v>
          </cell>
          <cell r="V33">
            <v>15.155246759834155</v>
          </cell>
          <cell r="W33">
            <v>14.979112165640679</v>
          </cell>
          <cell r="X33">
            <v>15.149135553183534</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81.707227570937263</v>
          </cell>
          <cell r="D37">
            <v>92.495717208120297</v>
          </cell>
          <cell r="E37">
            <v>100.1774432275969</v>
          </cell>
          <cell r="F37">
            <v>94.085793688832538</v>
          </cell>
          <cell r="G37">
            <v>91.098120108163485</v>
          </cell>
          <cell r="H37">
            <v>80.887731685318911</v>
          </cell>
          <cell r="I37">
            <v>78.457665150414059</v>
          </cell>
          <cell r="J37">
            <v>82.29767456070671</v>
          </cell>
          <cell r="K37">
            <v>71.394321398776185</v>
          </cell>
          <cell r="L37">
            <v>81.971345596870236</v>
          </cell>
          <cell r="M37">
            <v>104.33572686821191</v>
          </cell>
          <cell r="S37">
            <v>105.35568191983113</v>
          </cell>
          <cell r="T37">
            <v>105.60935510663963</v>
          </cell>
          <cell r="U37">
            <v>109.5767143258639</v>
          </cell>
          <cell r="V37">
            <v>115.87259030704746</v>
          </cell>
          <cell r="W37">
            <v>122.56946255017381</v>
          </cell>
          <cell r="X37">
            <v>130.05707557182183</v>
          </cell>
          <cell r="Y37">
            <v>138.00209737699129</v>
          </cell>
        </row>
        <row r="38">
          <cell r="B38" t="str">
            <v>Real GDP growth (in percent)</v>
          </cell>
          <cell r="D38">
            <v>5.2024375925308952</v>
          </cell>
          <cell r="E38">
            <v>2.0558547121516613</v>
          </cell>
          <cell r="F38">
            <v>3.4302936782888205</v>
          </cell>
          <cell r="G38">
            <v>0.56978408985430828</v>
          </cell>
          <cell r="H38">
            <v>-4.2040152436993106</v>
          </cell>
          <cell r="I38">
            <v>2.9248614831591579</v>
          </cell>
          <cell r="J38">
            <v>1.4715177866508666</v>
          </cell>
          <cell r="K38">
            <v>1.9321873270398138</v>
          </cell>
          <cell r="L38">
            <v>3.8406081431585637</v>
          </cell>
          <cell r="M38">
            <v>3.8000010671251472</v>
          </cell>
          <cell r="O38">
            <v>2.1023530636259924</v>
          </cell>
          <cell r="Q38">
            <v>2.5927705138243669</v>
          </cell>
          <cell r="S38">
            <v>3.9999989308187711</v>
          </cell>
          <cell r="T38">
            <v>4.0000000000000036</v>
          </cell>
          <cell r="U38">
            <v>4.0000000000000036</v>
          </cell>
          <cell r="V38">
            <v>4.0000000000000036</v>
          </cell>
          <cell r="W38">
            <v>4.0000000000000036</v>
          </cell>
          <cell r="X38">
            <v>4.0000000000000036</v>
          </cell>
          <cell r="Y38">
            <v>4.0000000000000036</v>
          </cell>
          <cell r="AA38">
            <v>4.0000000000000036</v>
          </cell>
        </row>
        <row r="39">
          <cell r="B39" t="str">
            <v>Exchange rate appreciation (US dollar value of local currency, change in percent)</v>
          </cell>
          <cell r="D39">
            <v>-15.833544271756207</v>
          </cell>
          <cell r="E39">
            <v>-4.7301108491746398</v>
          </cell>
          <cell r="F39">
            <v>-9.1393437237915265</v>
          </cell>
          <cell r="G39">
            <v>-20.020542863885392</v>
          </cell>
          <cell r="H39">
            <v>-23.866322974537969</v>
          </cell>
          <cell r="I39">
            <v>-15.943530805049377</v>
          </cell>
          <cell r="J39">
            <v>-2.706029207657179</v>
          </cell>
          <cell r="K39">
            <v>-20.022759085308184</v>
          </cell>
          <cell r="L39">
            <v>3.1163950889241621</v>
          </cell>
          <cell r="M39">
            <v>16.255256826027818</v>
          </cell>
          <cell r="O39">
            <v>-9.2890531866208494</v>
          </cell>
          <cell r="Q39">
            <v>12.474578760318973</v>
          </cell>
          <cell r="S39">
            <v>-6.9211955886601784</v>
          </cell>
          <cell r="T39">
            <v>-8.2899294418391278</v>
          </cell>
          <cell r="U39">
            <v>-3.9094667116496118</v>
          </cell>
          <cell r="V39">
            <v>-1.4623929276467051</v>
          </cell>
          <cell r="W39">
            <v>-1.2513873295957101</v>
          </cell>
          <cell r="X39">
            <v>-0.94391970054537033</v>
          </cell>
          <cell r="Y39">
            <v>-0.94391970054537033</v>
          </cell>
          <cell r="AA39">
            <v>-3.171419222255305</v>
          </cell>
        </row>
        <row r="40">
          <cell r="A40" t="str">
            <v>hide</v>
          </cell>
          <cell r="B40" t="str">
            <v>GDP deflator (change in domestic currency)</v>
          </cell>
          <cell r="D40">
            <v>18.850957257864987</v>
          </cell>
          <cell r="E40">
            <v>16.868378789801476</v>
          </cell>
          <cell r="F40">
            <v>16.839852933650889</v>
          </cell>
          <cell r="G40">
            <v>14.773045408734209</v>
          </cell>
          <cell r="H40">
            <v>12.622940834170926</v>
          </cell>
          <cell r="I40">
            <v>12.114371909063681</v>
          </cell>
          <cell r="J40">
            <v>6.248326749264943</v>
          </cell>
          <cell r="K40">
            <v>6.4138962871332472</v>
          </cell>
          <cell r="L40">
            <v>7.2268257111746337</v>
          </cell>
          <cell r="M40">
            <v>5.477790491049972</v>
          </cell>
          <cell r="O40">
            <v>11.743638637190895</v>
          </cell>
          <cell r="Q40">
            <v>5.0673609055697169</v>
          </cell>
          <cell r="S40">
            <v>4.3135643865808815</v>
          </cell>
          <cell r="T40">
            <v>5.097905571479644</v>
          </cell>
          <cell r="U40">
            <v>3.8250001230937469</v>
          </cell>
          <cell r="V40">
            <v>3.187500080166128</v>
          </cell>
          <cell r="W40">
            <v>2.9999998224260915</v>
          </cell>
          <cell r="X40">
            <v>2.9999999619656492</v>
          </cell>
          <cell r="Y40">
            <v>2.9999999619656492</v>
          </cell>
          <cell r="AA40">
            <v>3.6220811118262519</v>
          </cell>
        </row>
        <row r="41">
          <cell r="B41" t="str">
            <v>GDP deflator in US dollars (change in percent)</v>
          </cell>
          <cell r="D41">
            <v>3.2638323034883676E-2</v>
          </cell>
          <cell r="E41">
            <v>11.340374925410558</v>
          </cell>
          <cell r="F41">
            <v>6.1614571676720242</v>
          </cell>
          <cell r="G41">
            <v>-8.2051413435080711</v>
          </cell>
          <cell r="H41">
            <v>-14.256013968735115</v>
          </cell>
          <cell r="I41">
            <v>-5.7606175131455162</v>
          </cell>
          <cell r="J41">
            <v>3.3732159947827967</v>
          </cell>
          <cell r="K41">
            <v>-14.893101799729159</v>
          </cell>
          <cell r="L41">
            <v>10.568437241646954</v>
          </cell>
          <cell r="M41">
            <v>22.623476229789684</v>
          </cell>
          <cell r="O41">
            <v>1.0984725257219039</v>
          </cell>
          <cell r="Q41">
            <v>12.087375907357632</v>
          </cell>
          <cell r="S41">
            <v>-2.9061814301173494</v>
          </cell>
          <cell r="T41">
            <v>-3.6146366452467271</v>
          </cell>
          <cell r="U41">
            <v>-0.23400369508876917</v>
          </cell>
          <cell r="V41">
            <v>1.678493376778345</v>
          </cell>
          <cell r="W41">
            <v>1.7110708751646442</v>
          </cell>
          <cell r="X41">
            <v>2.0277626707629226</v>
          </cell>
          <cell r="Y41">
            <v>2.0277626707629226</v>
          </cell>
          <cell r="AA41">
            <v>0.31373731647408309</v>
          </cell>
        </row>
        <row r="42">
          <cell r="B42" t="str">
            <v>Nominal external interest rate (in percent)</v>
          </cell>
          <cell r="D42">
            <v>8.2261523613017147</v>
          </cell>
          <cell r="E42">
            <v>7.5333709628835681</v>
          </cell>
          <cell r="F42">
            <v>7.7645285078531066</v>
          </cell>
          <cell r="G42">
            <v>7.2818840900603377</v>
          </cell>
          <cell r="H42">
            <v>6.7613037389144361</v>
          </cell>
          <cell r="I42">
            <v>6.7256696615950364</v>
          </cell>
          <cell r="J42">
            <v>7.699589691522041</v>
          </cell>
          <cell r="K42">
            <v>6.3982030925795019</v>
          </cell>
          <cell r="L42">
            <v>6.4573717658009313</v>
          </cell>
          <cell r="M42">
            <v>6.6757347811571908</v>
          </cell>
          <cell r="O42">
            <v>7.1523808653667853</v>
          </cell>
          <cell r="Q42">
            <v>0.632728572841883</v>
          </cell>
          <cell r="S42">
            <v>6.9400467424147756</v>
          </cell>
          <cell r="T42">
            <v>5.6722166903126876</v>
          </cell>
          <cell r="U42">
            <v>6.2759984699604416</v>
          </cell>
          <cell r="V42">
            <v>6.7586505320930854</v>
          </cell>
          <cell r="W42">
            <v>7.0842018314703612</v>
          </cell>
          <cell r="X42">
            <v>7.1848372218744379</v>
          </cell>
          <cell r="Y42">
            <v>7.1848372218744379</v>
          </cell>
          <cell r="AA42">
            <v>6.5951809491422022</v>
          </cell>
        </row>
        <row r="43">
          <cell r="B43" t="str">
            <v>Growth of exports (US dollar terms, in percent)</v>
          </cell>
          <cell r="D43">
            <v>15.4273540668169</v>
          </cell>
          <cell r="E43">
            <v>6.477059015827713</v>
          </cell>
          <cell r="F43">
            <v>8.0699752548217809</v>
          </cell>
          <cell r="G43">
            <v>-5.522908847250485</v>
          </cell>
          <cell r="H43">
            <v>4.0392095060575839</v>
          </cell>
          <cell r="I43">
            <v>12.830940267924063</v>
          </cell>
          <cell r="J43">
            <v>-4.6472909755288399</v>
          </cell>
          <cell r="K43">
            <v>-5.6908238922011911</v>
          </cell>
          <cell r="L43">
            <v>9.7979913319264931</v>
          </cell>
          <cell r="M43">
            <v>21.909386942831087</v>
          </cell>
          <cell r="O43">
            <v>6.26908926712251</v>
          </cell>
          <cell r="Q43">
            <v>9.3898329726107885</v>
          </cell>
          <cell r="S43">
            <v>5.5129399861186812E-3</v>
          </cell>
          <cell r="T43">
            <v>2.9786283081039588</v>
          </cell>
          <cell r="U43">
            <v>0.89724139232363331</v>
          </cell>
          <cell r="V43">
            <v>8.6196985261700387</v>
          </cell>
          <cell r="W43">
            <v>8.4101637835497058</v>
          </cell>
          <cell r="X43">
            <v>10.322371919082185</v>
          </cell>
          <cell r="AA43">
            <v>6.2456207858459036</v>
          </cell>
        </row>
        <row r="44">
          <cell r="B44" t="str">
            <v>Growth of imports  (US dollar terms, in percent)</v>
          </cell>
          <cell r="D44">
            <v>15.149557118289669</v>
          </cell>
          <cell r="E44">
            <v>-39.628070199976783</v>
          </cell>
          <cell r="F44">
            <v>14.207768227972828</v>
          </cell>
          <cell r="G44">
            <v>-4.8209353473688381</v>
          </cell>
          <cell r="H44">
            <v>-32.298117956247687</v>
          </cell>
          <cell r="I44">
            <v>8.9936815725844887</v>
          </cell>
          <cell r="J44">
            <v>11.442149582471828</v>
          </cell>
          <cell r="K44">
            <v>1.1496843209189533</v>
          </cell>
          <cell r="L44">
            <v>12.806478648893282</v>
          </cell>
          <cell r="M44">
            <v>24.355720831037075</v>
          </cell>
          <cell r="O44">
            <v>1.1357916798574816</v>
          </cell>
          <cell r="Q44">
            <v>21.149208607026498</v>
          </cell>
          <cell r="S44">
            <v>18.524153604219642</v>
          </cell>
          <cell r="T44">
            <v>2.891559327008264</v>
          </cell>
          <cell r="U44">
            <v>6.083246756267191</v>
          </cell>
          <cell r="V44">
            <v>9.2365893593858939</v>
          </cell>
          <cell r="W44">
            <v>8.4871735520220213</v>
          </cell>
          <cell r="X44">
            <v>9.8747823483366304</v>
          </cell>
          <cell r="AA44">
            <v>7.3146702686039999</v>
          </cell>
        </row>
        <row r="45">
          <cell r="B45" t="str">
            <v xml:space="preserve">Current account balance, excluding interest payments </v>
          </cell>
          <cell r="D45">
            <v>-2.9500705138157968</v>
          </cell>
          <cell r="E45">
            <v>-2.6435604766287164</v>
          </cell>
          <cell r="F45">
            <v>-3.538040599460019</v>
          </cell>
          <cell r="G45">
            <v>-2.5657779902981943</v>
          </cell>
          <cell r="H45">
            <v>3.895406019845713</v>
          </cell>
          <cell r="I45">
            <v>4.0882190744706284</v>
          </cell>
          <cell r="J45">
            <v>2.0265264117934039</v>
          </cell>
          <cell r="K45">
            <v>1.5842426889007037</v>
          </cell>
          <cell r="L45">
            <v>1.4885347019879471</v>
          </cell>
          <cell r="M45">
            <v>1.4646583321137183</v>
          </cell>
          <cell r="O45">
            <v>0.28501376489093888</v>
          </cell>
          <cell r="Q45">
            <v>2.9220476950900864</v>
          </cell>
          <cell r="S45">
            <v>-0.42992179530000463</v>
          </cell>
          <cell r="T45">
            <v>-0.62345597052561874</v>
          </cell>
          <cell r="U45">
            <v>-0.5839605977487039</v>
          </cell>
          <cell r="V45">
            <v>-0.27555274141605451</v>
          </cell>
          <cell r="W45">
            <v>-0.2407546828294263</v>
          </cell>
          <cell r="X45">
            <v>-0.25937471636527804</v>
          </cell>
          <cell r="AA45">
            <v>-0.39661974177701625</v>
          </cell>
        </row>
        <row r="46">
          <cell r="B46" t="str">
            <v xml:space="preserve">Net non-debt creating capital inflows </v>
          </cell>
          <cell r="D46">
            <v>1.2249435894567466</v>
          </cell>
          <cell r="E46">
            <v>2.7787779755663116</v>
          </cell>
          <cell r="F46">
            <v>5.0517492114984872</v>
          </cell>
          <cell r="G46">
            <v>2.2312266369523392</v>
          </cell>
          <cell r="H46">
            <v>1.7213625282789431</v>
          </cell>
          <cell r="I46">
            <v>2.6376295689416644</v>
          </cell>
          <cell r="J46">
            <v>3.0484042579074391</v>
          </cell>
          <cell r="K46">
            <v>1.7616416644231585</v>
          </cell>
          <cell r="L46">
            <v>1.0431233239018987</v>
          </cell>
          <cell r="M46">
            <v>2.536062120970223</v>
          </cell>
          <cell r="O46">
            <v>2.4034920877897212</v>
          </cell>
          <cell r="Q46">
            <v>1.144500861411893</v>
          </cell>
          <cell r="S46">
            <v>2.2242392649417373</v>
          </cell>
          <cell r="T46">
            <v>2.0233225857366341</v>
          </cell>
          <cell r="U46">
            <v>2.1643698851007245</v>
          </cell>
          <cell r="V46">
            <v>2.1891096614786472</v>
          </cell>
          <cell r="W46">
            <v>2.2231514682321389</v>
          </cell>
          <cell r="X46">
            <v>2.1373981249157614</v>
          </cell>
          <cell r="AA46">
            <v>2.1474703450927812</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2006-10 4/</v>
          </cell>
          <cell r="S52">
            <v>38.362436203717643</v>
          </cell>
          <cell r="T52">
            <v>36.517410581820911</v>
          </cell>
          <cell r="U52">
            <v>35.596738813813253</v>
          </cell>
          <cell r="V52">
            <v>34.47368961576715</v>
          </cell>
          <cell r="W52">
            <v>33.382665120145923</v>
          </cell>
          <cell r="X52">
            <v>32.479239090583306</v>
          </cell>
          <cell r="AA52">
            <v>-1.1718830177957513</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B. Bound Tests</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B1. Nominal interest rate is at baseline plus one-half standard deviation</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B3. Non-interest current account is at baseline minus one-half standard deviations</v>
          </cell>
          <cell r="S58">
            <v>38.362436203717643</v>
          </cell>
          <cell r="T58">
            <v>39.867981252023199</v>
          </cell>
          <cell r="U58">
            <v>41.102948940827886</v>
          </cell>
          <cell r="V58">
            <v>41.254037875555525</v>
          </cell>
          <cell r="W58">
            <v>41.518938379509017</v>
          </cell>
          <cell r="X58">
            <v>42.010296148767431</v>
          </cell>
          <cell r="AA58">
            <v>-1.7170382776421289</v>
          </cell>
        </row>
        <row r="59">
          <cell r="B59" t="str">
            <v>B4. Combination of B1-B3 using 1/4 standard deviation shocks</v>
          </cell>
          <cell r="S59">
            <v>38.362436203717643</v>
          </cell>
          <cell r="T59">
            <v>39.435287130689105</v>
          </cell>
          <cell r="U59">
            <v>40.221021074611002</v>
          </cell>
          <cell r="V59">
            <v>39.911150563619607</v>
          </cell>
          <cell r="W59">
            <v>39.693516525364224</v>
          </cell>
          <cell r="X59">
            <v>39.694851118100829</v>
          </cell>
          <cell r="AA59">
            <v>-1.4970944791441685</v>
          </cell>
        </row>
        <row r="60">
          <cell r="B60" t="str">
            <v>B5. One time 30 percent real depreciation in 2006</v>
          </cell>
          <cell r="S60">
            <v>38.362436203717643</v>
          </cell>
          <cell r="T60">
            <v>53.813861201643761</v>
          </cell>
          <cell r="U60">
            <v>53.193309786544049</v>
          </cell>
          <cell r="V60">
            <v>51.182611620582676</v>
          </cell>
          <cell r="W60">
            <v>49.306492268877761</v>
          </cell>
          <cell r="X60">
            <v>47.735491001450598</v>
          </cell>
          <cell r="AA60">
            <v>-2.5426090836976432</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 xml:space="preserve">1/ Derived as [r - g - r(1+g) + ea(1+r)]/(1+g+r+gr) times previous period debt stock, with r = nominal effective interest rate on external debt; r = change in domestic GDP deflator in US dollar terms, </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and rising inflation (based on GDP deflator). </v>
          </cell>
        </row>
        <row r="67">
          <cell r="B67" t="str">
            <v xml:space="preserve">3/ Defined as current account deficit, plus amortization on medium- and long-term debt, plus short-term debt at end of previous period. </v>
          </cell>
        </row>
        <row r="68">
          <cell r="B68" t="str">
            <v>4/ The key variables include real GDP growth; nominal interest rate; dollar deflator growth; and both non-interest current account and non-debt inflows in percent of GDP.</v>
          </cell>
        </row>
        <row r="69">
          <cell r="B69" t="str">
            <v xml:space="preserve">5/ The implied change in other key variables under this scenario is discussed in the text. </v>
          </cell>
        </row>
        <row r="70">
          <cell r="B70" t="str">
            <v xml:space="preserve">6/ Long-run, constant balance that stabilizes the debt ratio assuming that key variables (real GDP growth, nominal interest rate, dollar deflator growth, and non-debt inflows in percent of GDP) remain </v>
          </cell>
        </row>
        <row r="71">
          <cell r="B71" t="str">
            <v>at their levels of the last projection year.</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efreshError="1"/>
      <sheetData sheetId="4" refreshError="1"/>
      <sheetData sheetId="5" refreshError="1">
        <row r="2">
          <cell r="B2" t="str">
            <v>Table --. Country: External Sustainability Framework--Gross External Financing Need, 2000-2010</v>
          </cell>
        </row>
        <row r="7">
          <cell r="F7" t="str">
            <v xml:space="preserve">Actual </v>
          </cell>
          <cell r="O7" t="str">
            <v>Projections</v>
          </cell>
        </row>
        <row r="8">
          <cell r="C8">
            <v>1995</v>
          </cell>
          <cell r="D8">
            <v>1996</v>
          </cell>
          <cell r="E8">
            <v>1997</v>
          </cell>
          <cell r="F8">
            <v>1998</v>
          </cell>
          <cell r="G8">
            <v>1999</v>
          </cell>
          <cell r="H8">
            <v>2000</v>
          </cell>
          <cell r="I8">
            <v>2001</v>
          </cell>
          <cell r="J8">
            <v>2002</v>
          </cell>
          <cell r="K8">
            <v>2003</v>
          </cell>
          <cell r="L8">
            <v>2004</v>
          </cell>
          <cell r="M8">
            <v>2005</v>
          </cell>
          <cell r="O8">
            <v>2006</v>
          </cell>
          <cell r="P8">
            <v>2007</v>
          </cell>
          <cell r="Q8">
            <v>2008</v>
          </cell>
          <cell r="R8">
            <v>2009</v>
          </cell>
          <cell r="S8">
            <v>2010</v>
          </cell>
          <cell r="T8">
            <v>2011</v>
          </cell>
        </row>
        <row r="10">
          <cell r="C10" t="str">
            <v>I. Baseline Projections</v>
          </cell>
        </row>
        <row r="12">
          <cell r="B12" t="str">
            <v>Gross external financing need in billions of U.S. dollars 1/</v>
          </cell>
          <cell r="D12">
            <v>11.902903431120297</v>
          </cell>
          <cell r="E12">
            <v>16.156556433588076</v>
          </cell>
          <cell r="F12">
            <v>14.938820385104657</v>
          </cell>
          <cell r="G12">
            <v>13.928871145543585</v>
          </cell>
          <cell r="H12">
            <v>8.3624089357911302</v>
          </cell>
          <cell r="I12">
            <v>8.7420668794403174</v>
          </cell>
          <cell r="J12">
            <v>10.764463026050214</v>
          </cell>
          <cell r="K12">
            <v>13.221166021095659</v>
          </cell>
          <cell r="L12">
            <v>12.769018636732786</v>
          </cell>
          <cell r="M12">
            <v>12.459160155848535</v>
          </cell>
          <cell r="O12">
            <v>15.71926270793422</v>
          </cell>
          <cell r="P12">
            <v>15.665410145180729</v>
          </cell>
          <cell r="Q12">
            <v>16.26746031902503</v>
          </cell>
          <cell r="R12">
            <v>17.560776988044715</v>
          </cell>
          <cell r="S12">
            <v>18.35981727621348</v>
          </cell>
          <cell r="T12">
            <v>19.702522674881639</v>
          </cell>
        </row>
        <row r="13">
          <cell r="B13" t="str">
            <v>in percent of GDP</v>
          </cell>
          <cell r="D13">
            <v>12.868599531303843</v>
          </cell>
          <cell r="E13">
            <v>16.127938498970661</v>
          </cell>
          <cell r="F13">
            <v>15.877870398278644</v>
          </cell>
          <cell r="G13">
            <v>15.289965510820011</v>
          </cell>
          <cell r="H13">
            <v>10.338290815625511</v>
          </cell>
          <cell r="I13">
            <v>11.142399997094715</v>
          </cell>
          <cell r="J13">
            <v>13.079911532749117</v>
          </cell>
          <cell r="K13">
            <v>18.518512063793203</v>
          </cell>
          <cell r="L13">
            <v>15.577417381349324</v>
          </cell>
          <cell r="M13">
            <v>11.94141309964313</v>
          </cell>
          <cell r="O13">
            <v>14.920185054561713</v>
          </cell>
          <cell r="P13">
            <v>14.833354610832055</v>
          </cell>
          <cell r="Q13">
            <v>14.845727414903282</v>
          </cell>
          <cell r="R13">
            <v>15.155246759834155</v>
          </cell>
          <cell r="S13">
            <v>14.979112165640679</v>
          </cell>
          <cell r="T13">
            <v>15.149135553183534</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2006-10 3/</v>
          </cell>
          <cell r="O20">
            <v>15.71926270793422</v>
          </cell>
          <cell r="P20">
            <v>15.071303921348086</v>
          </cell>
          <cell r="Q20">
            <v>15.073083911987634</v>
          </cell>
          <cell r="R20">
            <v>16.069170061389251</v>
          </cell>
          <cell r="S20">
            <v>16.339335382450585</v>
          </cell>
          <cell r="T20">
            <v>17.047037299397999</v>
          </cell>
        </row>
        <row r="21">
          <cell r="B21" t="str">
            <v>A2. Country-specific shock in 2005, with reduction in GDP growth (relative to baseline) of one standard deviation 4/</v>
          </cell>
          <cell r="O21" t="e">
            <v>#REF!</v>
          </cell>
          <cell r="P21" t="e">
            <v>#REF!</v>
          </cell>
          <cell r="Q21" t="e">
            <v>#REF!</v>
          </cell>
          <cell r="R21" t="e">
            <v>#REF!</v>
          </cell>
          <cell r="S21" t="e">
            <v>#REF!</v>
          </cell>
          <cell r="T21" t="e">
            <v>#REF!</v>
          </cell>
        </row>
        <row r="22">
          <cell r="B22" t="str">
            <v>A3. Selected variables are consistent with market forecast in 2005-09</v>
          </cell>
          <cell r="O22" t="e">
            <v>#REF!</v>
          </cell>
          <cell r="P22" t="e">
            <v>#REF!</v>
          </cell>
          <cell r="Q22" t="e">
            <v>#REF!</v>
          </cell>
          <cell r="R22" t="e">
            <v>#REF!</v>
          </cell>
          <cell r="S22" t="e">
            <v>#REF!</v>
          </cell>
          <cell r="T22" t="e">
            <v>#REF!</v>
          </cell>
        </row>
        <row r="24">
          <cell r="B24" t="str">
            <v>B. Bound Tests</v>
          </cell>
        </row>
        <row r="26">
          <cell r="B26" t="str">
            <v>B1. Nominal interest rate is at baseline plus one-half standard deviations</v>
          </cell>
          <cell r="O26">
            <v>15.71926270793422</v>
          </cell>
          <cell r="P26">
            <v>15.827014674736052</v>
          </cell>
          <cell r="Q26">
            <v>16.480580992588948</v>
          </cell>
          <cell r="R26">
            <v>17.845234669402966</v>
          </cell>
          <cell r="S26">
            <v>18.718747899794696</v>
          </cell>
          <cell r="T26">
            <v>20.152173359418743</v>
          </cell>
        </row>
        <row r="27">
          <cell r="B27" t="str">
            <v>B2. Real GDP growth is at baseline minus one-half standard deviations</v>
          </cell>
          <cell r="O27">
            <v>15.71926270793422</v>
          </cell>
          <cell r="P27">
            <v>15.655034647860722</v>
          </cell>
          <cell r="Q27">
            <v>16.244172896959885</v>
          </cell>
          <cell r="R27">
            <v>17.535080813597546</v>
          </cell>
          <cell r="S27">
            <v>18.324396914440758</v>
          </cell>
          <cell r="T27">
            <v>19.650290535757751</v>
          </cell>
        </row>
        <row r="28">
          <cell r="B28" t="str">
            <v>B3. Non-interest current account is at baseline minus one-half standard deviations</v>
          </cell>
          <cell r="O28">
            <v>15.71926270793422</v>
          </cell>
          <cell r="P28">
            <v>17.61597185630017</v>
          </cell>
          <cell r="Q28">
            <v>18.900297166103066</v>
          </cell>
          <cell r="R28">
            <v>21.127290789891287</v>
          </cell>
          <cell r="S28">
            <v>22.943489867158064</v>
          </cell>
          <cell r="T28">
            <v>25.546854191073582</v>
          </cell>
        </row>
        <row r="29">
          <cell r="B29" t="str">
            <v>B4. Combination of B1-B3 using 1/4 standard deviation shocks</v>
          </cell>
          <cell r="O29">
            <v>15.71926270793422</v>
          </cell>
          <cell r="P29">
            <v>16.710226960499956</v>
          </cell>
          <cell r="Q29">
            <v>17.665684899811922</v>
          </cell>
          <cell r="R29">
            <v>19.450088642104429</v>
          </cell>
          <cell r="S29">
            <v>20.776926302188706</v>
          </cell>
          <cell r="T29">
            <v>22.769202611448801</v>
          </cell>
        </row>
        <row r="30">
          <cell r="B30" t="str">
            <v>B5. One time 30 percent nominal depreciation in 2006</v>
          </cell>
          <cell r="O30">
            <v>15.71926270793422</v>
          </cell>
          <cell r="P30">
            <v>15.382683416381989</v>
          </cell>
          <cell r="Q30">
            <v>15.896303232028647</v>
          </cell>
          <cell r="R30">
            <v>17.205881419937587</v>
          </cell>
          <cell r="S30">
            <v>17.949629032244427</v>
          </cell>
          <cell r="T30">
            <v>19.199984818557894</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A2. Country-specific shock in 2005, with reduction in GDP growth (relative to baseline) of one standard deviation 4/</v>
          </cell>
          <cell r="O37" t="e">
            <v>#REF!</v>
          </cell>
          <cell r="P37" t="e">
            <v>#REF!</v>
          </cell>
          <cell r="Q37" t="e">
            <v>#REF!</v>
          </cell>
          <cell r="R37" t="e">
            <v>#REF!</v>
          </cell>
          <cell r="S37" t="e">
            <v>#REF!</v>
          </cell>
          <cell r="T37" t="e">
            <v>#REF!</v>
          </cell>
        </row>
        <row r="38">
          <cell r="B38" t="str">
            <v>A3. Selected variables are consistent with market forecast in 2005-09</v>
          </cell>
          <cell r="O38" t="e">
            <v>#REF!</v>
          </cell>
          <cell r="P38" t="e">
            <v>#REF!</v>
          </cell>
          <cell r="Q38" t="e">
            <v>#REF!</v>
          </cell>
          <cell r="R38" t="e">
            <v>#REF!</v>
          </cell>
          <cell r="S38" t="e">
            <v>#REF!</v>
          </cell>
          <cell r="T38" t="e">
            <v>#REF!</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B2. Real GDP growth is at baseline minus one-half standard deviations</v>
          </cell>
          <cell r="O43">
            <v>14.920185054561713</v>
          </cell>
          <cell r="P43">
            <v>15.010641491220122</v>
          </cell>
          <cell r="Q43">
            <v>15.201083672016411</v>
          </cell>
          <cell r="R43">
            <v>15.713389878471162</v>
          </cell>
          <cell r="S43">
            <v>15.71946817072099</v>
          </cell>
          <cell r="T43">
            <v>16.086925178614116</v>
          </cell>
        </row>
        <row r="44">
          <cell r="B44" t="str">
            <v>B3. Non-interest current account is at baseline minus one-half standard deviations</v>
          </cell>
          <cell r="O44">
            <v>14.920185054561713</v>
          </cell>
          <cell r="P44">
            <v>16.680313821168916</v>
          </cell>
          <cell r="Q44">
            <v>17.248461301638006</v>
          </cell>
          <cell r="R44">
            <v>18.233208331587896</v>
          </cell>
          <cell r="S44">
            <v>18.718765171843799</v>
          </cell>
          <cell r="T44">
            <v>19.642802268736055</v>
          </cell>
        </row>
        <row r="45">
          <cell r="B45" t="str">
            <v>B4. Combination of B1-B4 using 1/4 standard deviation shocks</v>
          </cell>
          <cell r="O45">
            <v>14.920185054561713</v>
          </cell>
          <cell r="P45">
            <v>15.921912080140505</v>
          </cell>
          <cell r="Q45">
            <v>16.324606925434885</v>
          </cell>
          <cell r="R45">
            <v>17.103565684204309</v>
          </cell>
          <cell r="S45">
            <v>17.380412178477933</v>
          </cell>
          <cell r="T45">
            <v>18.063011353489674</v>
          </cell>
        </row>
        <row r="46">
          <cell r="B46" t="str">
            <v>B5. One time 30 percent nominal depreciation in 2006</v>
          </cell>
          <cell r="O46">
            <v>14.920185054561713</v>
          </cell>
          <cell r="P46">
            <v>20.582021479050727</v>
          </cell>
          <cell r="Q46">
            <v>20.499165433566162</v>
          </cell>
          <cell r="R46">
            <v>20.982369247424025</v>
          </cell>
          <cell r="S46">
            <v>20.693383729692549</v>
          </cell>
          <cell r="T46">
            <v>20.860524153743697</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debt. Interest expenditures are derived by applying the respective interest rate to the previous period debt stock under each alternative scenario.</v>
          </cell>
        </row>
        <row r="52">
          <cell r="B52" t="str">
            <v>3/ The key variables include real GDP growth; nominal interest rate; dollar deflator growth; and both non-interest current account and non-debt inflows in percent of GDP.</v>
          </cell>
        </row>
        <row r="53">
          <cell r="B53" t="str">
            <v xml:space="preserve">4/ The implied change in other key variables under this scenario is discussed in the text.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ntrolSheet"/>
      <sheetName val="Data"/>
      <sheetName val="Bloomberg via EDSS"/>
      <sheetName val="Module1"/>
      <sheetName val="Table"/>
      <sheetName val="Table_GEF"/>
      <sheetName val="RED47"/>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
      <sheetName val="DATAQ"/>
      <sheetName val="DataM"/>
      <sheetName val="T Vulnerability"/>
      <sheetName val="PDR vulnerability table"/>
      <sheetName val="Data"/>
      <sheetName val="Table"/>
      <sheetName val="Table_GEF"/>
    </sheetNames>
    <sheetDataSet>
      <sheetData sheetId="0"/>
      <sheetData sheetId="1"/>
      <sheetData sheetId="2"/>
      <sheetData sheetId="3"/>
      <sheetData sheetId="4" refreshError="1">
        <row r="5">
          <cell r="B5">
            <v>2000</v>
          </cell>
          <cell r="C5">
            <v>2001</v>
          </cell>
          <cell r="D5">
            <v>2002</v>
          </cell>
          <cell r="E5">
            <v>2003</v>
          </cell>
        </row>
        <row r="8">
          <cell r="A8" t="str">
            <v>Key Economic and Market Indicators</v>
          </cell>
        </row>
        <row r="9">
          <cell r="A9" t="str">
            <v>Real GDP growth (in percent)</v>
          </cell>
          <cell r="B9">
            <v>2.035398622287147</v>
          </cell>
          <cell r="C9">
            <v>3.7857410702522287</v>
          </cell>
          <cell r="D9">
            <v>4.6111781486932273</v>
          </cell>
          <cell r="E9">
            <v>4.4672623016402326</v>
          </cell>
        </row>
        <row r="10">
          <cell r="A10" t="str">
            <v>CPI inflation (period average, in percent)</v>
          </cell>
          <cell r="B10">
            <v>12.028861672837749</v>
          </cell>
          <cell r="C10">
            <v>7.3037809647979515</v>
          </cell>
          <cell r="D10">
            <v>3.3233106504193728</v>
          </cell>
          <cell r="E10">
            <v>8.5</v>
          </cell>
        </row>
        <row r="11">
          <cell r="A11" t="str">
            <v>Short-term interbank rate (in percent)</v>
          </cell>
          <cell r="B11">
            <v>8.5816666666666652</v>
          </cell>
          <cell r="C11">
            <v>7.769166666666667</v>
          </cell>
          <cell r="D11">
            <v>7.8066666666666675</v>
          </cell>
          <cell r="E11">
            <v>6.32</v>
          </cell>
        </row>
        <row r="12">
          <cell r="A12" t="str">
            <v>EMBI secondary market spread (basis points, end of period)</v>
          </cell>
          <cell r="B12" t="str">
            <v>…</v>
          </cell>
          <cell r="C12" t="str">
            <v>…</v>
          </cell>
          <cell r="D12" t="str">
            <v>…</v>
          </cell>
          <cell r="E12" t="str">
            <v>…</v>
          </cell>
        </row>
        <row r="13">
          <cell r="A13" t="str">
            <v>Exchange rate Sk/US$ (end of period)</v>
          </cell>
          <cell r="B13">
            <v>47.389000000000003</v>
          </cell>
          <cell r="C13">
            <v>48.466999999999999</v>
          </cell>
          <cell r="D13">
            <v>40.036000000000001</v>
          </cell>
          <cell r="E13">
            <v>32.92</v>
          </cell>
        </row>
        <row r="16">
          <cell r="A16" t="str">
            <v>External Sector</v>
          </cell>
        </row>
        <row r="17">
          <cell r="A17" t="str">
            <v>Exchange rate regime</v>
          </cell>
          <cell r="B17" t="str">
            <v>Managed floating</v>
          </cell>
        </row>
        <row r="18">
          <cell r="A18" t="str">
            <v>Current account balance (percent of GDP)</v>
          </cell>
          <cell r="B18">
            <v>-3.4636573362638488</v>
          </cell>
          <cell r="C18">
            <v>-8.407194853338007</v>
          </cell>
          <cell r="D18">
            <v>-7.999629388763382</v>
          </cell>
          <cell r="E18">
            <v>-0.85626393194781836</v>
          </cell>
        </row>
        <row r="19">
          <cell r="A19" t="str">
            <v>Net FDI inflows (percent of GDP)</v>
          </cell>
          <cell r="B19">
            <v>10.36732895897099</v>
          </cell>
          <cell r="C19">
            <v>5.4439924505726625</v>
          </cell>
          <cell r="D19">
            <v>16.350849739075539</v>
          </cell>
          <cell r="E19">
            <v>1.7749988247863249</v>
          </cell>
        </row>
        <row r="20">
          <cell r="A20" t="str">
            <v>Export growth (US$ value, GNFS)</v>
          </cell>
          <cell r="B20">
            <v>14.864495470165579</v>
          </cell>
          <cell r="C20">
            <v>7.0974774345985594</v>
          </cell>
          <cell r="D20">
            <v>13.425324299569155</v>
          </cell>
          <cell r="E20">
            <v>46.484482044883435</v>
          </cell>
        </row>
        <row r="21">
          <cell r="A21" t="str">
            <v xml:space="preserve">Real effective exchange rate (2000 = 100)  </v>
          </cell>
          <cell r="B21">
            <v>100</v>
          </cell>
          <cell r="C21">
            <v>100.55386661515627</v>
          </cell>
          <cell r="D21">
            <v>100.48456753547046</v>
          </cell>
          <cell r="E21">
            <v>112.13728474870786</v>
          </cell>
        </row>
        <row r="22">
          <cell r="A22" t="str">
            <v>Gross official international reserves (GIR) in US$ billion</v>
          </cell>
          <cell r="B22">
            <v>4.0768000000000004</v>
          </cell>
          <cell r="C22">
            <v>4.1886427230136505</v>
          </cell>
          <cell r="D22">
            <v>9.1954999999999991</v>
          </cell>
          <cell r="E22">
            <v>12.148999999999999</v>
          </cell>
        </row>
        <row r="23">
          <cell r="A23" t="str">
            <v xml:space="preserve">GIR in percent of external short-term debt at remaining maturity </v>
          </cell>
          <cell r="B23">
            <v>102.00364298724955</v>
          </cell>
          <cell r="C23">
            <v>95.151087781354732</v>
          </cell>
          <cell r="D23">
            <v>132.1382382526225</v>
          </cell>
          <cell r="E23">
            <v>85.344552581958979</v>
          </cell>
        </row>
        <row r="24">
          <cell r="A24" t="str">
            <v xml:space="preserve">Net official international reserves (NIR) in US$ billion </v>
          </cell>
          <cell r="B24">
            <v>3.7529386739026509</v>
          </cell>
          <cell r="C24">
            <v>3.9225599483835722</v>
          </cell>
          <cell r="D24">
            <v>8.760844984422743</v>
          </cell>
          <cell r="E24">
            <v>11.070891728261516</v>
          </cell>
        </row>
        <row r="25">
          <cell r="A25" t="str">
            <v xml:space="preserve">Total gross external debt in percent of GDP </v>
          </cell>
          <cell r="B25">
            <v>53.440365724419458</v>
          </cell>
          <cell r="C25">
            <v>52.866938251067076</v>
          </cell>
          <cell r="D25">
            <v>54.079111901055896</v>
          </cell>
          <cell r="E25">
            <v>55.333568051282043</v>
          </cell>
        </row>
        <row r="26">
          <cell r="A26" t="str">
            <v xml:space="preserve">o/w  Short-term debt (original maturity in percent of GDP) </v>
          </cell>
          <cell r="B26">
            <v>11.945279953480025</v>
          </cell>
          <cell r="C26">
            <v>14.712790651057189</v>
          </cell>
          <cell r="D26">
            <v>17.48005113098489</v>
          </cell>
          <cell r="E26">
            <v>23.804002980669871</v>
          </cell>
        </row>
        <row r="27">
          <cell r="A27" t="str">
            <v xml:space="preserve">           Private sector debt (in percent of GDP)</v>
          </cell>
          <cell r="B27">
            <v>36.702174625308288</v>
          </cell>
          <cell r="C27">
            <v>36.322982150625464</v>
          </cell>
          <cell r="D27">
            <v>38.647387577371205</v>
          </cell>
          <cell r="E27">
            <v>39.237170299145291</v>
          </cell>
        </row>
        <row r="28">
          <cell r="A28" t="str">
            <v xml:space="preserve">Total gross external debt in percent of exports of GNFS </v>
          </cell>
          <cell r="B28">
            <v>76.522845875333601</v>
          </cell>
          <cell r="C28">
            <v>73.026982378869192</v>
          </cell>
          <cell r="D28">
            <v>76.422736734087025</v>
          </cell>
          <cell r="E28">
            <v>72.004489784546053</v>
          </cell>
        </row>
        <row r="29">
          <cell r="A29" t="str">
            <v>Gross external financing requirement (in US billion)</v>
          </cell>
          <cell r="B29">
            <v>5.0892999999999997</v>
          </cell>
          <cell r="C29">
            <v>5.752751323431581</v>
          </cell>
          <cell r="D29">
            <v>6.3409941559352418</v>
          </cell>
          <cell r="E29">
            <v>7.2389381908149346</v>
          </cell>
        </row>
        <row r="32">
          <cell r="A32" t="str">
            <v>Public Sector  2/</v>
          </cell>
        </row>
        <row r="33">
          <cell r="A33" t="str">
            <v xml:space="preserve">Overall balance (percent of GDP) </v>
          </cell>
          <cell r="B33">
            <v>-12.307524310042298</v>
          </cell>
          <cell r="C33">
            <v>-5.9985147044261815</v>
          </cell>
          <cell r="D33">
            <v>-5.7045228472601535</v>
          </cell>
          <cell r="E33">
            <v>-3.3646353646353639</v>
          </cell>
        </row>
        <row r="34">
          <cell r="A34" t="str">
            <v xml:space="preserve">Primary balance (percent of GDP) </v>
          </cell>
          <cell r="B34">
            <v>-9.9463749854134385</v>
          </cell>
          <cell r="C34">
            <v>-3.2516090702049709</v>
          </cell>
          <cell r="D34">
            <v>-2.6017658838521784</v>
          </cell>
          <cell r="E34">
            <v>-1.5393772893772892</v>
          </cell>
        </row>
        <row r="35">
          <cell r="A35" t="str">
            <v xml:space="preserve">Debt-stabilizing primary balance (percent of GDP) </v>
          </cell>
          <cell r="B35" t="str">
            <v>…</v>
          </cell>
          <cell r="C35" t="str">
            <v>…</v>
          </cell>
          <cell r="D35" t="str">
            <v>…</v>
          </cell>
          <cell r="E35" t="str">
            <v>…</v>
          </cell>
        </row>
        <row r="36">
          <cell r="A36" t="str">
            <v>Gross public sector financing requirement (in percent of GDP)</v>
          </cell>
          <cell r="B36">
            <v>20.865759518525536</v>
          </cell>
          <cell r="C36">
            <v>19.043443116006475</v>
          </cell>
          <cell r="D36">
            <v>17.643546331694886</v>
          </cell>
          <cell r="E36">
            <v>18.027599132814743</v>
          </cell>
        </row>
        <row r="37">
          <cell r="A37" t="str">
            <v xml:space="preserve">Public sector gross debt (PSGD, in percent of GDP) </v>
          </cell>
          <cell r="B37">
            <v>49.878650520994469</v>
          </cell>
          <cell r="C37">
            <v>48.736112486384791</v>
          </cell>
          <cell r="D37">
            <v>43.272073548152193</v>
          </cell>
          <cell r="E37">
            <v>42.6048951048951</v>
          </cell>
        </row>
        <row r="38">
          <cell r="A38" t="str">
            <v>o/w  External debt from official creditors (in percent of total PSGD)</v>
          </cell>
          <cell r="B38">
            <v>3.2481681945142005</v>
          </cell>
          <cell r="C38">
            <v>2.8645439528958558</v>
          </cell>
          <cell r="D38">
            <v>3.1435923731612352</v>
          </cell>
          <cell r="E38">
            <v>4.3166072210823874</v>
          </cell>
        </row>
        <row r="39">
          <cell r="A39" t="str">
            <v>External debt from private creditors (in percent of total PSGD)</v>
          </cell>
          <cell r="B39">
            <v>27.098280730805495</v>
          </cell>
          <cell r="C39">
            <v>28.467599278530177</v>
          </cell>
          <cell r="D39">
            <v>28.37375774263916</v>
          </cell>
          <cell r="E39">
            <v>25.575408870195592</v>
          </cell>
        </row>
        <row r="40">
          <cell r="A40" t="str">
            <v>Debt linked to foreign currency (in percent of total PSGD)</v>
          </cell>
          <cell r="B40">
            <v>23.533137585693254</v>
          </cell>
          <cell r="C40">
            <v>19.27088539698407</v>
          </cell>
          <cell r="D40">
            <v>23.677971841888819</v>
          </cell>
          <cell r="E40">
            <v>20.31518064755652</v>
          </cell>
        </row>
        <row r="41">
          <cell r="A41" t="str">
            <v>Debt at variable interest rate or indexed to inflation (in percent of total PSGD)</v>
          </cell>
          <cell r="B41" t="str">
            <v>…</v>
          </cell>
          <cell r="C41" t="str">
            <v>…</v>
          </cell>
          <cell r="D41" t="str">
            <v>…</v>
          </cell>
          <cell r="E41" t="str">
            <v>…</v>
          </cell>
        </row>
        <row r="42">
          <cell r="A42" t="str">
            <v>Public sector net debt (in percent of GDP)</v>
          </cell>
          <cell r="B42" t="str">
            <v>…</v>
          </cell>
          <cell r="C42" t="str">
            <v>…</v>
          </cell>
          <cell r="D42" t="str">
            <v>…</v>
          </cell>
          <cell r="E42">
            <v>29.039377289377292</v>
          </cell>
        </row>
        <row r="45">
          <cell r="A45" t="str">
            <v xml:space="preserve">Financial Sector </v>
          </cell>
        </row>
        <row r="46">
          <cell r="A46" t="str">
            <v>Capital adequacy ratio (in percent)</v>
          </cell>
          <cell r="B46">
            <v>13.75</v>
          </cell>
          <cell r="C46">
            <v>19.75</v>
          </cell>
          <cell r="D46">
            <v>21.3</v>
          </cell>
          <cell r="E46">
            <v>21.6</v>
          </cell>
        </row>
        <row r="47">
          <cell r="A47" t="str">
            <v xml:space="preserve">NPLs in percent of total loans </v>
          </cell>
          <cell r="B47">
            <v>20.11</v>
          </cell>
          <cell r="C47">
            <v>20.53</v>
          </cell>
          <cell r="D47">
            <v>9.2200000000000006</v>
          </cell>
          <cell r="E47">
            <v>6.41</v>
          </cell>
        </row>
        <row r="48">
          <cell r="A48" t="str">
            <v>Provisions in percent of NPLs</v>
          </cell>
          <cell r="B48">
            <v>83.8</v>
          </cell>
          <cell r="C48">
            <v>88.6</v>
          </cell>
          <cell r="D48">
            <v>86.14</v>
          </cell>
          <cell r="E48">
            <v>88.3</v>
          </cell>
        </row>
        <row r="49">
          <cell r="A49" t="str">
            <v>Return on average assets (in percent)</v>
          </cell>
          <cell r="B49">
            <v>0.52</v>
          </cell>
          <cell r="C49">
            <v>0.98</v>
          </cell>
          <cell r="D49">
            <v>1.17</v>
          </cell>
          <cell r="E49">
            <v>1.1499999999999999</v>
          </cell>
        </row>
        <row r="50">
          <cell r="A50" t="str">
            <v xml:space="preserve">FX deposits held by residents (in percent of total deposits) </v>
          </cell>
          <cell r="B50">
            <v>17.433906452209278</v>
          </cell>
          <cell r="C50">
            <v>17.548839539155118</v>
          </cell>
          <cell r="D50">
            <v>17.245838047518991</v>
          </cell>
          <cell r="E50">
            <v>14.151813153042406</v>
          </cell>
        </row>
        <row r="51">
          <cell r="A51" t="str">
            <v>FX deposits held by residents (in percent of gross international reserves)</v>
          </cell>
          <cell r="B51">
            <v>48.810666969492246</v>
          </cell>
          <cell r="C51">
            <v>51.770607264047207</v>
          </cell>
          <cell r="D51">
            <v>28.982669879094573</v>
          </cell>
          <cell r="E51">
            <v>23.028161766610555</v>
          </cell>
        </row>
        <row r="52">
          <cell r="A52" t="str">
            <v>FX loans to residents (in percent of total loans)</v>
          </cell>
          <cell r="B52">
            <v>12.30806726785279</v>
          </cell>
          <cell r="C52">
            <v>15.932102441929718</v>
          </cell>
          <cell r="D52">
            <v>15.928424757993549</v>
          </cell>
          <cell r="E52">
            <v>17.703225806451613</v>
          </cell>
        </row>
        <row r="53">
          <cell r="A53" t="str">
            <v>Net open forex position (sum of on- and off- balance sheet exposure) (in percent of capital)</v>
          </cell>
          <cell r="B53" t="str">
            <v>…</v>
          </cell>
          <cell r="C53" t="str">
            <v>…</v>
          </cell>
          <cell r="D53" t="str">
            <v>…</v>
          </cell>
          <cell r="E53" t="str">
            <v>…</v>
          </cell>
        </row>
        <row r="54">
          <cell r="A54" t="str">
            <v>Ratio of gross notional off-balance sheet exposure to capital</v>
          </cell>
          <cell r="B54" t="str">
            <v>…</v>
          </cell>
          <cell r="C54" t="str">
            <v>…</v>
          </cell>
          <cell r="D54" t="str">
            <v>…</v>
          </cell>
          <cell r="E54" t="str">
            <v>…</v>
          </cell>
        </row>
        <row r="56">
          <cell r="A56" t="str">
            <v>Memo item:</v>
          </cell>
        </row>
        <row r="57">
          <cell r="A57" t="str">
            <v>Nominal GDP in billions of U.S. dollars</v>
          </cell>
          <cell r="B57">
            <v>20.217357897053152</v>
          </cell>
          <cell r="C57">
            <v>20.887244248114019</v>
          </cell>
          <cell r="D57">
            <v>24.237343290661691</v>
          </cell>
          <cell r="E57">
            <v>32.692979392245896</v>
          </cell>
        </row>
        <row r="59">
          <cell r="A59" t="str">
            <v>1/ Staff projection, or actual data for period specified in column G</v>
          </cell>
        </row>
        <row r="60">
          <cell r="A60" t="str">
            <v>2/  General government.</v>
          </cell>
        </row>
      </sheetData>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_pouzitia"/>
      <sheetName val="Dashboard"/>
      <sheetName val="Tabulky RVS"/>
      <sheetName val="Súhrnná tabuľka"/>
      <sheetName val="Monitoring"/>
      <sheetName val="ALCO"/>
      <sheetName val="vs. RVS"/>
      <sheetName val="vs. RVSx"/>
      <sheetName val="vs. RVS (2)"/>
      <sheetName val="Prognoza hrubého dlhu"/>
      <sheetName val="Kvartalny dlh"/>
      <sheetName val="Stochastika"/>
      <sheetName val="SFA"/>
      <sheetName val="Cisty dlh"/>
      <sheetName val="Ostatne subjekty"/>
      <sheetName val="Štátna pokladnica"/>
      <sheetName val="Kurzove rozdiely"/>
      <sheetName val="Dlh podla faktorov"/>
      <sheetName val="Ardal_Cash transakcie"/>
      <sheetName val="Ardal_splatnosti"/>
      <sheetName val="Ardal_F"/>
      <sheetName val="Ardal_B"/>
      <sheetName val="Ardal_SPP"/>
      <sheetName val="Finan aktiva"/>
      <sheetName val="LFA_stavy"/>
      <sheetName val="LFA_input"/>
      <sheetName val="Hárok1"/>
      <sheetName val="Zložky VS_93_2010"/>
      <sheetName val="Poznámky"/>
    </sheetNames>
    <sheetDataSet>
      <sheetData sheetId="0" refreshError="1"/>
      <sheetData sheetId="1">
        <row r="34">
          <cell r="Y34" t="str">
            <v>2024-2026</v>
          </cell>
        </row>
      </sheetData>
      <sheetData sheetId="2" refreshError="1"/>
      <sheetData sheetId="3">
        <row r="82">
          <cell r="AN82" t="str">
            <v>Primárne saldo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v>2001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Motív Office">
  <a:themeElements>
    <a:clrScheme name="IFP">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Vlastné 2">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Vlastné 2">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info/sites/info/files/economy-finance/2021_dbp_sk_sk_0_1.pdf" TargetMode="External"/><Relationship Id="rId1" Type="http://schemas.openxmlformats.org/officeDocument/2006/relationships/hyperlink" Target="https://ec.europa.eu/info/sites/info/files/economy-finance/2021_dbp_sk_sk_0_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6"/>
  <dimension ref="A1:I40"/>
  <sheetViews>
    <sheetView showGridLines="0" zoomScale="80" zoomScaleNormal="80" workbookViewId="0">
      <selection activeCell="D12" sqref="D12"/>
    </sheetView>
  </sheetViews>
  <sheetFormatPr defaultColWidth="9.21875" defaultRowHeight="13.8" x14ac:dyDescent="0.25"/>
  <cols>
    <col min="1" max="1" width="9.21875" style="5"/>
    <col min="2" max="2" width="79.21875" style="5" bestFit="1" customWidth="1"/>
    <col min="3" max="3" width="6.21875" style="5" customWidth="1"/>
    <col min="4" max="4" width="90.77734375" style="5" bestFit="1" customWidth="1"/>
    <col min="5" max="5" width="9.44140625" style="159" customWidth="1"/>
    <col min="6" max="6" width="85.5546875" style="5" bestFit="1" customWidth="1"/>
    <col min="7" max="7" width="19.21875" style="5" customWidth="1"/>
    <col min="8" max="8" width="93.21875" style="5" bestFit="1" customWidth="1"/>
    <col min="9" max="16384" width="9.21875" style="5"/>
  </cols>
  <sheetData>
    <row r="1" spans="1:9" s="153" customFormat="1" ht="24" thickBot="1" x14ac:dyDescent="0.5">
      <c r="A1" s="221"/>
      <c r="B1" s="373" t="s">
        <v>407</v>
      </c>
      <c r="C1" s="374"/>
      <c r="D1" s="374"/>
      <c r="E1" s="156"/>
      <c r="F1" s="373" t="s">
        <v>581</v>
      </c>
      <c r="G1" s="374"/>
      <c r="H1" s="156"/>
    </row>
    <row r="2" spans="1:9" s="153" customFormat="1" ht="23.4" x14ac:dyDescent="0.45">
      <c r="B2" s="155"/>
      <c r="C2" s="156"/>
      <c r="D2" s="156"/>
      <c r="E2" s="156"/>
      <c r="F2" s="155"/>
      <c r="G2" s="156"/>
      <c r="H2" s="156"/>
    </row>
    <row r="3" spans="1:9" ht="20.399999999999999" x14ac:dyDescent="0.35">
      <c r="B3" s="157" t="s">
        <v>222</v>
      </c>
      <c r="C3" s="154"/>
      <c r="D3" s="154"/>
      <c r="E3" s="158"/>
      <c r="F3" s="157" t="s">
        <v>223</v>
      </c>
    </row>
    <row r="5" spans="1:9" s="160" customFormat="1" ht="15.6" x14ac:dyDescent="0.3">
      <c r="B5" s="212" t="s">
        <v>582</v>
      </c>
      <c r="C5" s="210"/>
      <c r="D5" s="212" t="s">
        <v>224</v>
      </c>
      <c r="E5" s="161"/>
      <c r="F5" s="212" t="s">
        <v>583</v>
      </c>
      <c r="G5" s="5"/>
      <c r="H5" s="212" t="s">
        <v>225</v>
      </c>
    </row>
    <row r="6" spans="1:9" s="160" customFormat="1" ht="15.6" x14ac:dyDescent="0.3">
      <c r="B6" s="213" t="s">
        <v>462</v>
      </c>
      <c r="C6" s="210"/>
      <c r="D6" s="213" t="s">
        <v>589</v>
      </c>
      <c r="E6" s="210"/>
      <c r="F6" s="213" t="s">
        <v>464</v>
      </c>
      <c r="G6" s="5"/>
      <c r="H6" s="213" t="s">
        <v>587</v>
      </c>
    </row>
    <row r="7" spans="1:9" s="160" customFormat="1" ht="15.6" x14ac:dyDescent="0.3">
      <c r="B7" s="212" t="s">
        <v>463</v>
      </c>
      <c r="C7" s="210"/>
      <c r="D7" s="212" t="s">
        <v>444</v>
      </c>
      <c r="E7" s="210"/>
      <c r="F7" s="212" t="s">
        <v>584</v>
      </c>
      <c r="G7" s="5"/>
      <c r="H7" s="212" t="s">
        <v>586</v>
      </c>
    </row>
    <row r="8" spans="1:9" s="160" customFormat="1" ht="15.6" x14ac:dyDescent="0.3">
      <c r="B8" s="213" t="s">
        <v>465</v>
      </c>
      <c r="C8" s="210"/>
      <c r="D8" s="213" t="s">
        <v>598</v>
      </c>
      <c r="E8" s="210"/>
      <c r="F8" s="213" t="s">
        <v>466</v>
      </c>
      <c r="G8" s="5"/>
      <c r="H8" s="213" t="s">
        <v>585</v>
      </c>
      <c r="I8" s="362"/>
    </row>
    <row r="9" spans="1:9" s="160" customFormat="1" ht="15.6" x14ac:dyDescent="0.3">
      <c r="B9" s="212" t="s">
        <v>423</v>
      </c>
      <c r="C9" s="210"/>
      <c r="D9" s="212" t="s">
        <v>487</v>
      </c>
      <c r="E9" s="210"/>
      <c r="F9" s="212" t="s">
        <v>424</v>
      </c>
      <c r="G9" s="362"/>
      <c r="H9" s="212" t="s">
        <v>488</v>
      </c>
      <c r="I9" s="298"/>
    </row>
    <row r="10" spans="1:9" s="160" customFormat="1" ht="15.6" x14ac:dyDescent="0.3">
      <c r="B10" s="213" t="s">
        <v>425</v>
      </c>
      <c r="C10" s="210"/>
      <c r="D10" s="213" t="s">
        <v>590</v>
      </c>
      <c r="E10" s="210"/>
      <c r="F10" s="213" t="s">
        <v>426</v>
      </c>
      <c r="G10" s="362"/>
      <c r="H10" s="213" t="s">
        <v>591</v>
      </c>
      <c r="I10" s="298"/>
    </row>
    <row r="11" spans="1:9" s="211" customFormat="1" ht="15.6" x14ac:dyDescent="0.3">
      <c r="B11" s="212" t="s">
        <v>427</v>
      </c>
      <c r="C11" s="210"/>
      <c r="D11" s="212" t="s">
        <v>594</v>
      </c>
      <c r="E11" s="210"/>
      <c r="F11" s="212" t="s">
        <v>428</v>
      </c>
      <c r="G11" s="375"/>
      <c r="H11" s="212" t="s">
        <v>595</v>
      </c>
      <c r="I11" s="298"/>
    </row>
    <row r="12" spans="1:9" s="160" customFormat="1" ht="15.6" x14ac:dyDescent="0.3">
      <c r="B12" s="213" t="s">
        <v>429</v>
      </c>
      <c r="C12" s="210"/>
      <c r="D12" s="213" t="s">
        <v>596</v>
      </c>
      <c r="E12" s="210"/>
      <c r="F12" s="213" t="s">
        <v>430</v>
      </c>
      <c r="G12" s="362"/>
      <c r="H12" s="213" t="s">
        <v>597</v>
      </c>
      <c r="I12" s="362"/>
    </row>
    <row r="13" spans="1:9" s="160" customFormat="1" ht="15.6" x14ac:dyDescent="0.3">
      <c r="B13" s="212" t="s">
        <v>404</v>
      </c>
      <c r="C13" s="210"/>
      <c r="D13"/>
      <c r="E13" s="210"/>
      <c r="F13" s="212" t="s">
        <v>646</v>
      </c>
      <c r="G13" s="362"/>
      <c r="H13"/>
      <c r="I13" s="362"/>
    </row>
    <row r="14" spans="1:9" s="160" customFormat="1" ht="15.6" x14ac:dyDescent="0.3">
      <c r="B14" s="213" t="s">
        <v>645</v>
      </c>
      <c r="C14" s="210"/>
      <c r="D14"/>
      <c r="E14" s="210"/>
      <c r="F14" s="213" t="s">
        <v>647</v>
      </c>
      <c r="G14" s="362"/>
      <c r="H14"/>
      <c r="I14" s="362"/>
    </row>
    <row r="15" spans="1:9" s="160" customFormat="1" ht="15.6" x14ac:dyDescent="0.3">
      <c r="B15" s="212" t="s">
        <v>408</v>
      </c>
      <c r="C15" s="210"/>
      <c r="D15"/>
      <c r="E15" s="210"/>
      <c r="F15" s="212" t="s">
        <v>409</v>
      </c>
      <c r="G15" s="375"/>
      <c r="H15"/>
      <c r="I15" s="298"/>
    </row>
    <row r="16" spans="1:9" s="160" customFormat="1" ht="15.6" x14ac:dyDescent="0.3">
      <c r="B16" s="213" t="s">
        <v>459</v>
      </c>
      <c r="C16" s="210"/>
      <c r="D16"/>
      <c r="E16" s="210"/>
      <c r="F16" s="213" t="s">
        <v>461</v>
      </c>
      <c r="G16" s="362"/>
      <c r="H16"/>
      <c r="I16" s="362"/>
    </row>
    <row r="17" spans="1:9" s="160" customFormat="1" ht="15.6" x14ac:dyDescent="0.3">
      <c r="B17" s="212" t="s">
        <v>460</v>
      </c>
      <c r="C17" s="210"/>
      <c r="D17"/>
      <c r="E17" s="210"/>
      <c r="F17" s="212" t="s">
        <v>486</v>
      </c>
      <c r="G17" s="362"/>
      <c r="H17"/>
      <c r="I17" s="362"/>
    </row>
    <row r="18" spans="1:9" s="160" customFormat="1" ht="15.6" x14ac:dyDescent="0.3">
      <c r="B18"/>
      <c r="C18" s="210"/>
      <c r="D18"/>
      <c r="E18" s="210"/>
      <c r="F18"/>
      <c r="G18" s="330"/>
      <c r="H18"/>
      <c r="I18" s="298"/>
    </row>
    <row r="19" spans="1:9" s="160" customFormat="1" ht="15.6" x14ac:dyDescent="0.3">
      <c r="B19"/>
      <c r="C19" s="210"/>
      <c r="D19"/>
      <c r="E19" s="210"/>
      <c r="F19"/>
      <c r="G19" s="330"/>
      <c r="H19"/>
      <c r="I19" s="362"/>
    </row>
    <row r="20" spans="1:9" s="160" customFormat="1" ht="15.6" x14ac:dyDescent="0.3">
      <c r="B20"/>
      <c r="C20" s="210"/>
      <c r="D20"/>
      <c r="E20" s="210"/>
      <c r="F20"/>
      <c r="G20" s="362"/>
      <c r="H20"/>
      <c r="I20" s="362"/>
    </row>
    <row r="21" spans="1:9" s="211" customFormat="1" ht="15.6" x14ac:dyDescent="0.3">
      <c r="B21"/>
      <c r="C21" s="210"/>
      <c r="D21"/>
      <c r="E21" s="210"/>
      <c r="F21"/>
      <c r="G21" s="362"/>
      <c r="H21"/>
      <c r="I21" s="362"/>
    </row>
    <row r="22" spans="1:9" s="211" customFormat="1" ht="15.6" x14ac:dyDescent="0.3">
      <c r="B22"/>
      <c r="C22" s="210"/>
      <c r="D22"/>
      <c r="E22" s="210"/>
      <c r="F22"/>
      <c r="G22" s="362"/>
      <c r="H22"/>
      <c r="I22" s="362"/>
    </row>
    <row r="23" spans="1:9" s="211" customFormat="1" ht="15.6" x14ac:dyDescent="0.3">
      <c r="B23"/>
      <c r="C23" s="210"/>
      <c r="D23"/>
      <c r="E23" s="210"/>
      <c r="F23"/>
      <c r="G23" s="362"/>
      <c r="H23"/>
      <c r="I23" s="362"/>
    </row>
    <row r="24" spans="1:9" s="211" customFormat="1" ht="15.6" x14ac:dyDescent="0.3">
      <c r="B24"/>
      <c r="C24" s="210"/>
      <c r="D24"/>
      <c r="E24" s="210"/>
      <c r="F24"/>
      <c r="G24" s="362"/>
      <c r="H24"/>
      <c r="I24" s="362"/>
    </row>
    <row r="25" spans="1:9" s="160" customFormat="1" ht="15.6" x14ac:dyDescent="0.3">
      <c r="A25" s="211"/>
      <c r="B25"/>
      <c r="C25" s="210"/>
      <c r="D25"/>
      <c r="E25" s="210"/>
      <c r="F25"/>
      <c r="G25" s="362"/>
      <c r="H25"/>
      <c r="I25" s="362"/>
    </row>
    <row r="26" spans="1:9" s="160" customFormat="1" ht="15.6" x14ac:dyDescent="0.3">
      <c r="A26" s="211"/>
      <c r="B26"/>
      <c r="C26" s="210"/>
      <c r="D26"/>
      <c r="E26" s="210"/>
      <c r="F26"/>
      <c r="G26" s="362"/>
      <c r="H26"/>
      <c r="I26" s="375"/>
    </row>
    <row r="27" spans="1:9" s="160" customFormat="1" ht="15.6" x14ac:dyDescent="0.3">
      <c r="A27" s="211"/>
      <c r="B27"/>
      <c r="C27" s="210"/>
      <c r="D27"/>
      <c r="E27" s="210"/>
      <c r="F27"/>
      <c r="G27" s="362"/>
      <c r="H27"/>
      <c r="I27" s="375"/>
    </row>
    <row r="28" spans="1:9" s="160" customFormat="1" ht="15.6" x14ac:dyDescent="0.3">
      <c r="B28"/>
      <c r="C28" s="210"/>
      <c r="D28"/>
      <c r="E28" s="1"/>
      <c r="F28"/>
      <c r="G28" s="362"/>
      <c r="H28"/>
      <c r="I28" s="5"/>
    </row>
    <row r="29" spans="1:9" s="160" customFormat="1" ht="15.6" x14ac:dyDescent="0.3">
      <c r="B29"/>
      <c r="C29" s="210"/>
      <c r="E29" s="161"/>
      <c r="F29"/>
      <c r="G29" s="362"/>
      <c r="H29" s="5"/>
      <c r="I29" s="5"/>
    </row>
    <row r="30" spans="1:9" s="160" customFormat="1" ht="15.6" x14ac:dyDescent="0.3">
      <c r="B30"/>
      <c r="C30" s="210"/>
      <c r="D30" s="5"/>
      <c r="E30" s="161"/>
      <c r="F30"/>
      <c r="G30" s="362"/>
      <c r="H30" s="5"/>
      <c r="I30" s="5"/>
    </row>
    <row r="31" spans="1:9" s="160" customFormat="1" ht="15.6" x14ac:dyDescent="0.3">
      <c r="B31"/>
      <c r="C31" s="210"/>
      <c r="D31" s="5"/>
      <c r="E31" s="161"/>
      <c r="F31"/>
      <c r="G31" s="375"/>
      <c r="H31" s="5"/>
      <c r="I31" s="5"/>
    </row>
    <row r="32" spans="1:9" s="160" customFormat="1" ht="15.6" x14ac:dyDescent="0.3">
      <c r="B32"/>
      <c r="C32" s="210"/>
      <c r="D32" s="5"/>
      <c r="E32" s="161"/>
      <c r="F32"/>
      <c r="H32" s="5"/>
      <c r="I32" s="5"/>
    </row>
    <row r="33" spans="2:9" s="160" customFormat="1" ht="15.6" x14ac:dyDescent="0.3">
      <c r="B33"/>
      <c r="C33" s="210"/>
      <c r="D33" s="5"/>
      <c r="E33" s="161"/>
      <c r="F33"/>
      <c r="H33" s="5"/>
      <c r="I33" s="5"/>
    </row>
    <row r="34" spans="2:9" ht="14.4" x14ac:dyDescent="0.3">
      <c r="B34"/>
      <c r="C34" s="210"/>
      <c r="F34"/>
    </row>
    <row r="35" spans="2:9" ht="14.4" x14ac:dyDescent="0.3">
      <c r="B35"/>
      <c r="C35" s="210"/>
      <c r="F35"/>
      <c r="G35" s="362"/>
    </row>
    <row r="36" spans="2:9" ht="14.4" x14ac:dyDescent="0.3">
      <c r="B36"/>
      <c r="C36" s="210"/>
      <c r="F36"/>
      <c r="G36" s="362"/>
    </row>
    <row r="37" spans="2:9" ht="14.4" x14ac:dyDescent="0.3">
      <c r="B37"/>
      <c r="C37" s="210"/>
      <c r="F37"/>
      <c r="G37" s="362"/>
    </row>
    <row r="38" spans="2:9" ht="14.4" x14ac:dyDescent="0.3">
      <c r="B38"/>
      <c r="C38" s="210"/>
      <c r="F38"/>
      <c r="G38" s="362"/>
    </row>
    <row r="39" spans="2:9" ht="14.4" x14ac:dyDescent="0.3">
      <c r="B39"/>
      <c r="C39" s="1"/>
      <c r="F39"/>
      <c r="G39" s="362"/>
    </row>
    <row r="40" spans="2:9" x14ac:dyDescent="0.25">
      <c r="F40" s="159"/>
    </row>
  </sheetData>
  <hyperlinks>
    <hyperlink ref="D5" location="'MMF_TABULKA'!A1" display="MMF_TABULKA"/>
    <hyperlink ref="B3" r:id="rId1"/>
    <hyperlink ref="F3" r:id="rId2"/>
    <hyperlink ref="H5" location="'MMF_TABULKA'!A1" display="MMF_TABULKA"/>
    <hyperlink ref="B7" location="'Graf 1+2'!A1" display="GRAF 2 – Hrubý dlh verejnej správy (% HDP)"/>
    <hyperlink ref="D6" location="'Tabuľka 1'!A1" display="TABUĽKA 1 – Porovnanie prognóz Európskej komisie a Ministerstva financií SR"/>
    <hyperlink ref="D7" location="'Tabuľka 2'!A1" display="TABUĽKA 2 – Produkčná medzera a príspevky faktorov k rastu potenciálneho produktu – národná metodika"/>
    <hyperlink ref="D8" location="'Tabuľka 3'!A1" display="TABUĽKA 3 – Alternatívny scenár makroekonomickej prognózy – vyššie ceny energií pre domácnosti"/>
    <hyperlink ref="D9" location="'Tabuľka 4'!A1" display="TABUĽKA 4 – Očakávané výdavky vyvolané vojenskou agresiou na Ukrajine (mil. eur)"/>
    <hyperlink ref="D10" location="'Tabuľka 5'!A1" display="TABUĽKA 5 – Odhadovaný rozdiel medzi súčasnými a trhovými a regulovanými cenami energií v roku 2023"/>
    <hyperlink ref="D11" location="'DRM &amp; DEM'!A1" display="TABUĽKA 6 – Opatrenia prijaté vládou v boji s energetickou krízou s vplyvom na rozpočet"/>
    <hyperlink ref="D12" location="'DRM &amp; DEM'!A1" display="TABUĽKA 7 – Konsolidačné úsilie (ESA 2010, % HDP)"/>
    <hyperlink ref="B17" location="'GRAF 12'!A1" display="GRAF 12 – Vývoj nominálneho deficitu v % HDP"/>
    <hyperlink ref="B16" location="'GRAF 11'!A1" display="GRAF 11 – Vývoj produkčnej medzery (% pot. HDP): porovnanie MF SR, NBS, EK"/>
    <hyperlink ref="B15" location="'GRAF 10'!A1" display="GRAF 10 – Výnosy 10-roč. vládnych dlhopisov (%)"/>
    <hyperlink ref="B14" location="'GRAF 9'!A1" display="GRAF 9 – Prognóza rastu  HDP externého prostredia – vážená eurozóna a V3 (%, qoq)"/>
    <hyperlink ref="B13" location="'GRAF 8'!A1" display="GRAF 8 – Príspevky k inflácii (p. b.)"/>
    <hyperlink ref="B12" location="'Graf 7'!A1" display="GRAF 7 – Príspevky odvetví k rastu zamestnanosti (p. b.)"/>
    <hyperlink ref="B11" location="'Graf 6'!A1" display="GRAF 6 – Prognóza dobiehania trhových podielov (stále ceny, 2019=100)"/>
    <hyperlink ref="B10" location="'Graf 4+5'!A1" display="GRAF 5 – Medziročné rasty vybraných položiek v roku 2023 (%-ny rast, ESA2010) "/>
    <hyperlink ref="B9" location="'Graf 4+5'!A1" display="GRAF 4 – Export tovarov po mesiacoch (mil. EUR)"/>
    <hyperlink ref="B8" location="'Graf 3'!A1" display="GRAF 3 – Príspevky k rastu HDP - prognóza (p.b.)"/>
    <hyperlink ref="B5" location="Zhrnutie!A1" display="Zhrnutie"/>
    <hyperlink ref="B6" location="'Graf 1+2'!A1" display="GRAF 1 – Odporúčané ciele v porovnaní s cieľmi z Programu stability (% HDP)"/>
    <hyperlink ref="F7" location="'Graf 1+2'!A1" display="GRAF 2 – Hrubý dlh verejnej správy (% HDP)"/>
    <hyperlink ref="F17" location="'GRAF 12'!A1" display="GRAF 12 – Vývoj nominálneho deficitu v % HDP"/>
    <hyperlink ref="F16" location="'GRAF 11'!A1" display="GRAF 11 – Vývoj produkčnej medzery (% pot. HDP): porovnanie MF SR, NBS, EK"/>
    <hyperlink ref="F15" location="'GRAF 10'!A1" display="GRAF 10 – Výnosy 10-roč. vládnych dlhopisov (%)"/>
    <hyperlink ref="F14" location="'GRAF 9'!A1" display="GRAF 9 – Prognóza rastu  HDP externého prostredia – vážená eurozóna a V3 (%, qoq)"/>
    <hyperlink ref="F13" location="'GRAF 8'!A1" display="GRAF 8 – Príspevky k inflácii (p. b.)"/>
    <hyperlink ref="F12" location="'Graf 7'!A1" display="GRAF 7 – Príspevky odvetví k rastu zamestnanosti (p. b.)"/>
    <hyperlink ref="F11" location="'Graf 6'!A1" display="GRAF 6 – Prognóza dobiehania trhových podielov (stále ceny, 2019=100)"/>
    <hyperlink ref="F10" location="'Graf 4+5'!A1" display="GRAF 5 – Veľkoobchodné ceny energií (spotové ceny, EUR/MWh)"/>
    <hyperlink ref="F9" location="'Graf 4+5'!A1" display="GRAF 4 – Export tovarov po mesiacoch (mil. EUR)"/>
    <hyperlink ref="F8" location="'Graf 3'!A1" display="GRAF 3 – Príspevky k rastu HDP - prognóza (p.b.)"/>
    <hyperlink ref="F5" location="Zhrnutie!A1" display="Zhrnutie"/>
    <hyperlink ref="F6" location="'Graf 1+2'!A1" display="GRAF 1 – Odporúčané ciele v porovnaní s cieľmi z Programu stability (% HDP)"/>
    <hyperlink ref="H6" location="'Tabuľka 1'!A1" display="TABUĽKA 1 – Porovnanie prognóz Európskej komisie a Ministerstva financií SR"/>
    <hyperlink ref="H8" location="'Tabuľka 3'!A1" display="TABUĽKA 3 – Alternatívny scenár makroekonomickej prognózy – vyššie ceny energií pre domácnosti"/>
    <hyperlink ref="H9" location="'Tabuľka 4'!A1" display="TABUĽKA 4 – Očakávané výdavky vyvolané vojenskou agresiou na Ukrajine (mil. eur)"/>
    <hyperlink ref="H11" location="'DRM &amp; DEM'!A1" display="TABUĽKA 6 – Opatrenia prijaté vládou v boji s energetickou krízou s vplyvom na rozpočet"/>
    <hyperlink ref="H12" location="'DRM &amp; DEM'!A1" display="TABUĽKA 7 – Konsolidačné úsilie (ESA 2010, % HDP)"/>
    <hyperlink ref="H7" location="'Tabuľka 2'!A1" display="TABLE 2 – Measures taken by the government to combat the energy crisis with budget impact (in EUR millions)"/>
    <hyperlink ref="H10" location="'Tabuľka 5'!A1" display="TABLE 5 – One-off and temporary measures"/>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AF109"/>
  <sheetViews>
    <sheetView showGridLines="0" tabSelected="1" zoomScale="90" zoomScaleNormal="90" workbookViewId="0">
      <pane xSplit="2" ySplit="5" topLeftCell="N35" activePane="bottomRight" state="frozen"/>
      <selection pane="topRight" activeCell="E1" sqref="E1"/>
      <selection pane="bottomLeft" activeCell="A6" sqref="A6"/>
      <selection pane="bottomRight" activeCell="W46" sqref="W46"/>
    </sheetView>
  </sheetViews>
  <sheetFormatPr defaultColWidth="9.21875" defaultRowHeight="13.2" x14ac:dyDescent="0.3"/>
  <cols>
    <col min="1" max="1" width="46.77734375" style="44" bestFit="1" customWidth="1"/>
    <col min="2" max="2" width="23.77734375" style="43" customWidth="1"/>
    <col min="3" max="3" width="10.21875" style="44" customWidth="1"/>
    <col min="4" max="6" width="10" style="44" customWidth="1"/>
    <col min="7" max="9" width="10.21875" style="44" customWidth="1"/>
    <col min="10" max="10" width="10.5546875" style="44" bestFit="1" customWidth="1"/>
    <col min="11" max="11" width="10.77734375" style="44" customWidth="1"/>
    <col min="12" max="12" width="10.5546875" style="44" bestFit="1" customWidth="1"/>
    <col min="13" max="13" width="10.5546875" style="44" customWidth="1"/>
    <col min="14" max="14" width="10.44140625" style="44" customWidth="1"/>
    <col min="15" max="17" width="10.77734375" style="44" bestFit="1" customWidth="1"/>
    <col min="18" max="20" width="10.77734375" style="44" customWidth="1"/>
    <col min="21" max="21" width="12.77734375" style="44" customWidth="1"/>
    <col min="22" max="22" width="4.44140625" style="44" bestFit="1" customWidth="1"/>
    <col min="23" max="23" width="5.77734375" style="44" bestFit="1" customWidth="1"/>
    <col min="24" max="24" width="7" style="44" bestFit="1" customWidth="1"/>
    <col min="25" max="27" width="6.21875" style="44" bestFit="1" customWidth="1"/>
    <col min="28" max="16384" width="9.21875" style="44"/>
  </cols>
  <sheetData>
    <row r="1" spans="1:27" ht="15.75" customHeight="1" x14ac:dyDescent="0.3">
      <c r="A1" s="1"/>
    </row>
    <row r="2" spans="1:27" ht="15.75" customHeight="1" x14ac:dyDescent="0.3">
      <c r="I2" s="45"/>
    </row>
    <row r="3" spans="1:27" ht="16.5" customHeight="1" x14ac:dyDescent="0.3">
      <c r="A3" s="47" t="s">
        <v>36</v>
      </c>
      <c r="B3" s="48"/>
      <c r="C3" s="49"/>
      <c r="D3" s="49"/>
      <c r="E3" s="49"/>
      <c r="F3" s="49"/>
      <c r="G3" s="49"/>
      <c r="H3" s="49"/>
      <c r="I3" s="49"/>
      <c r="J3" s="49"/>
      <c r="K3" s="49"/>
      <c r="L3" s="49"/>
      <c r="M3" s="49"/>
      <c r="N3" s="49"/>
      <c r="O3" s="49"/>
      <c r="P3" s="49"/>
      <c r="Q3" s="49"/>
      <c r="R3" s="50"/>
      <c r="S3" s="50"/>
      <c r="T3" s="50"/>
      <c r="U3" s="50"/>
      <c r="X3" s="46"/>
    </row>
    <row r="4" spans="1:27" ht="16.5" customHeight="1" x14ac:dyDescent="0.3">
      <c r="A4" s="51"/>
      <c r="B4" s="461" t="s">
        <v>37</v>
      </c>
      <c r="C4" s="52">
        <v>2008</v>
      </c>
      <c r="D4" s="52">
        <v>2009</v>
      </c>
      <c r="E4" s="52">
        <v>2010</v>
      </c>
      <c r="F4" s="53">
        <v>2011</v>
      </c>
      <c r="G4" s="54">
        <v>2012</v>
      </c>
      <c r="H4" s="54">
        <v>2013</v>
      </c>
      <c r="I4" s="54">
        <v>2014</v>
      </c>
      <c r="J4" s="54">
        <v>2015</v>
      </c>
      <c r="K4" s="54">
        <v>2016</v>
      </c>
      <c r="L4" s="54">
        <v>2017</v>
      </c>
      <c r="M4" s="54">
        <v>2018</v>
      </c>
      <c r="N4" s="54">
        <v>2019</v>
      </c>
      <c r="O4" s="54">
        <v>2020</v>
      </c>
      <c r="P4" s="54">
        <v>2021</v>
      </c>
      <c r="Q4" s="54">
        <v>2022</v>
      </c>
      <c r="R4" s="54">
        <v>2023</v>
      </c>
      <c r="S4" s="54">
        <v>2024</v>
      </c>
      <c r="T4" s="54">
        <v>2025</v>
      </c>
      <c r="U4" s="54">
        <v>2026</v>
      </c>
    </row>
    <row r="5" spans="1:27" x14ac:dyDescent="0.3">
      <c r="A5" s="55"/>
      <c r="B5" s="462"/>
      <c r="C5" s="56" t="s">
        <v>38</v>
      </c>
      <c r="D5" s="56" t="s">
        <v>38</v>
      </c>
      <c r="E5" s="56" t="s">
        <v>38</v>
      </c>
      <c r="F5" s="57" t="s">
        <v>38</v>
      </c>
      <c r="G5" s="57" t="s">
        <v>38</v>
      </c>
      <c r="H5" s="57" t="s">
        <v>38</v>
      </c>
      <c r="I5" s="57" t="s">
        <v>39</v>
      </c>
      <c r="J5" s="57" t="s">
        <v>39</v>
      </c>
      <c r="K5" s="57" t="s">
        <v>39</v>
      </c>
      <c r="L5" s="57" t="s">
        <v>38</v>
      </c>
      <c r="M5" s="57" t="s">
        <v>38</v>
      </c>
      <c r="N5" s="57" t="s">
        <v>38</v>
      </c>
      <c r="O5" s="57" t="s">
        <v>38</v>
      </c>
      <c r="P5" s="57" t="s">
        <v>38</v>
      </c>
      <c r="Q5" s="57" t="s">
        <v>38</v>
      </c>
      <c r="R5" s="57" t="s">
        <v>40</v>
      </c>
      <c r="S5" s="57" t="s">
        <v>2</v>
      </c>
      <c r="T5" s="57" t="s">
        <v>2</v>
      </c>
      <c r="U5" s="57" t="s">
        <v>2</v>
      </c>
    </row>
    <row r="6" spans="1:27" ht="16.5" customHeight="1" x14ac:dyDescent="0.3">
      <c r="A6" s="58" t="s">
        <v>8</v>
      </c>
      <c r="B6" s="59" t="s">
        <v>41</v>
      </c>
      <c r="C6" s="60">
        <f t="shared" ref="C6:L6" si="0">C8+C28+C33+C40</f>
        <v>22095.989999999998</v>
      </c>
      <c r="D6" s="60">
        <f t="shared" si="0"/>
        <v>21511.205999999998</v>
      </c>
      <c r="E6" s="60">
        <f t="shared" si="0"/>
        <v>22162.225999999999</v>
      </c>
      <c r="F6" s="60">
        <f t="shared" si="0"/>
        <v>24467.425000000003</v>
      </c>
      <c r="G6" s="60">
        <f t="shared" si="0"/>
        <v>24934.161</v>
      </c>
      <c r="H6" s="60">
        <f t="shared" si="0"/>
        <v>27253.294999999998</v>
      </c>
      <c r="I6" s="60">
        <f t="shared" si="0"/>
        <v>30571.504000000004</v>
      </c>
      <c r="J6" s="60" t="e">
        <f t="shared" si="0"/>
        <v>#REF!</v>
      </c>
      <c r="K6" s="60">
        <f t="shared" si="0"/>
        <v>32482.753000000001</v>
      </c>
      <c r="L6" s="60">
        <f t="shared" si="0"/>
        <v>34073.978999999999</v>
      </c>
      <c r="M6" s="60">
        <v>34744.345999999998</v>
      </c>
      <c r="N6" s="60">
        <v>37123.834000000003</v>
      </c>
      <c r="O6" s="60">
        <v>36804.660000000003</v>
      </c>
      <c r="P6" s="60">
        <v>40265.292000000001</v>
      </c>
      <c r="Q6" s="60">
        <v>44119.088000000003</v>
      </c>
      <c r="R6" s="60">
        <v>52520.261000000006</v>
      </c>
      <c r="S6" s="170">
        <v>50828.472000000002</v>
      </c>
      <c r="T6" s="60">
        <v>53468.843999999997</v>
      </c>
      <c r="U6" s="170">
        <v>55271.032000000007</v>
      </c>
    </row>
    <row r="7" spans="1:27" ht="16.5" customHeight="1" x14ac:dyDescent="0.3">
      <c r="A7" s="61" t="s">
        <v>1</v>
      </c>
      <c r="B7" s="62"/>
      <c r="C7" s="63">
        <f t="shared" ref="C7:L7" si="1">C6/C94</f>
        <v>0.32214343162862674</v>
      </c>
      <c r="D7" s="63">
        <f t="shared" si="1"/>
        <v>0.33561169853387096</v>
      </c>
      <c r="E7" s="63">
        <f t="shared" si="1"/>
        <v>0.32547013227387189</v>
      </c>
      <c r="F7" s="63">
        <f t="shared" si="1"/>
        <v>0.34357418536790896</v>
      </c>
      <c r="G7" s="63">
        <f t="shared" si="1"/>
        <v>0.33931497194035437</v>
      </c>
      <c r="H7" s="63">
        <f t="shared" si="1"/>
        <v>0.3665301837425658</v>
      </c>
      <c r="I7" s="63">
        <f t="shared" si="1"/>
        <v>0.4009069677219283</v>
      </c>
      <c r="J7" s="63" t="e">
        <f t="shared" si="1"/>
        <v>#REF!</v>
      </c>
      <c r="K7" s="63">
        <f t="shared" si="1"/>
        <v>0.40083172196719286</v>
      </c>
      <c r="L7" s="63">
        <f t="shared" si="1"/>
        <v>0.40351519337957087</v>
      </c>
      <c r="M7" s="63">
        <v>0.38658653331922921</v>
      </c>
      <c r="N7" s="63">
        <v>0.39310486494012137</v>
      </c>
      <c r="O7" s="63">
        <v>0.3938776897075561</v>
      </c>
      <c r="P7" s="63">
        <v>0.40135472609779493</v>
      </c>
      <c r="Q7" s="63">
        <v>0.40238053684145403</v>
      </c>
      <c r="R7" s="63">
        <v>0.43131095262726299</v>
      </c>
      <c r="S7" s="63">
        <v>0.38998873801735473</v>
      </c>
      <c r="T7" s="63">
        <v>0.38706424885681101</v>
      </c>
      <c r="U7" s="63">
        <v>0.38274568148950627</v>
      </c>
    </row>
    <row r="8" spans="1:27" s="67" customFormat="1" ht="16.5" customHeight="1" x14ac:dyDescent="0.3">
      <c r="A8" s="64" t="s">
        <v>42</v>
      </c>
      <c r="B8" s="65" t="s">
        <v>44</v>
      </c>
      <c r="C8" s="66">
        <f t="shared" ref="C8:J8" si="2">C9+C18+C27</f>
        <v>11723.415000000001</v>
      </c>
      <c r="D8" s="66">
        <f t="shared" si="2"/>
        <v>10404.861000000001</v>
      </c>
      <c r="E8" s="66">
        <f t="shared" si="2"/>
        <v>10778.236000000001</v>
      </c>
      <c r="F8" s="66">
        <f t="shared" si="2"/>
        <v>11946.500000000002</v>
      </c>
      <c r="G8" s="66">
        <f t="shared" si="2"/>
        <v>11933.864</v>
      </c>
      <c r="H8" s="66">
        <f t="shared" si="2"/>
        <v>12972.047</v>
      </c>
      <c r="I8" s="66">
        <f t="shared" si="2"/>
        <v>13858.657000000003</v>
      </c>
      <c r="J8" s="66" t="e">
        <f t="shared" si="2"/>
        <v>#REF!</v>
      </c>
      <c r="K8" s="66">
        <v>15121.564</v>
      </c>
      <c r="L8" s="66">
        <v>16152.277999999998</v>
      </c>
      <c r="M8" s="66">
        <v>17123.006000000001</v>
      </c>
      <c r="N8" s="66">
        <v>18205.313000000002</v>
      </c>
      <c r="O8" s="66">
        <v>17935.11</v>
      </c>
      <c r="P8" s="66">
        <v>19884.148000000001</v>
      </c>
      <c r="Q8" s="66">
        <v>21961.207999999999</v>
      </c>
      <c r="R8" s="66">
        <v>24141.218000000001</v>
      </c>
      <c r="S8" s="171">
        <v>24547.330999999998</v>
      </c>
      <c r="T8" s="66">
        <v>25559.871999999999</v>
      </c>
      <c r="U8" s="171">
        <v>26226.777000000002</v>
      </c>
    </row>
    <row r="9" spans="1:27" s="72" customFormat="1" ht="16.5" customHeight="1" x14ac:dyDescent="0.3">
      <c r="A9" s="68" t="s">
        <v>45</v>
      </c>
      <c r="B9" s="69" t="s">
        <v>46</v>
      </c>
      <c r="C9" s="70">
        <f>7078.889-7078.889+7186.13</f>
        <v>7186.13</v>
      </c>
      <c r="D9" s="70">
        <f>6630.007-6630.007+6734.898</f>
        <v>6734.8980000000001</v>
      </c>
      <c r="E9" s="70">
        <f>6779.116-6779.116+7037.871</f>
        <v>7037.8710000000001</v>
      </c>
      <c r="F9" s="70">
        <f>7377.566-7377.566+7967.341</f>
        <v>7967.3410000000003</v>
      </c>
      <c r="G9" s="70">
        <f>7163.223-7163.223+7788.108</f>
        <v>7788.1080000000002</v>
      </c>
      <c r="H9" s="70">
        <f>7632.281-7632.281+8348.508</f>
        <v>8348.5079999999998</v>
      </c>
      <c r="I9" s="70">
        <f>8045.254-8045.254+8745.379</f>
        <v>8745.3790000000008</v>
      </c>
      <c r="J9" s="71">
        <f>8505.784-8505.784+8506.184-8506.184+9229.613</f>
        <v>9229.6129999999994</v>
      </c>
      <c r="K9" s="70">
        <v>9282.6389999999992</v>
      </c>
      <c r="L9" s="70">
        <v>10030.49</v>
      </c>
      <c r="M9" s="70">
        <v>10593.769</v>
      </c>
      <c r="N9" s="70">
        <v>11382.779</v>
      </c>
      <c r="O9" s="70">
        <v>11252.812</v>
      </c>
      <c r="P9" s="70">
        <v>12056.538</v>
      </c>
      <c r="Q9" s="70">
        <v>13479.888000000001</v>
      </c>
      <c r="R9" s="70">
        <v>14704.770550000001</v>
      </c>
      <c r="S9" s="172">
        <v>15009.272999999999</v>
      </c>
      <c r="T9" s="70">
        <v>15502.222</v>
      </c>
      <c r="U9" s="172">
        <v>15742.254999999999</v>
      </c>
    </row>
    <row r="10" spans="1:27" s="72" customFormat="1" ht="16.5" customHeight="1" x14ac:dyDescent="0.3">
      <c r="A10" s="73" t="s">
        <v>47</v>
      </c>
      <c r="B10" s="74" t="s">
        <v>48</v>
      </c>
      <c r="C10" s="70">
        <v>4621.424</v>
      </c>
      <c r="D10" s="70">
        <v>4221.2879999999996</v>
      </c>
      <c r="E10" s="70">
        <v>4182.1009999999997</v>
      </c>
      <c r="F10" s="70">
        <v>4710.9139999999998</v>
      </c>
      <c r="G10" s="70">
        <v>4327.7020000000002</v>
      </c>
      <c r="H10" s="70">
        <v>4696.12</v>
      </c>
      <c r="I10" s="70">
        <v>5021.1310000000003</v>
      </c>
      <c r="J10" s="71">
        <f>5420.173-5420.173+5422.535</f>
        <v>5422.5349999999999</v>
      </c>
      <c r="K10" s="70">
        <v>5423.6319999999996</v>
      </c>
      <c r="L10" s="70">
        <v>5918.7439999999997</v>
      </c>
      <c r="M10" s="70">
        <v>6319.3010000000004</v>
      </c>
      <c r="N10" s="70">
        <v>6830.1549999999997</v>
      </c>
      <c r="O10" s="70">
        <v>6820.2169999999996</v>
      </c>
      <c r="P10" s="70">
        <v>7494.0690000000004</v>
      </c>
      <c r="Q10" s="70">
        <v>8440.8439999999991</v>
      </c>
      <c r="R10" s="70">
        <v>9486.875</v>
      </c>
      <c r="S10" s="172">
        <v>10116.248</v>
      </c>
      <c r="T10" s="70">
        <v>10489.352999999999</v>
      </c>
      <c r="U10" s="172">
        <v>10650.285</v>
      </c>
    </row>
    <row r="11" spans="1:27" s="72" customFormat="1" ht="16.5" customHeight="1" x14ac:dyDescent="0.3">
      <c r="A11" s="75" t="s">
        <v>49</v>
      </c>
      <c r="B11" s="74" t="s">
        <v>50</v>
      </c>
      <c r="C11" s="70">
        <f>0+1809.268</f>
        <v>1809.268</v>
      </c>
      <c r="D11" s="70">
        <f>0+1761.719</f>
        <v>1761.7190000000001</v>
      </c>
      <c r="E11" s="70">
        <f>0+1930.806</f>
        <v>1930.806</v>
      </c>
      <c r="F11" s="70">
        <f>0+1999.131</f>
        <v>1999.1310000000001</v>
      </c>
      <c r="G11" s="70">
        <f>0+1973.341</f>
        <v>1973.3409999999999</v>
      </c>
      <c r="H11" s="70">
        <f>0+1984.783</f>
        <v>1984.7829999999999</v>
      </c>
      <c r="I11" s="70">
        <f>0+2014.994</f>
        <v>2014.9939999999999</v>
      </c>
      <c r="J11" s="70">
        <f>0+2108.224-2108.224+2108.223</f>
        <v>2108.223</v>
      </c>
      <c r="K11" s="70">
        <v>2574.0030000000002</v>
      </c>
      <c r="L11" s="70">
        <v>2740.5160000000001</v>
      </c>
      <c r="M11" s="70">
        <v>2809.9589999999998</v>
      </c>
      <c r="N11" s="70">
        <v>2839.1779999999999</v>
      </c>
      <c r="O11" s="70">
        <v>2752.268</v>
      </c>
      <c r="P11" s="70">
        <v>2958.3440000000001</v>
      </c>
      <c r="Q11" s="70">
        <v>2797.3440000000001</v>
      </c>
      <c r="R11" s="70">
        <v>2998.8719999999998</v>
      </c>
      <c r="S11" s="172">
        <v>2929.2820000000002</v>
      </c>
      <c r="T11" s="70">
        <v>2980.2330000000002</v>
      </c>
      <c r="U11" s="172">
        <v>3006.1080000000002</v>
      </c>
    </row>
    <row r="12" spans="1:27" s="72" customFormat="1" ht="16.5" customHeight="1" x14ac:dyDescent="0.3">
      <c r="A12" s="75" t="s">
        <v>202</v>
      </c>
      <c r="B12" s="7" t="s">
        <v>173</v>
      </c>
      <c r="C12" s="70"/>
      <c r="D12" s="70"/>
      <c r="E12" s="70"/>
      <c r="F12" s="70"/>
      <c r="G12" s="70"/>
      <c r="H12" s="70"/>
      <c r="I12" s="70"/>
      <c r="J12" s="71"/>
      <c r="K12" s="70">
        <v>318.06200000000001</v>
      </c>
      <c r="L12" s="70">
        <v>329.625</v>
      </c>
      <c r="M12" s="70">
        <v>337.928</v>
      </c>
      <c r="N12" s="70">
        <v>342.89400000000001</v>
      </c>
      <c r="O12" s="70">
        <v>402.21100000000001</v>
      </c>
      <c r="P12" s="70">
        <v>428.351</v>
      </c>
      <c r="Q12" s="70">
        <v>431.79899999999998</v>
      </c>
      <c r="R12" s="70">
        <v>475.32599999999996</v>
      </c>
      <c r="S12" s="172">
        <v>498.96100000000001</v>
      </c>
      <c r="T12" s="70">
        <v>509.27699999999999</v>
      </c>
      <c r="U12" s="172">
        <v>518.60699999999997</v>
      </c>
    </row>
    <row r="13" spans="1:27" s="72" customFormat="1" ht="16.5" customHeight="1" x14ac:dyDescent="0.3">
      <c r="A13" s="75" t="s">
        <v>203</v>
      </c>
      <c r="B13" s="7" t="s">
        <v>204</v>
      </c>
      <c r="C13" s="70"/>
      <c r="D13" s="70"/>
      <c r="E13" s="70"/>
      <c r="F13" s="70"/>
      <c r="G13" s="70"/>
      <c r="H13" s="70"/>
      <c r="I13" s="70"/>
      <c r="J13" s="71"/>
      <c r="K13" s="70">
        <v>119.77200000000001</v>
      </c>
      <c r="L13" s="70">
        <v>127.28400000000001</v>
      </c>
      <c r="M13" s="70">
        <v>134.17699999999999</v>
      </c>
      <c r="N13" s="70">
        <v>143.41200000000001</v>
      </c>
      <c r="O13" s="70">
        <v>148.94999999999999</v>
      </c>
      <c r="P13" s="70">
        <v>0</v>
      </c>
      <c r="Q13" s="70">
        <v>0</v>
      </c>
      <c r="R13" s="70">
        <v>0</v>
      </c>
      <c r="S13" s="172">
        <v>0</v>
      </c>
      <c r="T13" s="70">
        <v>0</v>
      </c>
      <c r="U13" s="172">
        <v>0</v>
      </c>
      <c r="V13" s="77"/>
      <c r="W13" s="77"/>
      <c r="X13" s="77"/>
      <c r="Y13" s="77"/>
      <c r="Z13" s="77"/>
      <c r="AA13" s="77"/>
    </row>
    <row r="14" spans="1:27" s="72" customFormat="1" ht="16.5" customHeight="1" x14ac:dyDescent="0.3">
      <c r="A14" s="75" t="s">
        <v>205</v>
      </c>
      <c r="B14" s="7" t="s">
        <v>206</v>
      </c>
      <c r="C14" s="70"/>
      <c r="D14" s="70"/>
      <c r="E14" s="70"/>
      <c r="F14" s="70"/>
      <c r="G14" s="70"/>
      <c r="H14" s="70"/>
      <c r="I14" s="70"/>
      <c r="J14" s="71"/>
      <c r="K14" s="70">
        <v>204.79000000000002</v>
      </c>
      <c r="L14" s="70">
        <v>226.60599999999999</v>
      </c>
      <c r="M14" s="70">
        <v>245.36199999999999</v>
      </c>
      <c r="N14" s="70">
        <v>273.91800000000001</v>
      </c>
      <c r="O14" s="70">
        <v>231.196</v>
      </c>
      <c r="P14" s="70">
        <v>233.00399999999999</v>
      </c>
      <c r="Q14" s="70">
        <v>263.97399999999999</v>
      </c>
      <c r="R14" s="70">
        <v>310.52299999999997</v>
      </c>
      <c r="S14" s="172">
        <v>316.892</v>
      </c>
      <c r="T14" s="70">
        <v>350.70699999999999</v>
      </c>
      <c r="U14" s="172">
        <v>382.64299999999997</v>
      </c>
      <c r="V14" s="77"/>
      <c r="W14" s="77"/>
      <c r="X14" s="77"/>
      <c r="Y14" s="77"/>
      <c r="Z14" s="77"/>
      <c r="AA14" s="77"/>
    </row>
    <row r="15" spans="1:27" s="72" customFormat="1" ht="16.5" customHeight="1" x14ac:dyDescent="0.3">
      <c r="A15" s="75" t="s">
        <v>207</v>
      </c>
      <c r="B15" s="8" t="s">
        <v>208</v>
      </c>
      <c r="C15" s="70"/>
      <c r="D15" s="70"/>
      <c r="E15" s="70"/>
      <c r="F15" s="70"/>
      <c r="G15" s="70"/>
      <c r="H15" s="70"/>
      <c r="I15" s="70"/>
      <c r="J15" s="71"/>
      <c r="K15" s="70">
        <v>145.18299999999999</v>
      </c>
      <c r="L15" s="70">
        <v>149.899</v>
      </c>
      <c r="M15" s="70">
        <v>154.89099999999999</v>
      </c>
      <c r="N15" s="70">
        <v>153.655</v>
      </c>
      <c r="O15" s="70">
        <v>130.15899999999999</v>
      </c>
      <c r="P15" s="70">
        <v>129.53399999999999</v>
      </c>
      <c r="Q15" s="70">
        <v>133.684</v>
      </c>
      <c r="R15" s="70">
        <v>136.06800000000001</v>
      </c>
      <c r="S15" s="172">
        <v>133.59200000000001</v>
      </c>
      <c r="T15" s="70">
        <v>138.11099999999999</v>
      </c>
      <c r="U15" s="172">
        <v>141.047</v>
      </c>
      <c r="V15" s="78"/>
      <c r="W15" s="77"/>
      <c r="X15" s="77"/>
      <c r="Y15" s="77"/>
      <c r="Z15" s="77"/>
      <c r="AA15" s="77"/>
    </row>
    <row r="16" spans="1:27" s="72" customFormat="1" ht="16.5" customHeight="1" x14ac:dyDescent="0.3">
      <c r="A16" s="75" t="s">
        <v>209</v>
      </c>
      <c r="B16" s="7" t="s">
        <v>210</v>
      </c>
      <c r="C16" s="70"/>
      <c r="D16" s="70"/>
      <c r="E16" s="70"/>
      <c r="F16" s="70"/>
      <c r="G16" s="70"/>
      <c r="H16" s="70"/>
      <c r="I16" s="70"/>
      <c r="J16" s="71"/>
      <c r="K16" s="70">
        <v>64.724999999999994</v>
      </c>
      <c r="L16" s="70">
        <v>57.423999999999999</v>
      </c>
      <c r="M16" s="70">
        <v>86.977000000000004</v>
      </c>
      <c r="N16" s="70">
        <v>229.69300000000001</v>
      </c>
      <c r="O16" s="70">
        <v>244.184</v>
      </c>
      <c r="P16" s="70">
        <v>241.82599999999999</v>
      </c>
      <c r="Q16" s="70">
        <v>275.88900000000001</v>
      </c>
      <c r="R16" s="70">
        <v>342.52099999999996</v>
      </c>
      <c r="S16" s="172">
        <v>393.75</v>
      </c>
      <c r="T16" s="70">
        <v>398.63099999999997</v>
      </c>
      <c r="U16" s="172">
        <v>393.64</v>
      </c>
      <c r="V16" s="77"/>
      <c r="W16" s="77"/>
      <c r="X16" s="77"/>
      <c r="Y16" s="77"/>
      <c r="Z16" s="77"/>
      <c r="AA16" s="77"/>
    </row>
    <row r="17" spans="1:27" s="72" customFormat="1" ht="16.5" customHeight="1" x14ac:dyDescent="0.3">
      <c r="A17" s="75" t="s">
        <v>170</v>
      </c>
      <c r="B17" s="7" t="s">
        <v>211</v>
      </c>
      <c r="C17" s="70"/>
      <c r="D17" s="70"/>
      <c r="E17" s="70"/>
      <c r="F17" s="70"/>
      <c r="G17" s="70"/>
      <c r="H17" s="70"/>
      <c r="I17" s="70"/>
      <c r="J17" s="71"/>
      <c r="K17" s="70">
        <v>432.47199999999941</v>
      </c>
      <c r="L17" s="70">
        <v>480.39200000000005</v>
      </c>
      <c r="M17" s="70">
        <v>505.17400000000021</v>
      </c>
      <c r="N17" s="70">
        <v>569.87400000000082</v>
      </c>
      <c r="O17" s="70">
        <v>523.62700000000018</v>
      </c>
      <c r="P17" s="70">
        <v>571.40999999999985</v>
      </c>
      <c r="Q17" s="70">
        <v>1136.3540000000016</v>
      </c>
      <c r="R17" s="70">
        <v>954.58555000000138</v>
      </c>
      <c r="S17" s="172">
        <v>620.548</v>
      </c>
      <c r="T17" s="70">
        <v>635.91</v>
      </c>
      <c r="U17" s="172">
        <v>649.92499999999995</v>
      </c>
      <c r="V17" s="77"/>
      <c r="W17" s="77"/>
      <c r="X17" s="77"/>
      <c r="Y17" s="77"/>
      <c r="Z17" s="77"/>
      <c r="AA17" s="77"/>
    </row>
    <row r="18" spans="1:27" ht="16.5" customHeight="1" x14ac:dyDescent="0.3">
      <c r="A18" s="79" t="s">
        <v>10</v>
      </c>
      <c r="B18" s="69" t="s">
        <v>52</v>
      </c>
      <c r="C18" s="70">
        <f>4601.153-4601.153+4537.185</f>
        <v>4537.1850000000004</v>
      </c>
      <c r="D18" s="80">
        <f>3738.676-3738.676+3669.918</f>
        <v>3669.9180000000001</v>
      </c>
      <c r="E18" s="80">
        <f>3812.051-3812.051+3740.345</f>
        <v>3740.3449999999998</v>
      </c>
      <c r="F18" s="80">
        <f>4053.429-4053.429+3979.146</f>
        <v>3979.1460000000002</v>
      </c>
      <c r="G18" s="80">
        <f>4227.83-4227.83+4145.744</f>
        <v>4145.7439999999997</v>
      </c>
      <c r="H18" s="70">
        <f>4714.516-4714.516+4623.532</f>
        <v>4623.5320000000002</v>
      </c>
      <c r="I18" s="70">
        <f>5206.715-5206.715+5113.274</f>
        <v>5113.2740000000003</v>
      </c>
      <c r="J18" s="71" t="e">
        <f>MMF_TABULKA!#REF!</f>
        <v>#REF!</v>
      </c>
      <c r="K18" s="70">
        <v>5838.9210000000003</v>
      </c>
      <c r="L18" s="70">
        <v>6121.7879999999996</v>
      </c>
      <c r="M18" s="70">
        <v>6529.2370000000001</v>
      </c>
      <c r="N18" s="70">
        <v>6822.5339999999997</v>
      </c>
      <c r="O18" s="70">
        <v>6682.2979999999998</v>
      </c>
      <c r="P18" s="70">
        <v>7827.61</v>
      </c>
      <c r="Q18" s="70">
        <v>8481.32</v>
      </c>
      <c r="R18" s="70">
        <v>9436.4474499999997</v>
      </c>
      <c r="S18" s="172">
        <v>9538.0580000000009</v>
      </c>
      <c r="T18" s="70">
        <v>10057.65</v>
      </c>
      <c r="U18" s="172">
        <v>10484.522000000001</v>
      </c>
      <c r="V18" s="77"/>
      <c r="W18" s="77"/>
      <c r="X18" s="77"/>
      <c r="Y18" s="77"/>
      <c r="Z18" s="77"/>
      <c r="AA18" s="77"/>
    </row>
    <row r="19" spans="1:27" ht="16.5" customHeight="1" x14ac:dyDescent="0.3">
      <c r="A19" s="73" t="s">
        <v>53</v>
      </c>
      <c r="B19" s="74" t="s">
        <v>54</v>
      </c>
      <c r="C19" s="70">
        <v>2095.1779999999999</v>
      </c>
      <c r="D19" s="80">
        <v>1793.693</v>
      </c>
      <c r="E19" s="80">
        <v>1789.5650000000001</v>
      </c>
      <c r="F19" s="80">
        <v>1999.8820000000001</v>
      </c>
      <c r="G19" s="80">
        <v>2122.7759999999998</v>
      </c>
      <c r="H19" s="70">
        <v>2175.0250000000001</v>
      </c>
      <c r="I19" s="71">
        <v>2275.1170000000002</v>
      </c>
      <c r="J19" s="71">
        <f>2464.414-2464.414+2463.642</f>
        <v>2463.6419999999998</v>
      </c>
      <c r="K19" s="70">
        <v>2679.4659999999999</v>
      </c>
      <c r="L19" s="70">
        <v>2855.23</v>
      </c>
      <c r="M19" s="70">
        <v>3217.9969999999998</v>
      </c>
      <c r="N19" s="70">
        <v>3533.7350000000001</v>
      </c>
      <c r="O19" s="70">
        <v>3499.962</v>
      </c>
      <c r="P19" s="70">
        <v>3759.7069999999999</v>
      </c>
      <c r="Q19" s="70">
        <v>4105.5630000000001</v>
      </c>
      <c r="R19" s="70">
        <v>4602.0039999999999</v>
      </c>
      <c r="S19" s="172">
        <v>4813.8330000000005</v>
      </c>
      <c r="T19" s="70">
        <v>5150.8770000000004</v>
      </c>
      <c r="U19" s="172">
        <v>5440.8830000000007</v>
      </c>
    </row>
    <row r="20" spans="1:27" ht="16.5" customHeight="1" x14ac:dyDescent="0.3">
      <c r="A20" s="81" t="s">
        <v>55</v>
      </c>
      <c r="B20" s="82" t="s">
        <v>56</v>
      </c>
      <c r="C20" s="71">
        <f>0+1639.776</f>
        <v>1639.7760000000001</v>
      </c>
      <c r="D20" s="83">
        <v>1468.115</v>
      </c>
      <c r="E20" s="83">
        <v>1431.1880000000001</v>
      </c>
      <c r="F20" s="83">
        <v>1638.58</v>
      </c>
      <c r="G20" s="83">
        <v>1763.433</v>
      </c>
      <c r="H20" s="71">
        <v>1788.0440000000001</v>
      </c>
      <c r="I20" s="71">
        <v>1903.7840000000001</v>
      </c>
      <c r="J20" s="71">
        <f>2082.0493+0.007</f>
        <v>2082.0563000000002</v>
      </c>
      <c r="K20" s="70">
        <v>2542.3919999999998</v>
      </c>
      <c r="L20" s="70">
        <v>2746.78</v>
      </c>
      <c r="M20" s="70">
        <v>3094.2820000000002</v>
      </c>
      <c r="N20" s="70">
        <v>3410.1120000000001</v>
      </c>
      <c r="O20" s="70">
        <v>3400.0830000000001</v>
      </c>
      <c r="P20" s="70">
        <v>3630.348</v>
      </c>
      <c r="Q20" s="70">
        <v>3967.712</v>
      </c>
      <c r="R20" s="70">
        <v>4444.7090923599371</v>
      </c>
      <c r="S20" s="172">
        <v>4635.7240000000002</v>
      </c>
      <c r="T20" s="70">
        <v>4963.4480000000003</v>
      </c>
      <c r="U20" s="172">
        <v>5241.6270000000004</v>
      </c>
    </row>
    <row r="21" spans="1:27" ht="16.5" customHeight="1" x14ac:dyDescent="0.3">
      <c r="A21" s="81" t="s">
        <v>57</v>
      </c>
      <c r="B21" s="84" t="s">
        <v>58</v>
      </c>
      <c r="C21" s="71">
        <v>202.36500000000001</v>
      </c>
      <c r="D21" s="83">
        <v>188.64599999999999</v>
      </c>
      <c r="E21" s="83">
        <v>47.405999999999999</v>
      </c>
      <c r="F21" s="83">
        <v>59.451999999999998</v>
      </c>
      <c r="G21" s="83">
        <v>85.807000000000002</v>
      </c>
      <c r="H21" s="71">
        <v>79.712000000000003</v>
      </c>
      <c r="I21" s="71">
        <v>82.671000000000006</v>
      </c>
      <c r="J21" s="71">
        <v>100.68899999999999</v>
      </c>
      <c r="K21" s="70">
        <v>137.07499999999999</v>
      </c>
      <c r="L21" s="70">
        <v>108.449</v>
      </c>
      <c r="M21" s="70">
        <v>123.715</v>
      </c>
      <c r="N21" s="70">
        <v>123.622</v>
      </c>
      <c r="O21" s="70">
        <v>99.878</v>
      </c>
      <c r="P21" s="70">
        <v>129.358</v>
      </c>
      <c r="Q21" s="70">
        <v>137.85300000000001</v>
      </c>
      <c r="R21" s="70">
        <v>157.29490764006258</v>
      </c>
      <c r="S21" s="172">
        <v>178.10900000000001</v>
      </c>
      <c r="T21" s="70">
        <v>187.429</v>
      </c>
      <c r="U21" s="172">
        <v>199.256</v>
      </c>
    </row>
    <row r="22" spans="1:27" ht="16.5" customHeight="1" x14ac:dyDescent="0.3">
      <c r="A22" s="85" t="s">
        <v>59</v>
      </c>
      <c r="B22" s="74" t="s">
        <v>60</v>
      </c>
      <c r="C22" s="71">
        <v>2087.4659999999999</v>
      </c>
      <c r="D22" s="83">
        <v>1576.972</v>
      </c>
      <c r="E22" s="83">
        <v>1659.23</v>
      </c>
      <c r="F22" s="83">
        <v>1699.1869999999999</v>
      </c>
      <c r="G22" s="83">
        <v>1714.779</v>
      </c>
      <c r="H22" s="71">
        <v>2117.8330000000001</v>
      </c>
      <c r="I22" s="71">
        <v>2504.402</v>
      </c>
      <c r="J22" s="71">
        <f>2945.325-2945.325+2916.816</f>
        <v>2916.8159999999998</v>
      </c>
      <c r="K22" s="70">
        <v>2817.558</v>
      </c>
      <c r="L22" s="70">
        <v>2925.4609999999998</v>
      </c>
      <c r="M22" s="70">
        <v>2942.902</v>
      </c>
      <c r="N22" s="70">
        <v>2878.3319999999999</v>
      </c>
      <c r="O22" s="70">
        <v>2799.748</v>
      </c>
      <c r="P22" s="70">
        <v>3632.636</v>
      </c>
      <c r="Q22" s="70">
        <v>3909.2220000000002</v>
      </c>
      <c r="R22" s="70">
        <v>4243.902</v>
      </c>
      <c r="S22" s="172">
        <v>4185.2129999999997</v>
      </c>
      <c r="T22" s="70">
        <v>4369.741</v>
      </c>
      <c r="U22" s="172">
        <v>4508.2129999999997</v>
      </c>
    </row>
    <row r="23" spans="1:27" ht="16.5" customHeight="1" x14ac:dyDescent="0.3">
      <c r="A23" s="9" t="s">
        <v>212</v>
      </c>
      <c r="B23" s="7" t="s">
        <v>213</v>
      </c>
      <c r="C23" s="71"/>
      <c r="D23" s="83"/>
      <c r="E23" s="83"/>
      <c r="F23" s="83"/>
      <c r="G23" s="83"/>
      <c r="H23" s="71"/>
      <c r="I23" s="71"/>
      <c r="J23" s="71"/>
      <c r="K23" s="70">
        <v>111.489</v>
      </c>
      <c r="L23" s="70">
        <v>155.31299999999999</v>
      </c>
      <c r="M23" s="70">
        <v>155.197</v>
      </c>
      <c r="N23" s="70">
        <v>126.65</v>
      </c>
      <c r="O23" s="70">
        <v>126.18899999999999</v>
      </c>
      <c r="P23" s="70">
        <v>101.68300000000001</v>
      </c>
      <c r="Q23" s="70">
        <v>85.415999999999997</v>
      </c>
      <c r="R23" s="70">
        <v>111.36000000000001</v>
      </c>
      <c r="S23" s="172">
        <v>88.460999999999999</v>
      </c>
      <c r="T23" s="70">
        <v>89.108999999999995</v>
      </c>
      <c r="U23" s="172">
        <v>90.82</v>
      </c>
    </row>
    <row r="24" spans="1:27" ht="16.5" customHeight="1" x14ac:dyDescent="0.3">
      <c r="A24" s="86" t="s">
        <v>61</v>
      </c>
      <c r="B24" s="74" t="s">
        <v>62</v>
      </c>
      <c r="C24" s="71">
        <v>205.96799999999999</v>
      </c>
      <c r="D24" s="83">
        <v>155.755</v>
      </c>
      <c r="E24" s="83">
        <v>152.33199999999999</v>
      </c>
      <c r="F24" s="83">
        <v>143.19999999999999</v>
      </c>
      <c r="G24" s="83">
        <v>167.14400000000001</v>
      </c>
      <c r="H24" s="71">
        <v>177.78399999999999</v>
      </c>
      <c r="I24" s="71">
        <v>175.06100000000001</v>
      </c>
      <c r="J24" s="71">
        <f>162.006-162.006+162.005</f>
        <v>162.005</v>
      </c>
      <c r="K24" s="70">
        <v>179.21199999999999</v>
      </c>
      <c r="L24" s="70">
        <v>178.43100000000001</v>
      </c>
      <c r="M24" s="70">
        <v>209.16900000000001</v>
      </c>
      <c r="N24" s="70">
        <v>245.61500000000001</v>
      </c>
      <c r="O24" s="70">
        <v>235.08</v>
      </c>
      <c r="P24" s="70">
        <v>289.75400000000002</v>
      </c>
      <c r="Q24" s="70">
        <v>314.76400000000001</v>
      </c>
      <c r="R24" s="70">
        <v>405.15899999999999</v>
      </c>
      <c r="S24" s="172">
        <v>376.93700000000001</v>
      </c>
      <c r="T24" s="70">
        <v>372.95299999999997</v>
      </c>
      <c r="U24" s="172">
        <v>368.58100000000002</v>
      </c>
    </row>
    <row r="25" spans="1:27" ht="16.5" customHeight="1" x14ac:dyDescent="0.3">
      <c r="A25" s="85" t="s">
        <v>51</v>
      </c>
      <c r="B25" s="74" t="s">
        <v>63</v>
      </c>
      <c r="C25" s="71">
        <v>78.835999999999999</v>
      </c>
      <c r="D25" s="71">
        <v>84.311999999999998</v>
      </c>
      <c r="E25" s="71">
        <v>87.986999999999995</v>
      </c>
      <c r="F25" s="71">
        <v>90.650999999999996</v>
      </c>
      <c r="G25" s="71">
        <v>100.535</v>
      </c>
      <c r="H25" s="71">
        <v>104.57899999999999</v>
      </c>
      <c r="I25" s="71">
        <v>105.777</v>
      </c>
      <c r="J25" s="71">
        <f>106.937-106.937+106.936</f>
        <v>106.93600000000001</v>
      </c>
      <c r="K25" s="70">
        <v>29.838999999999999</v>
      </c>
      <c r="L25" s="70">
        <v>31.082000000000001</v>
      </c>
      <c r="M25" s="70">
        <v>31.239000000000001</v>
      </c>
      <c r="N25" s="70">
        <v>34.668999999999997</v>
      </c>
      <c r="O25" s="70">
        <v>35.595999999999997</v>
      </c>
      <c r="P25" s="70">
        <v>37.39</v>
      </c>
      <c r="Q25" s="70">
        <v>36.978000000000002</v>
      </c>
      <c r="R25" s="70">
        <v>52.774999999999999</v>
      </c>
      <c r="S25" s="172">
        <v>56.08</v>
      </c>
      <c r="T25" s="70">
        <v>56.039000000000001</v>
      </c>
      <c r="U25" s="172">
        <v>57.186999999999998</v>
      </c>
    </row>
    <row r="26" spans="1:27" ht="16.5" customHeight="1" x14ac:dyDescent="0.3">
      <c r="A26" s="6" t="s">
        <v>170</v>
      </c>
      <c r="B26" s="7" t="s">
        <v>214</v>
      </c>
      <c r="C26" s="71"/>
      <c r="D26" s="71"/>
      <c r="E26" s="71"/>
      <c r="F26" s="71"/>
      <c r="G26" s="71"/>
      <c r="H26" s="71"/>
      <c r="I26" s="71"/>
      <c r="J26" s="71"/>
      <c r="K26" s="70">
        <v>132.8460000000004</v>
      </c>
      <c r="L26" s="70">
        <v>131.58399999999975</v>
      </c>
      <c r="M26" s="70">
        <v>127.93000000000018</v>
      </c>
      <c r="N26" s="70">
        <v>130.18299999999965</v>
      </c>
      <c r="O26" s="70">
        <v>111.91199999999972</v>
      </c>
      <c r="P26" s="70">
        <v>108.12299999999981</v>
      </c>
      <c r="Q26" s="70">
        <v>114.79299999999938</v>
      </c>
      <c r="R26" s="70">
        <v>132.60744999999972</v>
      </c>
      <c r="S26" s="172">
        <v>105.99500000000062</v>
      </c>
      <c r="T26" s="70">
        <v>108.03999999999927</v>
      </c>
      <c r="U26" s="172">
        <v>109.65800000000037</v>
      </c>
    </row>
    <row r="27" spans="1:27" ht="16.5" customHeight="1" x14ac:dyDescent="0.3">
      <c r="A27" s="87" t="s">
        <v>64</v>
      </c>
      <c r="B27" s="69" t="s">
        <v>65</v>
      </c>
      <c r="C27" s="70">
        <v>0.1</v>
      </c>
      <c r="D27" s="71">
        <v>4.4999999999999998E-2</v>
      </c>
      <c r="E27" s="71">
        <v>0.02</v>
      </c>
      <c r="F27" s="71">
        <v>1.2999999999999999E-2</v>
      </c>
      <c r="G27" s="71">
        <v>1.2E-2</v>
      </c>
      <c r="H27" s="71">
        <v>7.0000000000000001E-3</v>
      </c>
      <c r="I27" s="71">
        <v>4.0000000000000001E-3</v>
      </c>
      <c r="J27" s="71">
        <v>-6.0000000000000001E-3</v>
      </c>
      <c r="K27" s="70">
        <v>4.0000000000000001E-3</v>
      </c>
      <c r="L27" s="70">
        <v>0</v>
      </c>
      <c r="M27" s="70">
        <v>0</v>
      </c>
      <c r="N27" s="70">
        <v>0</v>
      </c>
      <c r="O27" s="70">
        <v>0</v>
      </c>
      <c r="P27" s="70">
        <v>0</v>
      </c>
      <c r="Q27" s="70">
        <v>0</v>
      </c>
      <c r="R27" s="70"/>
      <c r="S27" s="172"/>
      <c r="T27" s="70"/>
      <c r="U27" s="172"/>
    </row>
    <row r="28" spans="1:27" s="67" customFormat="1" ht="16.5" customHeight="1" x14ac:dyDescent="0.3">
      <c r="A28" s="88" t="s">
        <v>12</v>
      </c>
      <c r="B28" s="89" t="s">
        <v>66</v>
      </c>
      <c r="C28" s="66">
        <f>C29+C32</f>
        <v>6533.3729999999996</v>
      </c>
      <c r="D28" s="66">
        <f>D29+D32</f>
        <v>6314.1920000000009</v>
      </c>
      <c r="E28" s="66">
        <f t="shared" ref="E28:H28" si="3">E29+E32</f>
        <v>6826.1920000000009</v>
      </c>
      <c r="F28" s="66">
        <f t="shared" si="3"/>
        <v>6849.5550000000003</v>
      </c>
      <c r="G28" s="66">
        <f t="shared" si="3"/>
        <v>7147.9620000000004</v>
      </c>
      <c r="H28" s="66">
        <f t="shared" si="3"/>
        <v>7952.670000000001</v>
      </c>
      <c r="I28" s="66">
        <v>10393.99</v>
      </c>
      <c r="J28" s="66">
        <v>11078.508</v>
      </c>
      <c r="K28" s="66">
        <v>11656.683000000001</v>
      </c>
      <c r="L28" s="66">
        <v>12499.814</v>
      </c>
      <c r="M28" s="66">
        <v>13349.107</v>
      </c>
      <c r="N28" s="66">
        <v>14318.293</v>
      </c>
      <c r="O28" s="66">
        <v>14499.186</v>
      </c>
      <c r="P28" s="66">
        <v>15635.062</v>
      </c>
      <c r="Q28" s="66">
        <v>16338.545</v>
      </c>
      <c r="R28" s="66">
        <v>18692.115999999998</v>
      </c>
      <c r="S28" s="171">
        <v>19899.729000000003</v>
      </c>
      <c r="T28" s="66">
        <v>21111.306</v>
      </c>
      <c r="U28" s="171">
        <v>22392.651999999998</v>
      </c>
    </row>
    <row r="29" spans="1:27" ht="15.75" customHeight="1" x14ac:dyDescent="0.3">
      <c r="A29" s="68" t="s">
        <v>67</v>
      </c>
      <c r="B29" s="74" t="s">
        <v>68</v>
      </c>
      <c r="C29" s="70">
        <f>C30+C31</f>
        <v>6447.183</v>
      </c>
      <c r="D29" s="70">
        <f>D30+D31</f>
        <v>6218.4010000000007</v>
      </c>
      <c r="E29" s="70">
        <f t="shared" ref="E29:J29" si="4">E30+E31</f>
        <v>6687.4040000000005</v>
      </c>
      <c r="F29" s="70">
        <f t="shared" si="4"/>
        <v>6701.22</v>
      </c>
      <c r="G29" s="70">
        <f t="shared" si="4"/>
        <v>7027.8640000000005</v>
      </c>
      <c r="H29" s="70">
        <f t="shared" si="4"/>
        <v>7810.3780000000006</v>
      </c>
      <c r="I29" s="70">
        <f t="shared" si="4"/>
        <v>8123.9470000000001</v>
      </c>
      <c r="J29" s="70">
        <f t="shared" si="4"/>
        <v>8760.4000000000015</v>
      </c>
      <c r="K29" s="70">
        <v>11475.968000000001</v>
      </c>
      <c r="L29" s="70">
        <v>12310.387999999999</v>
      </c>
      <c r="M29" s="70">
        <v>13158.088</v>
      </c>
      <c r="N29" s="70">
        <v>14096.022000000001</v>
      </c>
      <c r="O29" s="70">
        <v>14241.438</v>
      </c>
      <c r="P29" s="70">
        <v>15290.791999999999</v>
      </c>
      <c r="Q29" s="70">
        <v>15995.159</v>
      </c>
      <c r="R29" s="70">
        <v>18433.292999999998</v>
      </c>
      <c r="S29" s="172">
        <v>19585.084000000003</v>
      </c>
      <c r="T29" s="70">
        <v>20788.989000000001</v>
      </c>
      <c r="U29" s="172">
        <v>22062.069</v>
      </c>
    </row>
    <row r="30" spans="1:27" ht="16.5" customHeight="1" x14ac:dyDescent="0.3">
      <c r="A30" s="86" t="s">
        <v>69</v>
      </c>
      <c r="B30" s="74" t="s">
        <v>70</v>
      </c>
      <c r="C30" s="70">
        <f>1817.308+2647.291</f>
        <v>4464.5990000000002</v>
      </c>
      <c r="D30" s="70">
        <f>1747.634+2558.815</f>
        <v>4306.4490000000005</v>
      </c>
      <c r="E30" s="70">
        <f>1783.901+2795.29</f>
        <v>4579.1909999999998</v>
      </c>
      <c r="F30" s="70">
        <f>1907.943+2742.951</f>
        <v>4650.8940000000002</v>
      </c>
      <c r="G30" s="70">
        <f>2067.599+2801.073</f>
        <v>4868.6720000000005</v>
      </c>
      <c r="H30" s="70">
        <f>2530.574+3024.958</f>
        <v>5555.5320000000002</v>
      </c>
      <c r="I30" s="70">
        <f>2650.909+3180.657</f>
        <v>5831.5660000000007</v>
      </c>
      <c r="J30" s="70">
        <f>2923.897+3358.847</f>
        <v>6282.7440000000006</v>
      </c>
      <c r="K30" s="70">
        <v>6506.6890000000003</v>
      </c>
      <c r="L30" s="70">
        <v>7173.4159999999993</v>
      </c>
      <c r="M30" s="70">
        <v>7781.5599999999995</v>
      </c>
      <c r="N30" s="70">
        <v>8538.8189999999995</v>
      </c>
      <c r="O30" s="70">
        <v>8649.5550000000003</v>
      </c>
      <c r="P30" s="70">
        <v>9142.6029999999992</v>
      </c>
      <c r="Q30" s="70">
        <v>9464.99</v>
      </c>
      <c r="R30" s="70">
        <v>10170.934551</v>
      </c>
      <c r="S30" s="172">
        <v>10674.656000000001</v>
      </c>
      <c r="T30" s="70">
        <v>11258.079</v>
      </c>
      <c r="U30" s="172">
        <v>11769.184999999999</v>
      </c>
    </row>
    <row r="31" spans="1:27" ht="16.5" customHeight="1" x14ac:dyDescent="0.3">
      <c r="A31" s="86" t="s">
        <v>215</v>
      </c>
      <c r="B31" s="74" t="s">
        <v>71</v>
      </c>
      <c r="C31" s="70">
        <v>1982.5840000000001</v>
      </c>
      <c r="D31" s="70">
        <v>1911.952</v>
      </c>
      <c r="E31" s="70">
        <v>2108.2130000000002</v>
      </c>
      <c r="F31" s="70">
        <v>2050.326</v>
      </c>
      <c r="G31" s="70">
        <v>2159.192</v>
      </c>
      <c r="H31" s="70">
        <f>2254.846</f>
        <v>2254.846</v>
      </c>
      <c r="I31" s="70">
        <v>2292.3809999999999</v>
      </c>
      <c r="J31" s="70">
        <v>2477.6559999999999</v>
      </c>
      <c r="K31" s="70">
        <v>4969.2790000000005</v>
      </c>
      <c r="L31" s="70">
        <v>5136.9719999999998</v>
      </c>
      <c r="M31" s="70">
        <v>5376.5280000000002</v>
      </c>
      <c r="N31" s="70">
        <v>5557.2030000000004</v>
      </c>
      <c r="O31" s="70">
        <v>5591.8829999999998</v>
      </c>
      <c r="P31" s="70">
        <v>6148.1890000000003</v>
      </c>
      <c r="Q31" s="70">
        <v>6530.1689999999999</v>
      </c>
      <c r="R31" s="70">
        <v>8262.3584489999994</v>
      </c>
      <c r="S31" s="172">
        <v>8910.4279999999999</v>
      </c>
      <c r="T31" s="70">
        <v>9530.91</v>
      </c>
      <c r="U31" s="172">
        <v>10292.884</v>
      </c>
    </row>
    <row r="32" spans="1:27" ht="16.5" customHeight="1" x14ac:dyDescent="0.3">
      <c r="A32" s="68" t="s">
        <v>72</v>
      </c>
      <c r="B32" s="74" t="s">
        <v>73</v>
      </c>
      <c r="C32" s="70">
        <v>86.19</v>
      </c>
      <c r="D32" s="70">
        <v>95.790999999999997</v>
      </c>
      <c r="E32" s="70">
        <v>138.78800000000001</v>
      </c>
      <c r="F32" s="70">
        <v>148.33500000000001</v>
      </c>
      <c r="G32" s="70">
        <v>120.098</v>
      </c>
      <c r="H32" s="70">
        <v>142.292</v>
      </c>
      <c r="I32" s="70">
        <v>153.363</v>
      </c>
      <c r="J32" s="70">
        <v>170.85599999999999</v>
      </c>
      <c r="K32" s="70">
        <v>180.715</v>
      </c>
      <c r="L32" s="70">
        <v>189.42599999999999</v>
      </c>
      <c r="M32" s="70">
        <v>191.01900000000001</v>
      </c>
      <c r="N32" s="70">
        <v>222.27099999999999</v>
      </c>
      <c r="O32" s="70">
        <v>257.74799999999999</v>
      </c>
      <c r="P32" s="70">
        <v>344.27</v>
      </c>
      <c r="Q32" s="70">
        <v>343.38600000000002</v>
      </c>
      <c r="R32" s="70">
        <v>258.82299999999998</v>
      </c>
      <c r="S32" s="172">
        <v>314.64499999999998</v>
      </c>
      <c r="T32" s="70">
        <v>322.31700000000001</v>
      </c>
      <c r="U32" s="172">
        <v>330.58300000000003</v>
      </c>
    </row>
    <row r="33" spans="1:26" s="92" customFormat="1" ht="16.5" customHeight="1" x14ac:dyDescent="0.3">
      <c r="A33" s="90" t="s">
        <v>74</v>
      </c>
      <c r="B33" s="91" t="s">
        <v>43</v>
      </c>
      <c r="C33" s="66">
        <f t="shared" ref="C33:I33" si="5">C34+C37</f>
        <v>2631.6390000000001</v>
      </c>
      <c r="D33" s="66">
        <f t="shared" si="5"/>
        <v>2981.5860000000002</v>
      </c>
      <c r="E33" s="66">
        <f t="shared" si="5"/>
        <v>2975.0010000000002</v>
      </c>
      <c r="F33" s="66">
        <f t="shared" si="5"/>
        <v>3355.7359999999999</v>
      </c>
      <c r="G33" s="66">
        <f t="shared" si="5"/>
        <v>3948.54</v>
      </c>
      <c r="H33" s="66">
        <f t="shared" si="5"/>
        <v>4074.1350000000002</v>
      </c>
      <c r="I33" s="66">
        <f t="shared" si="5"/>
        <v>4068.9649999999997</v>
      </c>
      <c r="J33" s="66">
        <f>J34+J37</f>
        <v>4317.7029999999995</v>
      </c>
      <c r="K33" s="66">
        <v>4342.0789999999997</v>
      </c>
      <c r="L33" s="66">
        <v>4472.0550000000003</v>
      </c>
      <c r="M33" s="66">
        <v>3085.616</v>
      </c>
      <c r="N33" s="66">
        <v>3060.5479999999998</v>
      </c>
      <c r="O33" s="66">
        <v>2832.6610000000001</v>
      </c>
      <c r="P33" s="66">
        <v>3209.9209999999998</v>
      </c>
      <c r="Q33" s="66">
        <v>3521.982</v>
      </c>
      <c r="R33" s="66">
        <v>3716.4999999999995</v>
      </c>
      <c r="S33" s="171">
        <v>3866.8850000000002</v>
      </c>
      <c r="T33" s="66">
        <v>3871.7460000000001</v>
      </c>
      <c r="U33" s="171">
        <v>3961.1669999999999</v>
      </c>
      <c r="V33" s="93"/>
      <c r="Y33" s="46"/>
    </row>
    <row r="34" spans="1:26" ht="16.5" customHeight="1" x14ac:dyDescent="0.3">
      <c r="A34" s="87" t="s">
        <v>75</v>
      </c>
      <c r="B34" s="94" t="s">
        <v>43</v>
      </c>
      <c r="C34" s="71">
        <f>C35+C36</f>
        <v>1776.527</v>
      </c>
      <c r="D34" s="71">
        <f t="shared" ref="D34:I34" si="6">D35+D36</f>
        <v>2119.7260000000001</v>
      </c>
      <c r="E34" s="71">
        <f t="shared" si="6"/>
        <v>2329.6390000000001</v>
      </c>
      <c r="F34" s="71">
        <f t="shared" si="6"/>
        <v>2682.2559999999999</v>
      </c>
      <c r="G34" s="71">
        <f t="shared" si="6"/>
        <v>3110.9589999999998</v>
      </c>
      <c r="H34" s="71">
        <f t="shared" si="6"/>
        <v>3395.058</v>
      </c>
      <c r="I34" s="71">
        <f t="shared" si="6"/>
        <v>3500.3449999999998</v>
      </c>
      <c r="J34" s="71">
        <f>J35+J36</f>
        <v>3668.64</v>
      </c>
      <c r="K34" s="71">
        <v>3721.44</v>
      </c>
      <c r="L34" s="71">
        <v>3809.8239999999996</v>
      </c>
      <c r="M34" s="71">
        <v>2395.875</v>
      </c>
      <c r="N34" s="71">
        <v>2472.123</v>
      </c>
      <c r="O34" s="71">
        <v>2292.902</v>
      </c>
      <c r="P34" s="71">
        <v>2453.0839999999998</v>
      </c>
      <c r="Q34" s="71">
        <v>2790.444</v>
      </c>
      <c r="R34" s="71">
        <v>3046.7829999999994</v>
      </c>
      <c r="S34" s="76">
        <v>3287.8740000000003</v>
      </c>
      <c r="T34" s="71">
        <v>3342.9230000000002</v>
      </c>
      <c r="U34" s="76">
        <v>3405.3330000000001</v>
      </c>
    </row>
    <row r="35" spans="1:26" ht="16.5" customHeight="1" x14ac:dyDescent="0.3">
      <c r="A35" s="86" t="s">
        <v>76</v>
      </c>
      <c r="B35" s="69" t="s">
        <v>77</v>
      </c>
      <c r="C35" s="70">
        <f>1586.164-1586.164+1594.442</f>
        <v>1594.442</v>
      </c>
      <c r="D35" s="71">
        <f>1932.933-1932.933+1942.658</f>
        <v>1942.6579999999999</v>
      </c>
      <c r="E35" s="71">
        <f>2082.932-2082.932+2156.958</f>
        <v>2156.9580000000001</v>
      </c>
      <c r="F35" s="71">
        <f>2401.89-2401.89+2489.79</f>
        <v>2489.79</v>
      </c>
      <c r="G35" s="70">
        <f>2768.491-2768.491+2881.265</f>
        <v>2881.2649999999999</v>
      </c>
      <c r="H35" s="70">
        <f>3069.486-3069.486+3163.485</f>
        <v>3163.4850000000001</v>
      </c>
      <c r="I35" s="70">
        <f>3126.937-3126.937+3282.312</f>
        <v>3282.3119999999999</v>
      </c>
      <c r="J35" s="71">
        <f>3336.133-3336.133+3472.845</f>
        <v>3472.8449999999998</v>
      </c>
      <c r="K35" s="71">
        <v>3501.569</v>
      </c>
      <c r="L35" s="71">
        <v>3572.7489999999998</v>
      </c>
      <c r="M35" s="71">
        <v>2120.65</v>
      </c>
      <c r="N35" s="71">
        <v>2153.8319999999999</v>
      </c>
      <c r="O35" s="71">
        <v>2034.0350000000001</v>
      </c>
      <c r="P35" s="71">
        <v>2183.9949999999999</v>
      </c>
      <c r="Q35" s="71">
        <v>2425.3910000000001</v>
      </c>
      <c r="R35" s="71">
        <v>2739.5739999999996</v>
      </c>
      <c r="S35" s="76">
        <v>2955.5340000000001</v>
      </c>
      <c r="T35" s="71">
        <v>3007.5790000000002</v>
      </c>
      <c r="U35" s="76">
        <v>3066.2919999999999</v>
      </c>
    </row>
    <row r="36" spans="1:26" ht="16.5" customHeight="1" x14ac:dyDescent="0.3">
      <c r="A36" s="86" t="s">
        <v>78</v>
      </c>
      <c r="B36" s="94" t="s">
        <v>79</v>
      </c>
      <c r="C36" s="71">
        <f>119.633-119.633+182.085</f>
        <v>182.08500000000001</v>
      </c>
      <c r="D36" s="83">
        <f>117.132-117.132+177.068</f>
        <v>177.06800000000001</v>
      </c>
      <c r="E36" s="83">
        <f>118.993-118.993+172.681</f>
        <v>172.68100000000001</v>
      </c>
      <c r="F36" s="83">
        <f>124.715-124.715+192.466</f>
        <v>192.46600000000001</v>
      </c>
      <c r="G36" s="80">
        <f>161.037-161.037+229.694</f>
        <v>229.69399999999999</v>
      </c>
      <c r="H36" s="70">
        <f>163.959-163.959+231.573</f>
        <v>231.57300000000001</v>
      </c>
      <c r="I36" s="71">
        <f>163.215-163.215+218.033</f>
        <v>218.03299999999999</v>
      </c>
      <c r="J36" s="71">
        <f>146.169-146.169+195.795</f>
        <v>195.79499999999999</v>
      </c>
      <c r="K36" s="71">
        <v>219.87100000000001</v>
      </c>
      <c r="L36" s="71">
        <v>237.07499999999999</v>
      </c>
      <c r="M36" s="71">
        <v>275.22500000000002</v>
      </c>
      <c r="N36" s="71">
        <v>318.291</v>
      </c>
      <c r="O36" s="71">
        <v>258.86700000000002</v>
      </c>
      <c r="P36" s="71">
        <v>269.089</v>
      </c>
      <c r="Q36" s="71">
        <v>365.053</v>
      </c>
      <c r="R36" s="71">
        <v>307.209</v>
      </c>
      <c r="S36" s="76">
        <v>332.34</v>
      </c>
      <c r="T36" s="71">
        <v>335.34399999999999</v>
      </c>
      <c r="U36" s="76">
        <v>339.041</v>
      </c>
    </row>
    <row r="37" spans="1:26" ht="16.5" customHeight="1" x14ac:dyDescent="0.3">
      <c r="A37" s="68" t="s">
        <v>80</v>
      </c>
      <c r="B37" s="69" t="s">
        <v>81</v>
      </c>
      <c r="C37" s="71">
        <f>851.361-851.361+855.112</f>
        <v>855.11199999999997</v>
      </c>
      <c r="D37" s="83">
        <f>860.6-860.6+861.86</f>
        <v>861.86</v>
      </c>
      <c r="E37" s="83">
        <f>641.202-641.202+645.362</f>
        <v>645.36199999999997</v>
      </c>
      <c r="F37" s="83">
        <f>663.02-663.02+673.48</f>
        <v>673.48</v>
      </c>
      <c r="G37" s="80">
        <f>826.339-826.339+837.581</f>
        <v>837.58100000000002</v>
      </c>
      <c r="H37" s="70">
        <f>669.125-669.125+679.077</f>
        <v>679.077</v>
      </c>
      <c r="I37" s="71">
        <f>552.226-552.226+568.62</f>
        <v>568.62</v>
      </c>
      <c r="J37" s="71">
        <f>633.059-633.059+633.315-633.315+649.063</f>
        <v>649.06299999999999</v>
      </c>
      <c r="K37" s="71">
        <v>620.63900000000001</v>
      </c>
      <c r="L37" s="71">
        <v>662.23099999999999</v>
      </c>
      <c r="M37" s="71">
        <v>689.74099999999999</v>
      </c>
      <c r="N37" s="71">
        <v>588.42499999999995</v>
      </c>
      <c r="O37" s="71">
        <v>539.75900000000001</v>
      </c>
      <c r="P37" s="71">
        <v>756.83699999999999</v>
      </c>
      <c r="Q37" s="71">
        <v>731.53800000000001</v>
      </c>
      <c r="R37" s="71">
        <v>669.71699999999998</v>
      </c>
      <c r="S37" s="76">
        <v>579.01099999999997</v>
      </c>
      <c r="T37" s="71">
        <v>528.82299999999998</v>
      </c>
      <c r="U37" s="76">
        <v>555.83399999999995</v>
      </c>
    </row>
    <row r="38" spans="1:26" ht="16.5" customHeight="1" x14ac:dyDescent="0.3">
      <c r="A38" s="86" t="s">
        <v>82</v>
      </c>
      <c r="B38" s="69" t="s">
        <v>83</v>
      </c>
      <c r="C38" s="70">
        <v>506.34</v>
      </c>
      <c r="D38" s="83">
        <v>590.29999999999995</v>
      </c>
      <c r="E38" s="83">
        <v>445.36599999999999</v>
      </c>
      <c r="F38" s="83">
        <v>476.6</v>
      </c>
      <c r="G38" s="83">
        <v>634.42200000000003</v>
      </c>
      <c r="H38" s="71">
        <v>460.00900000000001</v>
      </c>
      <c r="I38" s="71">
        <f>396.975-396.975+304.096</f>
        <v>304.096</v>
      </c>
      <c r="J38" s="71">
        <f>444.674-444.674+349.759</f>
        <v>349.75900000000001</v>
      </c>
      <c r="K38" s="71">
        <v>323.11700000000002</v>
      </c>
      <c r="L38" s="71">
        <v>391.39800000000002</v>
      </c>
      <c r="M38" s="71">
        <v>410.12400000000002</v>
      </c>
      <c r="N38" s="71">
        <v>323.94</v>
      </c>
      <c r="O38" s="71">
        <v>268.85500000000002</v>
      </c>
      <c r="P38" s="71">
        <v>435.07499999999999</v>
      </c>
      <c r="Q38" s="71">
        <v>342.43599999999998</v>
      </c>
      <c r="R38" s="71">
        <v>432.13500000000005</v>
      </c>
      <c r="S38" s="76">
        <v>362.84199999999998</v>
      </c>
      <c r="T38" s="71">
        <v>310.923</v>
      </c>
      <c r="U38" s="76">
        <v>339.10700000000003</v>
      </c>
    </row>
    <row r="39" spans="1:26" ht="16.5" customHeight="1" x14ac:dyDescent="0.3">
      <c r="A39" s="86" t="s">
        <v>84</v>
      </c>
      <c r="B39" s="69" t="s">
        <v>85</v>
      </c>
      <c r="C39" s="71">
        <f>293.725-293.725+291.467</f>
        <v>291.46699999999998</v>
      </c>
      <c r="D39" s="83">
        <f>225.732-225.732+221.026</f>
        <v>221.02600000000001</v>
      </c>
      <c r="E39" s="83">
        <f>120.059-120.059+118.198</f>
        <v>118.19799999999999</v>
      </c>
      <c r="F39" s="83">
        <f>137.699-137.699+136.414</f>
        <v>136.41399999999999</v>
      </c>
      <c r="G39" s="83">
        <f>143.866-143.866+142.712</f>
        <v>142.71199999999999</v>
      </c>
      <c r="H39" s="71">
        <f>155.855-155.855+154.043</f>
        <v>154.04300000000001</v>
      </c>
      <c r="I39" s="71">
        <f>191.41-191.41+188.374</f>
        <v>188.374</v>
      </c>
      <c r="J39" s="71">
        <f>227.065-227.065+222.903</f>
        <v>222.90299999999999</v>
      </c>
      <c r="K39" s="71">
        <v>222.62200000000001</v>
      </c>
      <c r="L39" s="71">
        <v>192.88300000000001</v>
      </c>
      <c r="M39" s="71">
        <v>172.18700000000001</v>
      </c>
      <c r="N39" s="71">
        <v>162.52099999999999</v>
      </c>
      <c r="O39" s="71">
        <v>162.536</v>
      </c>
      <c r="P39" s="71">
        <v>202.19499999999999</v>
      </c>
      <c r="Q39" s="71">
        <v>267.33499999999998</v>
      </c>
      <c r="R39" s="71">
        <v>90.36399999999999</v>
      </c>
      <c r="S39" s="76">
        <v>98.64</v>
      </c>
      <c r="T39" s="71">
        <v>99.576999999999998</v>
      </c>
      <c r="U39" s="76">
        <v>99.435000000000002</v>
      </c>
    </row>
    <row r="40" spans="1:26" s="92" customFormat="1" ht="16.5" customHeight="1" x14ac:dyDescent="0.3">
      <c r="A40" s="88" t="s">
        <v>29</v>
      </c>
      <c r="B40" s="91" t="s">
        <v>43</v>
      </c>
      <c r="C40" s="66">
        <f t="shared" ref="C40:I40" si="7">C42+C43+C44</f>
        <v>1207.5630000000001</v>
      </c>
      <c r="D40" s="66">
        <f t="shared" si="7"/>
        <v>1810.567</v>
      </c>
      <c r="E40" s="66">
        <f t="shared" si="7"/>
        <v>1582.797</v>
      </c>
      <c r="F40" s="66">
        <f t="shared" si="7"/>
        <v>2315.634</v>
      </c>
      <c r="G40" s="66">
        <f t="shared" si="7"/>
        <v>1903.7950000000001</v>
      </c>
      <c r="H40" s="66">
        <f t="shared" si="7"/>
        <v>2254.4430000000002</v>
      </c>
      <c r="I40" s="66">
        <f t="shared" si="7"/>
        <v>2249.8919999999998</v>
      </c>
      <c r="J40" s="66">
        <f>J42+J43+J44</f>
        <v>3976.0789999999997</v>
      </c>
      <c r="K40" s="66">
        <v>1362.4270000000001</v>
      </c>
      <c r="L40" s="66">
        <v>949.83200000000011</v>
      </c>
      <c r="M40" s="66">
        <v>1186.617</v>
      </c>
      <c r="N40" s="66">
        <v>1539.68</v>
      </c>
      <c r="O40" s="66">
        <v>1537.703</v>
      </c>
      <c r="P40" s="66">
        <v>1536.1610000000001</v>
      </c>
      <c r="Q40" s="66">
        <v>2297.3530000000001</v>
      </c>
      <c r="R40" s="66">
        <v>5970.4270000000015</v>
      </c>
      <c r="S40" s="171">
        <v>2514.527</v>
      </c>
      <c r="T40" s="66">
        <v>2925.9199999999996</v>
      </c>
      <c r="U40" s="171">
        <v>2690.4359999999997</v>
      </c>
    </row>
    <row r="41" spans="1:26" ht="16.5" customHeight="1" x14ac:dyDescent="0.3">
      <c r="A41" s="95" t="s">
        <v>86</v>
      </c>
      <c r="B41" s="96" t="s">
        <v>87</v>
      </c>
      <c r="C41" s="71">
        <f>863.316-664.004+(82.62)</f>
        <v>281.93200000000002</v>
      </c>
      <c r="D41" s="71">
        <f>1111.48-809.95+(-7.137)</f>
        <v>294.39299999999997</v>
      </c>
      <c r="E41" s="71">
        <f>1663.755-1239.247+(225.936)</f>
        <v>650.44400000000007</v>
      </c>
      <c r="F41" s="71">
        <f>2031.344-1297.937+(60.035)</f>
        <v>793.44200000000012</v>
      </c>
      <c r="G41" s="70">
        <f>2127.345-1208.845+(-113.094)</f>
        <v>805.40599999999972</v>
      </c>
      <c r="H41" s="70">
        <f>2174.997-1218.111+(-148.212)</f>
        <v>808.67399999999975</v>
      </c>
      <c r="I41" s="70">
        <f>1257.505-818.843+(756.009)</f>
        <v>1194.6710000000003</v>
      </c>
      <c r="J41" s="71">
        <f>2986.181</f>
        <v>2986.181</v>
      </c>
      <c r="K41" s="71">
        <v>787.80299999999988</v>
      </c>
      <c r="L41" s="71">
        <v>661.40300000000002</v>
      </c>
      <c r="M41" s="71">
        <v>1009.861</v>
      </c>
      <c r="N41" s="71">
        <v>944.75599999999997</v>
      </c>
      <c r="O41" s="71">
        <v>1098.1199999999999</v>
      </c>
      <c r="P41" s="71">
        <v>1196.1469999999999</v>
      </c>
      <c r="Q41" s="71">
        <v>1471.38</v>
      </c>
      <c r="R41" s="71">
        <v>5099.1409999999996</v>
      </c>
      <c r="S41" s="76">
        <v>1543.836</v>
      </c>
      <c r="T41" s="71">
        <v>2077.9609999999998</v>
      </c>
      <c r="U41" s="76">
        <v>1916.547</v>
      </c>
    </row>
    <row r="42" spans="1:26" ht="16.5" customHeight="1" x14ac:dyDescent="0.3">
      <c r="A42" s="87" t="s">
        <v>88</v>
      </c>
      <c r="B42" s="94" t="s">
        <v>89</v>
      </c>
      <c r="C42" s="71">
        <v>0</v>
      </c>
      <c r="D42" s="71">
        <v>0</v>
      </c>
      <c r="E42" s="71">
        <v>0</v>
      </c>
      <c r="F42" s="71">
        <v>0</v>
      </c>
      <c r="G42" s="70">
        <v>0</v>
      </c>
      <c r="H42" s="70">
        <v>0</v>
      </c>
      <c r="I42" s="70">
        <v>0</v>
      </c>
      <c r="J42" s="71">
        <v>0</v>
      </c>
      <c r="K42" s="71">
        <v>0</v>
      </c>
      <c r="L42" s="71">
        <v>0</v>
      </c>
      <c r="M42" s="71">
        <v>0</v>
      </c>
      <c r="N42" s="71">
        <v>0</v>
      </c>
      <c r="O42" s="71">
        <v>0</v>
      </c>
      <c r="P42" s="71">
        <v>0</v>
      </c>
      <c r="Q42" s="71">
        <v>0</v>
      </c>
      <c r="R42" s="71"/>
      <c r="S42" s="76"/>
      <c r="T42" s="71"/>
      <c r="U42" s="76"/>
    </row>
    <row r="43" spans="1:26" ht="16.5" customHeight="1" x14ac:dyDescent="0.3">
      <c r="A43" s="68" t="s">
        <v>34</v>
      </c>
      <c r="B43" s="69" t="s">
        <v>90</v>
      </c>
      <c r="C43" s="70">
        <f>1155.759-1155.759+1045.303</f>
        <v>1045.3030000000001</v>
      </c>
      <c r="D43" s="70">
        <f>1274.844-1274.844+1180.024</f>
        <v>1180.0239999999999</v>
      </c>
      <c r="E43" s="71">
        <f>1027.778-1027.778+946.428</f>
        <v>946.428</v>
      </c>
      <c r="F43" s="71">
        <f>1583.719-1583.719+1434.76</f>
        <v>1434.76</v>
      </c>
      <c r="G43" s="70">
        <f>1347.222-1347.222+1125.053</f>
        <v>1125.0530000000001</v>
      </c>
      <c r="H43" s="70">
        <f>1477.714-1477.714+1269.18</f>
        <v>1269.18</v>
      </c>
      <c r="I43" s="70">
        <f>1438.031-1438.031+1510.906-1510.906+1287.885</f>
        <v>1287.885</v>
      </c>
      <c r="J43" s="71">
        <f>2157.163-2157.163+2281.083-2281.083+2060.298</f>
        <v>2060.2979999999998</v>
      </c>
      <c r="K43" s="71">
        <v>830.947</v>
      </c>
      <c r="L43" s="71">
        <v>607.39200000000005</v>
      </c>
      <c r="M43" s="71">
        <v>399.71800000000002</v>
      </c>
      <c r="N43" s="71">
        <v>772.88400000000001</v>
      </c>
      <c r="O43" s="71">
        <v>929.226</v>
      </c>
      <c r="P43" s="71">
        <v>885.90899999999999</v>
      </c>
      <c r="Q43" s="71">
        <v>1490.232</v>
      </c>
      <c r="R43" s="71">
        <v>5794.7400000000007</v>
      </c>
      <c r="S43" s="76">
        <v>2225.3159999999998</v>
      </c>
      <c r="T43" s="71">
        <v>2789.7379999999998</v>
      </c>
      <c r="U43" s="76">
        <v>2613.9899999999998</v>
      </c>
    </row>
    <row r="44" spans="1:26" ht="16.5" customHeight="1" x14ac:dyDescent="0.3">
      <c r="A44" s="97" t="s">
        <v>19</v>
      </c>
      <c r="B44" s="69" t="s">
        <v>91</v>
      </c>
      <c r="C44" s="71">
        <f>162.36-C27</f>
        <v>162.26000000000002</v>
      </c>
      <c r="D44" s="71">
        <f>630.588-D27</f>
        <v>630.54300000000001</v>
      </c>
      <c r="E44" s="71">
        <f>636.369-636.369+636.389-E27</f>
        <v>636.36900000000003</v>
      </c>
      <c r="F44" s="71">
        <f>880.887-F27</f>
        <v>880.87399999999991</v>
      </c>
      <c r="G44" s="70">
        <f>778.754-G27</f>
        <v>778.74200000000008</v>
      </c>
      <c r="H44" s="70">
        <f>985.27-H27</f>
        <v>985.26300000000003</v>
      </c>
      <c r="I44" s="70">
        <f>962.011-I27</f>
        <v>962.00699999999995</v>
      </c>
      <c r="J44" s="71">
        <f>2074.316-2074.316+1915.775-J27</f>
        <v>1915.7810000000002</v>
      </c>
      <c r="K44" s="71">
        <v>531.48</v>
      </c>
      <c r="L44" s="71">
        <v>342.44</v>
      </c>
      <c r="M44" s="71">
        <v>786.899</v>
      </c>
      <c r="N44" s="71">
        <v>766.79600000000005</v>
      </c>
      <c r="O44" s="71">
        <v>608.47699999999998</v>
      </c>
      <c r="P44" s="71">
        <v>650.25199999999995</v>
      </c>
      <c r="Q44" s="71">
        <v>807.12099999999998</v>
      </c>
      <c r="R44" s="71">
        <v>175.68700000000035</v>
      </c>
      <c r="S44" s="76">
        <v>289.21100000000001</v>
      </c>
      <c r="T44" s="71">
        <v>136.18199999999999</v>
      </c>
      <c r="U44" s="76">
        <v>76.445999999999998</v>
      </c>
    </row>
    <row r="45" spans="1:26" ht="16.5" customHeight="1" x14ac:dyDescent="0.3">
      <c r="A45" s="58" t="s">
        <v>13</v>
      </c>
      <c r="B45" s="59" t="s">
        <v>41</v>
      </c>
      <c r="C45" s="99">
        <f>C47+C85</f>
        <v>25374.615000000002</v>
      </c>
      <c r="D45" s="99">
        <f t="shared" ref="D45:K45" si="8">D47+D85</f>
        <v>28463.259000000002</v>
      </c>
      <c r="E45" s="99">
        <f t="shared" si="8"/>
        <v>28736.951000000005</v>
      </c>
      <c r="F45" s="99">
        <f t="shared" si="8"/>
        <v>29512.988999999998</v>
      </c>
      <c r="G45" s="99">
        <f t="shared" si="8"/>
        <v>30103.038</v>
      </c>
      <c r="H45" s="99">
        <f t="shared" si="8"/>
        <v>31441.087000000003</v>
      </c>
      <c r="I45" s="99">
        <f t="shared" si="8"/>
        <v>32942.868000000002</v>
      </c>
      <c r="J45" s="99">
        <f t="shared" si="8"/>
        <v>36430.345999999998</v>
      </c>
      <c r="K45" s="99">
        <f t="shared" si="8"/>
        <v>34574.875</v>
      </c>
      <c r="L45" s="99">
        <v>34903.433000000005</v>
      </c>
      <c r="M45" s="99">
        <v>35652.909999999996</v>
      </c>
      <c r="N45" s="99">
        <v>38275.019999999997</v>
      </c>
      <c r="O45" s="99">
        <v>41804.082000000009</v>
      </c>
      <c r="P45" s="99">
        <v>45459.970999999998</v>
      </c>
      <c r="Q45" s="99">
        <v>46334.651000000005</v>
      </c>
      <c r="R45" s="99">
        <v>60070.330999999998</v>
      </c>
      <c r="S45" s="99">
        <v>59366.650999999998</v>
      </c>
      <c r="T45" s="99">
        <v>63066</v>
      </c>
      <c r="U45" s="99">
        <v>64863.283999999992</v>
      </c>
      <c r="X45" s="240"/>
      <c r="Y45" s="240"/>
      <c r="Z45" s="240"/>
    </row>
    <row r="46" spans="1:26" ht="16.5" customHeight="1" x14ac:dyDescent="0.3">
      <c r="A46" s="61" t="s">
        <v>1</v>
      </c>
      <c r="B46" s="100"/>
      <c r="C46" s="101">
        <f t="shared" ref="C46:K46" si="9">C45/C94</f>
        <v>0.36994339481305105</v>
      </c>
      <c r="D46" s="101">
        <f t="shared" si="9"/>
        <v>0.44407564591215809</v>
      </c>
      <c r="E46" s="101">
        <f t="shared" si="9"/>
        <v>0.4220252624044975</v>
      </c>
      <c r="F46" s="101">
        <f t="shared" si="9"/>
        <v>0.41442453194183926</v>
      </c>
      <c r="G46" s="101">
        <f t="shared" si="9"/>
        <v>0.40965531161403113</v>
      </c>
      <c r="H46" s="101">
        <f t="shared" si="9"/>
        <v>0.42285189351144503</v>
      </c>
      <c r="I46" s="101">
        <f t="shared" si="9"/>
        <v>0.43200443517413284</v>
      </c>
      <c r="J46" s="101">
        <f t="shared" si="9"/>
        <v>0.45675989319618276</v>
      </c>
      <c r="K46" s="101">
        <f t="shared" si="9"/>
        <v>0.42664815642474785</v>
      </c>
      <c r="L46" s="101">
        <v>0.4133378586811331</v>
      </c>
      <c r="M46" s="101">
        <v>0.39669576395660117</v>
      </c>
      <c r="N46" s="101">
        <v>0.4052947916877454</v>
      </c>
      <c r="O46" s="101">
        <v>0.44736996546041824</v>
      </c>
      <c r="P46" s="101">
        <v>0.4534401682673051</v>
      </c>
      <c r="Q46" s="101">
        <v>0.4225871972634932</v>
      </c>
      <c r="R46" s="101">
        <v>0.49328392342354133</v>
      </c>
      <c r="S46" s="101">
        <v>0.45549914039923783</v>
      </c>
      <c r="T46" s="101">
        <v>0.45653865115175568</v>
      </c>
      <c r="U46" s="101">
        <v>0.44917094796108342</v>
      </c>
    </row>
    <row r="47" spans="1:26" s="67" customFormat="1" ht="16.5" customHeight="1" x14ac:dyDescent="0.3">
      <c r="A47" s="102" t="s">
        <v>92</v>
      </c>
      <c r="B47" s="65" t="s">
        <v>43</v>
      </c>
      <c r="C47" s="66">
        <f t="shared" ref="C47:J47" si="10">C48+C51+C52+C55+C61+C64+C81</f>
        <v>22480.924000000003</v>
      </c>
      <c r="D47" s="66">
        <f t="shared" si="10"/>
        <v>24757.755000000001</v>
      </c>
      <c r="E47" s="66">
        <f t="shared" si="10"/>
        <v>25711.588000000003</v>
      </c>
      <c r="F47" s="66">
        <f t="shared" si="10"/>
        <v>26288.807999999997</v>
      </c>
      <c r="G47" s="66">
        <f t="shared" si="10"/>
        <v>27273.931</v>
      </c>
      <c r="H47" s="66">
        <f t="shared" si="10"/>
        <v>28500.035000000003</v>
      </c>
      <c r="I47" s="66">
        <f t="shared" si="10"/>
        <v>29420.920000000002</v>
      </c>
      <c r="J47" s="66">
        <f t="shared" si="10"/>
        <v>30669.378999999997</v>
      </c>
      <c r="K47" s="66">
        <v>31268.263999999999</v>
      </c>
      <c r="L47" s="66">
        <v>31835.754000000001</v>
      </c>
      <c r="M47" s="66">
        <v>31930.074999999997</v>
      </c>
      <c r="N47" s="66">
        <v>34441.116999999998</v>
      </c>
      <c r="O47" s="66">
        <v>37758.460000000006</v>
      </c>
      <c r="P47" s="66">
        <v>41852.659</v>
      </c>
      <c r="Q47" s="66">
        <v>42283.458000000006</v>
      </c>
      <c r="R47" s="66">
        <v>52664.618999999999</v>
      </c>
      <c r="S47" s="171">
        <v>53969.507999999994</v>
      </c>
      <c r="T47" s="66">
        <v>56952.567999999999</v>
      </c>
      <c r="U47" s="171">
        <v>60090.734999999993</v>
      </c>
    </row>
    <row r="48" spans="1:26" s="92" customFormat="1" ht="16.5" customHeight="1" x14ac:dyDescent="0.3">
      <c r="A48" s="103" t="s">
        <v>14</v>
      </c>
      <c r="B48" s="69" t="s">
        <v>93</v>
      </c>
      <c r="C48" s="71">
        <f>5123.958-5123.958+5164.274</f>
        <v>5164.2740000000003</v>
      </c>
      <c r="D48" s="71">
        <f>5479.255-5479.255+5543.503</f>
        <v>5543.5029999999997</v>
      </c>
      <c r="E48" s="71">
        <f>5716.126-5716.126+5756.796</f>
        <v>5756.7960000000003</v>
      </c>
      <c r="F48" s="71">
        <f>5845.659-5845.659+5895.087</f>
        <v>5895.0870000000004</v>
      </c>
      <c r="G48" s="70">
        <f>5991.294-5991.294+6033.52</f>
        <v>6033.52</v>
      </c>
      <c r="H48" s="70">
        <f>6356.049-6356.049+6417.659</f>
        <v>6417.6589999999997</v>
      </c>
      <c r="I48" s="70">
        <f>6693.738-6693.738+6766.776</f>
        <v>6766.7759999999998</v>
      </c>
      <c r="J48" s="71">
        <f>7049.497-7049.497+7049.858-7049.858+7120.812</f>
        <v>7120.8119999999999</v>
      </c>
      <c r="K48" s="71">
        <v>7537.4830000000002</v>
      </c>
      <c r="L48" s="71">
        <v>7928.2219999999998</v>
      </c>
      <c r="M48" s="71">
        <v>8435.6219999999994</v>
      </c>
      <c r="N48" s="71">
        <v>9682.6209999999992</v>
      </c>
      <c r="O48" s="71">
        <v>10569.589</v>
      </c>
      <c r="P48" s="71">
        <v>11354.374</v>
      </c>
      <c r="Q48" s="71">
        <v>11663.593000000001</v>
      </c>
      <c r="R48" s="71">
        <v>12625.525999999998</v>
      </c>
      <c r="S48" s="76">
        <v>13851.112000000001</v>
      </c>
      <c r="T48" s="71">
        <v>14709.442000000001</v>
      </c>
      <c r="U48" s="76">
        <v>15424.710999999999</v>
      </c>
    </row>
    <row r="49" spans="1:21" s="92" customFormat="1" ht="16.5" customHeight="1" x14ac:dyDescent="0.3">
      <c r="A49" s="86" t="s">
        <v>32</v>
      </c>
      <c r="B49" s="69" t="s">
        <v>94</v>
      </c>
      <c r="C49" s="70">
        <v>3882.7379999999998</v>
      </c>
      <c r="D49" s="70">
        <v>4068.3440000000001</v>
      </c>
      <c r="E49" s="70">
        <v>4241.7030000000004</v>
      </c>
      <c r="F49" s="70">
        <v>4259.3040000000001</v>
      </c>
      <c r="G49" s="70">
        <v>4439.4539999999997</v>
      </c>
      <c r="H49" s="70">
        <v>4666.4269999999997</v>
      </c>
      <c r="I49" s="70">
        <v>4894.2</v>
      </c>
      <c r="J49" s="70">
        <f>5141.582-5141.582+5141.943</f>
        <v>5141.9430000000002</v>
      </c>
      <c r="K49" s="70">
        <v>5465.5720000000001</v>
      </c>
      <c r="L49" s="70">
        <v>5758.5990000000002</v>
      </c>
      <c r="M49" s="70">
        <v>6280.0379999999996</v>
      </c>
      <c r="N49" s="70">
        <v>7056.1949999999997</v>
      </c>
      <c r="O49" s="70">
        <v>7740.4480000000003</v>
      </c>
      <c r="P49" s="70">
        <v>8147.1989999999996</v>
      </c>
      <c r="Q49" s="70">
        <v>8529.2420000000002</v>
      </c>
      <c r="R49" s="70">
        <v>9259.6209999999992</v>
      </c>
      <c r="S49" s="172">
        <v>10116.558999999999</v>
      </c>
      <c r="T49" s="70">
        <v>10739.852000000001</v>
      </c>
      <c r="U49" s="172">
        <v>11247.362000000001</v>
      </c>
    </row>
    <row r="50" spans="1:21" s="92" customFormat="1" ht="16.5" customHeight="1" x14ac:dyDescent="0.3">
      <c r="A50" s="86" t="s">
        <v>33</v>
      </c>
      <c r="B50" s="69" t="s">
        <v>95</v>
      </c>
      <c r="C50" s="70">
        <v>1241.22</v>
      </c>
      <c r="D50" s="70">
        <v>1410.9110000000001</v>
      </c>
      <c r="E50" s="70">
        <v>1474.423</v>
      </c>
      <c r="F50" s="70">
        <v>1586.355</v>
      </c>
      <c r="G50" s="70">
        <v>1551.84</v>
      </c>
      <c r="H50" s="70">
        <v>1689.6220000000001</v>
      </c>
      <c r="I50" s="70">
        <v>1799.538</v>
      </c>
      <c r="J50" s="70">
        <v>1907.915</v>
      </c>
      <c r="K50" s="70">
        <v>2071.9110000000001</v>
      </c>
      <c r="L50" s="70">
        <v>2169.623</v>
      </c>
      <c r="M50" s="70">
        <v>2155.5839999999998</v>
      </c>
      <c r="N50" s="70">
        <v>2626.4259999999999</v>
      </c>
      <c r="O50" s="70">
        <v>2829.1410000000001</v>
      </c>
      <c r="P50" s="70">
        <v>3207.1750000000002</v>
      </c>
      <c r="Q50" s="70">
        <v>3134.3510000000001</v>
      </c>
      <c r="R50" s="70">
        <v>3365.9049999999988</v>
      </c>
      <c r="S50" s="172">
        <v>3734.5530000000017</v>
      </c>
      <c r="T50" s="70">
        <v>3969.59</v>
      </c>
      <c r="U50" s="172">
        <v>4177.3489999999983</v>
      </c>
    </row>
    <row r="51" spans="1:21" s="92" customFormat="1" ht="16.5" customHeight="1" x14ac:dyDescent="0.3">
      <c r="A51" s="103" t="s">
        <v>15</v>
      </c>
      <c r="B51" s="69" t="s">
        <v>96</v>
      </c>
      <c r="C51" s="71">
        <f>3313.989-3313.989+3328.588</f>
        <v>3328.5880000000002</v>
      </c>
      <c r="D51" s="71">
        <f>3898.526-3898.526+3917.29</f>
        <v>3917.29</v>
      </c>
      <c r="E51" s="71">
        <f>3871.698-3871.698+3996.778</f>
        <v>3996.7779999999998</v>
      </c>
      <c r="F51" s="71">
        <f>3985.367-3985.367+4136.558</f>
        <v>4136.558</v>
      </c>
      <c r="G51" s="70">
        <f>4006.704-4006.704+4213.033</f>
        <v>4213.0330000000004</v>
      </c>
      <c r="H51" s="70">
        <f>4101.731-4101.731+4210.437</f>
        <v>4210.4369999999999</v>
      </c>
      <c r="I51" s="70">
        <f>4266.165-4266.165+4380.653</f>
        <v>4380.6530000000002</v>
      </c>
      <c r="J51" s="71">
        <f>4654.823-4654.823+4654.941-4654.941+4736.737</f>
        <v>4736.7370000000001</v>
      </c>
      <c r="K51" s="71">
        <v>4538.4610000000002</v>
      </c>
      <c r="L51" s="71">
        <v>4866.3329999999996</v>
      </c>
      <c r="M51" s="71">
        <v>4893.8040000000001</v>
      </c>
      <c r="N51" s="71">
        <v>5101.9620000000004</v>
      </c>
      <c r="O51" s="71">
        <v>5161.0379999999996</v>
      </c>
      <c r="P51" s="71">
        <v>5726.2550000000001</v>
      </c>
      <c r="Q51" s="71">
        <v>6533.9629999999997</v>
      </c>
      <c r="R51" s="71">
        <v>9340.4429999999993</v>
      </c>
      <c r="S51" s="76">
        <v>8298.7900000000009</v>
      </c>
      <c r="T51" s="71">
        <v>7726.2950000000001</v>
      </c>
      <c r="U51" s="76">
        <v>7872.9080000000004</v>
      </c>
    </row>
    <row r="52" spans="1:21" s="92" customFormat="1" ht="16.5" customHeight="1" x14ac:dyDescent="0.3">
      <c r="A52" s="95" t="s">
        <v>35</v>
      </c>
      <c r="B52" s="94" t="s">
        <v>97</v>
      </c>
      <c r="C52" s="71">
        <f t="shared" ref="C52:I52" si="11">C53+C54</f>
        <v>80.391000000000005</v>
      </c>
      <c r="D52" s="71">
        <f t="shared" si="11"/>
        <v>75.658000000000001</v>
      </c>
      <c r="E52" s="71">
        <f t="shared" si="11"/>
        <v>94.039999999999992</v>
      </c>
      <c r="F52" s="71">
        <f t="shared" si="11"/>
        <v>102.44500000000001</v>
      </c>
      <c r="G52" s="70">
        <f t="shared" si="11"/>
        <v>97.396999999999991</v>
      </c>
      <c r="H52" s="70">
        <f t="shared" si="11"/>
        <v>114.928</v>
      </c>
      <c r="I52" s="70">
        <f t="shared" si="11"/>
        <v>109.471</v>
      </c>
      <c r="J52" s="70">
        <f>J53+J54</f>
        <v>102.72799999999999</v>
      </c>
      <c r="K52" s="70">
        <v>129.98400000000001</v>
      </c>
      <c r="L52" s="70">
        <v>87.754999999999995</v>
      </c>
      <c r="M52" s="70">
        <v>151.63</v>
      </c>
      <c r="N52" s="70">
        <v>158.70400000000001</v>
      </c>
      <c r="O52" s="70">
        <v>157.77700000000002</v>
      </c>
      <c r="P52" s="70">
        <v>173.69299999999998</v>
      </c>
      <c r="Q52" s="70">
        <v>115.98</v>
      </c>
      <c r="R52" s="70">
        <v>124.914</v>
      </c>
      <c r="S52" s="172">
        <v>146.34100000000001</v>
      </c>
      <c r="T52" s="70">
        <v>148.965</v>
      </c>
      <c r="U52" s="172">
        <v>149.852</v>
      </c>
    </row>
    <row r="53" spans="1:21" ht="16.5" customHeight="1" x14ac:dyDescent="0.3">
      <c r="A53" s="104" t="s">
        <v>98</v>
      </c>
      <c r="B53" s="69" t="s">
        <v>99</v>
      </c>
      <c r="C53" s="71">
        <f>35.125-35.125+61.139</f>
        <v>61.139000000000003</v>
      </c>
      <c r="D53" s="71">
        <f>35.181-35.181+66.901</f>
        <v>66.900999999999996</v>
      </c>
      <c r="E53" s="71">
        <f>39.637-39.637+72.16</f>
        <v>72.16</v>
      </c>
      <c r="F53" s="71">
        <f>49.839-49.839+75.992</f>
        <v>75.992000000000004</v>
      </c>
      <c r="G53" s="70">
        <f>58.804-58.804+88.079</f>
        <v>88.078999999999994</v>
      </c>
      <c r="H53" s="70">
        <f>56.468-56.468+92.152</f>
        <v>92.152000000000001</v>
      </c>
      <c r="I53" s="70">
        <f>38.512-38.512+79.536</f>
        <v>79.536000000000001</v>
      </c>
      <c r="J53" s="71">
        <f>60.713-60.713+101.865</f>
        <v>101.86499999999999</v>
      </c>
      <c r="K53" s="71">
        <v>107.322</v>
      </c>
      <c r="L53" s="71">
        <v>62.34</v>
      </c>
      <c r="M53" s="71">
        <v>125.414</v>
      </c>
      <c r="N53" s="71">
        <v>134.542</v>
      </c>
      <c r="O53" s="71">
        <v>134.42500000000001</v>
      </c>
      <c r="P53" s="71">
        <v>151.52699999999999</v>
      </c>
      <c r="Q53" s="71">
        <v>126.42</v>
      </c>
      <c r="R53" s="71">
        <v>124.914</v>
      </c>
      <c r="S53" s="76">
        <v>146.34100000000001</v>
      </c>
      <c r="T53" s="71">
        <v>148.965</v>
      </c>
      <c r="U53" s="76">
        <v>149.852</v>
      </c>
    </row>
    <row r="54" spans="1:21" ht="16.5" customHeight="1" x14ac:dyDescent="0.3">
      <c r="A54" s="104" t="s">
        <v>100</v>
      </c>
      <c r="B54" s="69" t="s">
        <v>52</v>
      </c>
      <c r="C54" s="71">
        <f>19.223-19.223+19.252</f>
        <v>19.251999999999999</v>
      </c>
      <c r="D54" s="83">
        <f>8.373-8.373+8.757</f>
        <v>8.7569999999999997</v>
      </c>
      <c r="E54" s="83">
        <f>20.104-20.104+21.88</f>
        <v>21.88</v>
      </c>
      <c r="F54" s="83">
        <f>18.39-18.39+26.453</f>
        <v>26.452999999999999</v>
      </c>
      <c r="G54" s="80">
        <f>19.492-19.492+9.318</f>
        <v>9.3179999999999996</v>
      </c>
      <c r="H54" s="70">
        <f>25.19-25.19+22.776</f>
        <v>22.776</v>
      </c>
      <c r="I54" s="70">
        <f>30.224-30.224+29.935</f>
        <v>29.934999999999999</v>
      </c>
      <c r="J54" s="71">
        <f>10.587-10.587+10.636-10.636+0.863</f>
        <v>0.86299999999999999</v>
      </c>
      <c r="K54" s="71">
        <v>22.661999999999999</v>
      </c>
      <c r="L54" s="71">
        <v>25.414999999999999</v>
      </c>
      <c r="M54" s="71">
        <v>26.216000000000001</v>
      </c>
      <c r="N54" s="71">
        <v>24.161999999999999</v>
      </c>
      <c r="O54" s="71">
        <v>23.352</v>
      </c>
      <c r="P54" s="71">
        <v>22.166</v>
      </c>
      <c r="Q54" s="71">
        <v>-10.44</v>
      </c>
      <c r="R54" s="71">
        <v>0</v>
      </c>
      <c r="S54" s="76">
        <v>0</v>
      </c>
      <c r="T54" s="71">
        <v>0</v>
      </c>
      <c r="U54" s="76">
        <v>0</v>
      </c>
    </row>
    <row r="55" spans="1:21" s="92" customFormat="1" ht="16.5" customHeight="1" x14ac:dyDescent="0.3">
      <c r="A55" s="95" t="s">
        <v>16</v>
      </c>
      <c r="B55" s="94" t="s">
        <v>101</v>
      </c>
      <c r="C55" s="71">
        <v>919.86900000000003</v>
      </c>
      <c r="D55" s="83">
        <f>734.258-734.258+877.728</f>
        <v>877.72799999999995</v>
      </c>
      <c r="E55" s="83">
        <f>623.359-623.359+782.77</f>
        <v>782.77</v>
      </c>
      <c r="F55" s="83">
        <f>498.551-498.551+878.189</f>
        <v>878.18899999999996</v>
      </c>
      <c r="G55" s="80">
        <f>490.516-490.516+892.342</f>
        <v>892.34199999999998</v>
      </c>
      <c r="H55" s="70">
        <f>574.001-574.001+1079.6</f>
        <v>1079.5999999999999</v>
      </c>
      <c r="I55" s="70">
        <f>519.818-519.818+1066.82</f>
        <v>1066.82</v>
      </c>
      <c r="J55" s="71">
        <f>463.736-463.736+949.99</f>
        <v>949.99</v>
      </c>
      <c r="K55" s="71">
        <v>854.73</v>
      </c>
      <c r="L55" s="71">
        <v>876.726</v>
      </c>
      <c r="M55" s="71">
        <v>879.05700000000002</v>
      </c>
      <c r="N55" s="71">
        <v>928.1</v>
      </c>
      <c r="O55" s="71">
        <v>1240.3530000000001</v>
      </c>
      <c r="P55" s="71">
        <v>1369.152</v>
      </c>
      <c r="Q55" s="71">
        <v>1196.4079999999999</v>
      </c>
      <c r="R55" s="71">
        <v>3075.92</v>
      </c>
      <c r="S55" s="76">
        <v>1182.579</v>
      </c>
      <c r="T55" s="71">
        <v>1186.0350000000001</v>
      </c>
      <c r="U55" s="76">
        <v>1127.7070000000001</v>
      </c>
    </row>
    <row r="56" spans="1:21" s="92" customFormat="1" ht="16.5" customHeight="1" x14ac:dyDescent="0.3">
      <c r="A56" s="86" t="s">
        <v>102</v>
      </c>
      <c r="B56" s="69" t="s">
        <v>103</v>
      </c>
      <c r="C56" s="71">
        <f>0+325.997</f>
        <v>325.99700000000001</v>
      </c>
      <c r="D56" s="83">
        <f>0.009+210.503</f>
        <v>210.51199999999997</v>
      </c>
      <c r="E56" s="83">
        <f>0.061+196.916</f>
        <v>196.977</v>
      </c>
      <c r="F56" s="83">
        <f>0.068+151.421</f>
        <v>151.489</v>
      </c>
      <c r="G56" s="80">
        <f>0+120.155</f>
        <v>120.155</v>
      </c>
      <c r="H56" s="70">
        <f>0+138.037</f>
        <v>138.03700000000001</v>
      </c>
      <c r="I56" s="70">
        <f>0+469.54-469.54+91.73</f>
        <v>91.73</v>
      </c>
      <c r="J56" s="71">
        <v>68.584999999999994</v>
      </c>
      <c r="K56" s="71">
        <v>57.859000000000002</v>
      </c>
      <c r="L56" s="71">
        <v>92.421000000000006</v>
      </c>
      <c r="M56" s="71">
        <v>89.744088000000005</v>
      </c>
      <c r="N56" s="71">
        <v>126.425</v>
      </c>
      <c r="O56" s="71">
        <v>121.456</v>
      </c>
      <c r="P56" s="71">
        <v>108.738</v>
      </c>
      <c r="Q56" s="71">
        <v>169.26400000000001</v>
      </c>
      <c r="R56" s="71">
        <v>239.06700000000004</v>
      </c>
      <c r="S56" s="76">
        <v>248.35300000000001</v>
      </c>
      <c r="T56" s="71">
        <v>275.61700000000002</v>
      </c>
      <c r="U56" s="76">
        <v>273.74599999999998</v>
      </c>
    </row>
    <row r="57" spans="1:21" s="92" customFormat="1" ht="16.5" customHeight="1" x14ac:dyDescent="0.3">
      <c r="A57" s="86" t="s">
        <v>104</v>
      </c>
      <c r="B57" s="69" t="s">
        <v>105</v>
      </c>
      <c r="C57" s="71">
        <f>93.014+488.784-29.897-165.97</f>
        <v>385.93099999999993</v>
      </c>
      <c r="D57" s="83">
        <f>96.421+436.378-29.068-270.339</f>
        <v>233.392</v>
      </c>
      <c r="E57" s="83">
        <f>94.731+485.316-42.054-228.114</f>
        <v>309.87900000000002</v>
      </c>
      <c r="F57" s="83">
        <f>93.573+547.911-28.816-199.498-105.301-67.516</f>
        <v>240.35299999999989</v>
      </c>
      <c r="G57" s="80">
        <f>94.782+891.384-28.334-345.988-174.99-199.342</f>
        <v>237.51200000000003</v>
      </c>
      <c r="H57" s="70">
        <f>103.597+695.788-40.446-333.753-197.559</f>
        <v>227.62699999999998</v>
      </c>
      <c r="I57" s="70">
        <f>106.32+413.45-83.331-197.559</f>
        <v>238.87999999999997</v>
      </c>
      <c r="J57" s="71">
        <f>360.958+110.061-209.559</f>
        <v>261.46000000000004</v>
      </c>
      <c r="K57" s="71">
        <v>242.32099999999997</v>
      </c>
      <c r="L57" s="71">
        <v>187.64400000000001</v>
      </c>
      <c r="M57" s="71">
        <v>202.05788999999999</v>
      </c>
      <c r="N57" s="71">
        <v>235.51500000000001</v>
      </c>
      <c r="O57" s="71">
        <v>266.12200000000001</v>
      </c>
      <c r="P57" s="71">
        <v>287.52800000000002</v>
      </c>
      <c r="Q57" s="71">
        <v>322.75900000000001</v>
      </c>
      <c r="R57" s="71">
        <v>305.92099999999999</v>
      </c>
      <c r="S57" s="76">
        <v>309</v>
      </c>
      <c r="T57" s="71">
        <v>316.89999999999998</v>
      </c>
      <c r="U57" s="76">
        <v>322.10000000000002</v>
      </c>
    </row>
    <row r="58" spans="1:21" s="92" customFormat="1" ht="16.5" customHeight="1" x14ac:dyDescent="0.3">
      <c r="A58" s="81" t="s">
        <v>106</v>
      </c>
      <c r="B58" s="69" t="s">
        <v>107</v>
      </c>
      <c r="C58" s="71">
        <f>0+381.232-165.97</f>
        <v>215.26200000000003</v>
      </c>
      <c r="D58" s="83">
        <f>0+315.342-270.339</f>
        <v>45.002999999999986</v>
      </c>
      <c r="E58" s="83">
        <f>0+337.519-228.114</f>
        <v>109.405</v>
      </c>
      <c r="F58" s="83">
        <f>0+404.903-199.498-105.301-67.516</f>
        <v>32.588000000000022</v>
      </c>
      <c r="G58" s="80">
        <f>0+736.51-345.988-174.99-199.342</f>
        <v>16.189999999999969</v>
      </c>
      <c r="H58" s="70">
        <f>0+538.753-333.753-197.559</f>
        <v>7.4410000000000593</v>
      </c>
      <c r="I58" s="70">
        <f>0+265.108-197.559</f>
        <v>67.549000000000007</v>
      </c>
      <c r="J58" s="70">
        <f>218.096-209.559</f>
        <v>8.5370000000000061</v>
      </c>
      <c r="K58" s="70">
        <v>9.6329999999999991</v>
      </c>
      <c r="L58" s="70">
        <v>9.0510000000000002</v>
      </c>
      <c r="M58" s="70">
        <v>9.0152359999999998</v>
      </c>
      <c r="N58" s="70">
        <v>10.593</v>
      </c>
      <c r="O58" s="70">
        <v>11.407999999999999</v>
      </c>
      <c r="P58" s="70">
        <v>0</v>
      </c>
      <c r="Q58" s="70">
        <v>0</v>
      </c>
      <c r="R58" s="70"/>
      <c r="S58" s="172"/>
      <c r="T58" s="70"/>
      <c r="U58" s="172"/>
    </row>
    <row r="59" spans="1:21" s="92" customFormat="1" ht="16.5" customHeight="1" x14ac:dyDescent="0.3">
      <c r="A59" s="81" t="s">
        <v>108</v>
      </c>
      <c r="B59" s="69" t="s">
        <v>109</v>
      </c>
      <c r="C59" s="71">
        <f>93.014+102.14-29.897</f>
        <v>165.25700000000001</v>
      </c>
      <c r="D59" s="83">
        <f>96.421+115.062-29.068</f>
        <v>182.41499999999999</v>
      </c>
      <c r="E59" s="83">
        <f>94.731+141.166-42.054</f>
        <v>193.84299999999999</v>
      </c>
      <c r="F59" s="83">
        <f>93.573+135.374-28.816</f>
        <v>200.131</v>
      </c>
      <c r="G59" s="80">
        <f>94.782+147.742-28.334</f>
        <v>214.19</v>
      </c>
      <c r="H59" s="70">
        <f>103.597+151.037-40.446</f>
        <v>214.18800000000002</v>
      </c>
      <c r="I59" s="70">
        <f>106.32+140.792-83.331</f>
        <v>163.78100000000001</v>
      </c>
      <c r="J59" s="71">
        <f>136.694+110.061</f>
        <v>246.755</v>
      </c>
      <c r="K59" s="71">
        <v>228.69</v>
      </c>
      <c r="L59" s="71">
        <v>169.77699999999999</v>
      </c>
      <c r="M59" s="71">
        <v>185.22223500000001</v>
      </c>
      <c r="N59" s="71">
        <v>217.41900000000001</v>
      </c>
      <c r="O59" s="71">
        <v>246.37199999999999</v>
      </c>
      <c r="P59" s="71">
        <v>270.548</v>
      </c>
      <c r="Q59" s="71">
        <v>310.07600000000002</v>
      </c>
      <c r="R59" s="71">
        <v>299</v>
      </c>
      <c r="S59" s="76">
        <v>303</v>
      </c>
      <c r="T59" s="71">
        <v>310.89999999999998</v>
      </c>
      <c r="U59" s="76">
        <v>316.10000000000002</v>
      </c>
    </row>
    <row r="60" spans="1:21" s="92" customFormat="1" ht="16.5" customHeight="1" x14ac:dyDescent="0.3">
      <c r="A60" s="86" t="s">
        <v>110</v>
      </c>
      <c r="B60" s="69" t="s">
        <v>111</v>
      </c>
      <c r="C60" s="71">
        <f t="shared" ref="C60:I60" si="12">C55-C56-C57</f>
        <v>207.94100000000014</v>
      </c>
      <c r="D60" s="71">
        <f t="shared" si="12"/>
        <v>433.82400000000001</v>
      </c>
      <c r="E60" s="71">
        <f t="shared" si="12"/>
        <v>275.91399999999999</v>
      </c>
      <c r="F60" s="71">
        <f t="shared" si="12"/>
        <v>486.34700000000004</v>
      </c>
      <c r="G60" s="70">
        <f t="shared" si="12"/>
        <v>534.67499999999995</v>
      </c>
      <c r="H60" s="70">
        <f t="shared" si="12"/>
        <v>713.93599999999992</v>
      </c>
      <c r="I60" s="70">
        <f t="shared" si="12"/>
        <v>736.20999999999992</v>
      </c>
      <c r="J60" s="71">
        <f>J55-J56-J57</f>
        <v>619.94499999999994</v>
      </c>
      <c r="K60" s="71">
        <v>554.54999999999995</v>
      </c>
      <c r="L60" s="71">
        <v>596.66099999999994</v>
      </c>
      <c r="M60" s="71">
        <v>587.25502200000005</v>
      </c>
      <c r="N60" s="71">
        <v>566.16000000000008</v>
      </c>
      <c r="O60" s="71">
        <v>852.77500000000009</v>
      </c>
      <c r="P60" s="71">
        <v>972.88599999999997</v>
      </c>
      <c r="Q60" s="71">
        <v>704.38499999999976</v>
      </c>
      <c r="R60" s="71">
        <v>2530.9320000000002</v>
      </c>
      <c r="S60" s="76">
        <v>625.22599999999989</v>
      </c>
      <c r="T60" s="71">
        <v>593.51800000000014</v>
      </c>
      <c r="U60" s="76">
        <v>531.8610000000001</v>
      </c>
    </row>
    <row r="61" spans="1:21" s="92" customFormat="1" ht="18" customHeight="1" x14ac:dyDescent="0.3">
      <c r="A61" s="103" t="s">
        <v>112</v>
      </c>
      <c r="B61" s="69" t="s">
        <v>81</v>
      </c>
      <c r="C61" s="71">
        <f>891.537-891.537+921.194</f>
        <v>921.19399999999996</v>
      </c>
      <c r="D61" s="71">
        <f>916.245-916.245+933.641</f>
        <v>933.64099999999996</v>
      </c>
      <c r="E61" s="83">
        <f>877.284-877.284+882.742</f>
        <v>882.74199999999996</v>
      </c>
      <c r="F61" s="71">
        <f>1079.231-1079.231+1102.972</f>
        <v>1102.972</v>
      </c>
      <c r="G61" s="70">
        <f>1283.267-1283.267+1311.694</f>
        <v>1311.694</v>
      </c>
      <c r="H61" s="70">
        <f>1387.038-1387.038+1417.569</f>
        <v>1417.569</v>
      </c>
      <c r="I61" s="70">
        <f>1443.601-1443.601+1477.021</f>
        <v>1477.021</v>
      </c>
      <c r="J61" s="71">
        <f>1379.407-1379.407+1415.109</f>
        <v>1415.1089999999999</v>
      </c>
      <c r="K61" s="71">
        <v>1373.002</v>
      </c>
      <c r="L61" s="71">
        <v>1220.1679999999999</v>
      </c>
      <c r="M61" s="71">
        <v>1209.7470000000001</v>
      </c>
      <c r="N61" s="71">
        <v>1164.9349999999999</v>
      </c>
      <c r="O61" s="71">
        <v>1104.6110000000001</v>
      </c>
      <c r="P61" s="71">
        <v>1099.038</v>
      </c>
      <c r="Q61" s="71">
        <v>1133.8109999999999</v>
      </c>
      <c r="R61" s="71">
        <v>1085.8029999999999</v>
      </c>
      <c r="S61" s="76">
        <v>1384.229</v>
      </c>
      <c r="T61" s="71">
        <v>1895.8910000000001</v>
      </c>
      <c r="U61" s="76">
        <v>2333.777</v>
      </c>
    </row>
    <row r="62" spans="1:21" s="92" customFormat="1" ht="16.5" customHeight="1" x14ac:dyDescent="0.3">
      <c r="A62" s="104" t="s">
        <v>17</v>
      </c>
      <c r="B62" s="69" t="s">
        <v>85</v>
      </c>
      <c r="C62" s="71">
        <f>891.537-891.537+921.194</f>
        <v>921.19399999999996</v>
      </c>
      <c r="D62" s="71">
        <f>916.245-916.245+933.641</f>
        <v>933.64099999999996</v>
      </c>
      <c r="E62" s="83">
        <f>877.284-877.284+882.742</f>
        <v>882.74199999999996</v>
      </c>
      <c r="F62" s="71">
        <f>1079.231-1079.231+1102.972</f>
        <v>1102.972</v>
      </c>
      <c r="G62" s="70">
        <f>1283.267-1283.267+1311.694</f>
        <v>1311.694</v>
      </c>
      <c r="H62" s="70">
        <f>1387.038-1387.038+1417.569</f>
        <v>1417.569</v>
      </c>
      <c r="I62" s="70">
        <f>1443.601-1443.601+1477.021</f>
        <v>1477.021</v>
      </c>
      <c r="J62" s="71">
        <f>1379.407-1379.407+1415.109</f>
        <v>1415.1089999999999</v>
      </c>
      <c r="K62" s="71">
        <v>1373.002</v>
      </c>
      <c r="L62" s="71">
        <v>1220.1679999999999</v>
      </c>
      <c r="M62" s="71">
        <v>1209.7470000000001</v>
      </c>
      <c r="N62" s="71">
        <v>1164.9349999999999</v>
      </c>
      <c r="O62" s="71">
        <v>1104.6110000000001</v>
      </c>
      <c r="P62" s="71">
        <v>1099.038</v>
      </c>
      <c r="Q62" s="71">
        <v>1133.8109999999999</v>
      </c>
      <c r="R62" s="71">
        <v>1085.8029999999999</v>
      </c>
      <c r="S62" s="76">
        <v>1384.229</v>
      </c>
      <c r="T62" s="71">
        <v>1895.8910000000001</v>
      </c>
      <c r="U62" s="76">
        <v>2333.777</v>
      </c>
    </row>
    <row r="63" spans="1:21" s="92" customFormat="1" ht="16.5" customHeight="1" x14ac:dyDescent="0.3">
      <c r="A63" s="104" t="s">
        <v>113</v>
      </c>
      <c r="B63" s="94" t="s">
        <v>114</v>
      </c>
      <c r="C63" s="71">
        <v>0</v>
      </c>
      <c r="D63" s="71">
        <v>0</v>
      </c>
      <c r="E63" s="71">
        <v>0</v>
      </c>
      <c r="F63" s="71">
        <v>0</v>
      </c>
      <c r="G63" s="70">
        <v>0</v>
      </c>
      <c r="H63" s="70">
        <v>0</v>
      </c>
      <c r="I63" s="70">
        <f>0.003-0.003</f>
        <v>0</v>
      </c>
      <c r="J63" s="70">
        <v>0</v>
      </c>
      <c r="K63" s="70">
        <v>0</v>
      </c>
      <c r="L63" s="70">
        <v>0</v>
      </c>
      <c r="M63" s="70">
        <v>0</v>
      </c>
      <c r="N63" s="70">
        <v>0</v>
      </c>
      <c r="O63" s="70">
        <v>0</v>
      </c>
      <c r="P63" s="70">
        <v>0</v>
      </c>
      <c r="Q63" s="70">
        <v>0</v>
      </c>
      <c r="R63" s="70">
        <v>0</v>
      </c>
      <c r="S63" s="172">
        <v>0</v>
      </c>
      <c r="T63" s="70">
        <v>0</v>
      </c>
      <c r="U63" s="172">
        <v>0</v>
      </c>
    </row>
    <row r="64" spans="1:21" s="92" customFormat="1" ht="16.5" customHeight="1" x14ac:dyDescent="0.3">
      <c r="A64" s="103" t="s">
        <v>18</v>
      </c>
      <c r="B64" s="69" t="s">
        <v>115</v>
      </c>
      <c r="C64" s="71">
        <f>11147.478-11147.478+11147.482</f>
        <v>11147.482</v>
      </c>
      <c r="D64" s="71">
        <f>12334.676-12334.676+12334.68</f>
        <v>12334.68</v>
      </c>
      <c r="E64" s="71">
        <f>13234.156-13234.156+13234.159</f>
        <v>13234.159</v>
      </c>
      <c r="F64" s="71">
        <f>13213.632-13213.632+13213.635</f>
        <v>13213.635</v>
      </c>
      <c r="G64" s="70">
        <f>13743.613-13743.613+13743.616</f>
        <v>13743.616</v>
      </c>
      <c r="H64" s="70">
        <f>14097.725-14097.725+14097.726</f>
        <v>14097.726000000001</v>
      </c>
      <c r="I64" s="70">
        <f>14500.93-14500.93+14500.932</f>
        <v>14500.932000000001</v>
      </c>
      <c r="J64" s="71">
        <f>14960.204-14960.204+14960.206</f>
        <v>14960.206</v>
      </c>
      <c r="K64" s="71">
        <v>15520.054</v>
      </c>
      <c r="L64" s="71">
        <v>15719.607</v>
      </c>
      <c r="M64" s="71">
        <v>14738.058999999999</v>
      </c>
      <c r="N64" s="71">
        <v>15714.947</v>
      </c>
      <c r="O64" s="71">
        <v>16739.489000000001</v>
      </c>
      <c r="P64" s="71">
        <v>18376.468000000001</v>
      </c>
      <c r="Q64" s="71">
        <v>19611.579000000002</v>
      </c>
      <c r="R64" s="71">
        <v>23953.822</v>
      </c>
      <c r="S64" s="76">
        <v>26034.163999999997</v>
      </c>
      <c r="T64" s="71">
        <v>27372.504999999997</v>
      </c>
      <c r="U64" s="76">
        <v>28764.080999999998</v>
      </c>
    </row>
    <row r="65" spans="1:32" ht="16.5" customHeight="1" x14ac:dyDescent="0.3">
      <c r="A65" s="86" t="s">
        <v>116</v>
      </c>
      <c r="B65" s="69" t="s">
        <v>117</v>
      </c>
      <c r="C65" s="71">
        <f>7987.782-7987.782+7987.786</f>
        <v>7987.7860000000001</v>
      </c>
      <c r="D65" s="71">
        <f>9049.218-9049.218+9049.222</f>
        <v>9049.2219999999998</v>
      </c>
      <c r="E65" s="71">
        <f>9752.247-9752.247+9752.25</f>
        <v>9752.25</v>
      </c>
      <c r="F65" s="71">
        <f>9820.762-9820.762+9820.765</f>
        <v>9820.7649999999994</v>
      </c>
      <c r="G65" s="70">
        <f>10242.103-10242.103+10242.106</f>
        <v>10242.106</v>
      </c>
      <c r="H65" s="70">
        <f>10433.272-10433.272+10443.273-10443.273+10433.273</f>
        <v>10433.272999999999</v>
      </c>
      <c r="I65" s="70">
        <f>10670.954-10670.954+10670.956</f>
        <v>10670.956</v>
      </c>
      <c r="J65" s="71">
        <f>10967.34-10967.34+10967.342</f>
        <v>10967.342000000001</v>
      </c>
      <c r="K65" s="71">
        <v>11281.623</v>
      </c>
      <c r="L65" s="71">
        <v>11470.415999999999</v>
      </c>
      <c r="M65" s="71">
        <v>11861.315000000001</v>
      </c>
      <c r="N65" s="71">
        <v>12604.505999999999</v>
      </c>
      <c r="O65" s="71">
        <v>13694.215</v>
      </c>
      <c r="P65" s="71">
        <v>14971.645</v>
      </c>
      <c r="Q65" s="71">
        <v>15883.851000000001</v>
      </c>
      <c r="R65" s="71">
        <v>19162.61</v>
      </c>
      <c r="S65" s="76">
        <v>21107.635999999999</v>
      </c>
      <c r="T65" s="71">
        <v>22063.263999999999</v>
      </c>
      <c r="U65" s="76">
        <v>23195.696</v>
      </c>
      <c r="X65" s="240"/>
      <c r="Y65" s="240"/>
      <c r="Z65" s="120"/>
      <c r="AA65" s="120"/>
      <c r="AB65" s="120"/>
      <c r="AD65" s="240"/>
      <c r="AE65" s="240"/>
      <c r="AF65" s="240"/>
    </row>
    <row r="66" spans="1:32" ht="16.5" customHeight="1" x14ac:dyDescent="0.3">
      <c r="A66" s="105" t="s">
        <v>118</v>
      </c>
      <c r="B66" s="94" t="s">
        <v>119</v>
      </c>
      <c r="C66" s="71">
        <v>70.034000000000006</v>
      </c>
      <c r="D66" s="71">
        <v>56.390999999999998</v>
      </c>
      <c r="E66" s="71">
        <v>104.119</v>
      </c>
      <c r="F66" s="71">
        <v>72.921000000000006</v>
      </c>
      <c r="G66" s="70">
        <v>57.134</v>
      </c>
      <c r="H66" s="70">
        <v>38.021999999999998</v>
      </c>
      <c r="I66" s="70">
        <v>50.674999999999997</v>
      </c>
      <c r="J66" s="71">
        <v>39.174999999999997</v>
      </c>
      <c r="K66" s="71">
        <v>69.275999999999996</v>
      </c>
      <c r="L66" s="71">
        <v>53.323</v>
      </c>
      <c r="M66" s="71">
        <v>53.108972999999999</v>
      </c>
      <c r="N66" s="71">
        <v>45.393000000000001</v>
      </c>
      <c r="O66" s="71">
        <v>47.042000000000002</v>
      </c>
      <c r="P66" s="71">
        <v>40.366999999999997</v>
      </c>
      <c r="Q66" s="71">
        <v>60.981000000000002</v>
      </c>
      <c r="R66" s="71">
        <v>69.12299999999999</v>
      </c>
      <c r="S66" s="76">
        <v>57.557000000000002</v>
      </c>
      <c r="T66" s="71">
        <v>60.094000000000001</v>
      </c>
      <c r="U66" s="76">
        <v>60.094000000000001</v>
      </c>
      <c r="AD66" s="240"/>
      <c r="AE66" s="240"/>
      <c r="AF66" s="240"/>
    </row>
    <row r="67" spans="1:32" ht="16.5" customHeight="1" x14ac:dyDescent="0.3">
      <c r="A67" s="105" t="s">
        <v>120</v>
      </c>
      <c r="B67" s="94" t="s">
        <v>121</v>
      </c>
      <c r="C67" s="71">
        <v>246.61600000000001</v>
      </c>
      <c r="D67" s="71">
        <v>316.95999999999998</v>
      </c>
      <c r="E67" s="71">
        <v>338.78500000000003</v>
      </c>
      <c r="F67" s="71">
        <v>381.76400000000001</v>
      </c>
      <c r="G67" s="70">
        <v>428.45800000000003</v>
      </c>
      <c r="H67" s="70">
        <f>399.742+4.453</f>
        <v>404.19499999999999</v>
      </c>
      <c r="I67" s="70">
        <f>381.109+5.313</f>
        <v>386.42199999999997</v>
      </c>
      <c r="J67" s="71">
        <f>415.455+5.459</f>
        <v>420.91399999999999</v>
      </c>
      <c r="K67" s="71">
        <v>479.09399999999999</v>
      </c>
      <c r="L67" s="71">
        <v>570.71899999999994</v>
      </c>
      <c r="M67" s="71">
        <v>667.16800000000001</v>
      </c>
      <c r="N67" s="71">
        <v>768.67500000000007</v>
      </c>
      <c r="O67" s="71">
        <v>1052.1990000000001</v>
      </c>
      <c r="P67" s="71">
        <v>1131.2840000000001</v>
      </c>
      <c r="Q67" s="71">
        <v>1034.3779999999999</v>
      </c>
      <c r="R67" s="71">
        <v>1074.1680000000001</v>
      </c>
      <c r="S67" s="76">
        <v>1227.817</v>
      </c>
      <c r="T67" s="71">
        <v>1346.0840000000001</v>
      </c>
      <c r="U67" s="76">
        <v>1448.894</v>
      </c>
      <c r="AD67" s="240"/>
      <c r="AE67" s="240"/>
      <c r="AF67" s="240"/>
    </row>
    <row r="68" spans="1:32" ht="16.5" customHeight="1" x14ac:dyDescent="0.3">
      <c r="A68" s="105" t="s">
        <v>122</v>
      </c>
      <c r="B68" s="69" t="s">
        <v>123</v>
      </c>
      <c r="C68" s="71">
        <v>4531.942</v>
      </c>
      <c r="D68" s="71">
        <v>5034.7359999999999</v>
      </c>
      <c r="E68" s="71">
        <v>5244.51</v>
      </c>
      <c r="F68" s="71">
        <v>5390.7460000000001</v>
      </c>
      <c r="G68" s="70">
        <v>5639.5029999999997</v>
      </c>
      <c r="H68" s="70">
        <f>5893.823+157.393+1.815</f>
        <v>6053.0309999999999</v>
      </c>
      <c r="I68" s="70">
        <f>6240.862+173.728+1.904</f>
        <v>6416.4940000000006</v>
      </c>
      <c r="J68" s="71">
        <f>6414.203+182.59</f>
        <v>6596.7930000000006</v>
      </c>
      <c r="K68" s="71">
        <v>6829.8070000000007</v>
      </c>
      <c r="L68" s="71">
        <v>7128.82</v>
      </c>
      <c r="M68" s="71">
        <v>7422.9960000000001</v>
      </c>
      <c r="N68" s="71">
        <v>7746.723</v>
      </c>
      <c r="O68" s="71">
        <v>8162.2580000000007</v>
      </c>
      <c r="P68" s="71">
        <v>8465.0280000000002</v>
      </c>
      <c r="Q68" s="71">
        <v>8750.5820000000003</v>
      </c>
      <c r="R68" s="71">
        <v>10663.585000000001</v>
      </c>
      <c r="S68" s="76">
        <v>11819.124</v>
      </c>
      <c r="T68" s="71">
        <v>12596.091</v>
      </c>
      <c r="U68" s="76">
        <v>13100.028</v>
      </c>
      <c r="AD68" s="240"/>
      <c r="AE68" s="240"/>
      <c r="AF68" s="240"/>
    </row>
    <row r="69" spans="1:32" ht="16.5" customHeight="1" x14ac:dyDescent="0.3">
      <c r="A69" s="105" t="s">
        <v>124</v>
      </c>
      <c r="B69" s="94" t="s">
        <v>125</v>
      </c>
      <c r="C69" s="71">
        <v>66.120999999999995</v>
      </c>
      <c r="D69" s="71">
        <v>172.43</v>
      </c>
      <c r="E69" s="71">
        <v>150.339</v>
      </c>
      <c r="F69" s="71">
        <v>163.334</v>
      </c>
      <c r="G69" s="71">
        <v>175.773</v>
      </c>
      <c r="H69" s="71">
        <v>174.30799999999999</v>
      </c>
      <c r="I69" s="71">
        <v>154.721</v>
      </c>
      <c r="J69" s="71">
        <v>158.624</v>
      </c>
      <c r="K69" s="71">
        <v>171.63</v>
      </c>
      <c r="L69" s="71">
        <v>167.655</v>
      </c>
      <c r="M69" s="71">
        <v>183.74527900000001</v>
      </c>
      <c r="N69" s="71">
        <v>214.19499999999999</v>
      </c>
      <c r="O69" s="71">
        <v>329.21199999999999</v>
      </c>
      <c r="P69" s="71">
        <v>289.83999999999997</v>
      </c>
      <c r="Q69" s="71">
        <v>239.21100000000001</v>
      </c>
      <c r="R69" s="71">
        <v>262.58599999999996</v>
      </c>
      <c r="S69" s="76">
        <v>271.63600000000002</v>
      </c>
      <c r="T69" s="71">
        <v>273.072</v>
      </c>
      <c r="U69" s="76">
        <v>276.53899999999999</v>
      </c>
    </row>
    <row r="70" spans="1:32" ht="16.5" customHeight="1" x14ac:dyDescent="0.3">
      <c r="A70" s="105" t="s">
        <v>126</v>
      </c>
      <c r="B70" s="94" t="s">
        <v>127</v>
      </c>
      <c r="C70" s="71">
        <f t="shared" ref="C70:J70" si="13">SUM(C71:C76)</f>
        <v>1086.5720000000001</v>
      </c>
      <c r="D70" s="71">
        <f t="shared" si="13"/>
        <v>1211.0309999999999</v>
      </c>
      <c r="E70" s="71">
        <f t="shared" si="13"/>
        <v>1364.961</v>
      </c>
      <c r="F70" s="71">
        <f t="shared" si="13"/>
        <v>1376.3489999999999</v>
      </c>
      <c r="G70" s="71">
        <f t="shared" si="13"/>
        <v>1381.508</v>
      </c>
      <c r="H70" s="71">
        <f t="shared" si="13"/>
        <v>1374.616</v>
      </c>
      <c r="I70" s="71">
        <f t="shared" si="13"/>
        <v>1362.7940000000001</v>
      </c>
      <c r="J70" s="71">
        <f t="shared" si="13"/>
        <v>1336.7550000000001</v>
      </c>
      <c r="K70" s="71">
        <v>1318.2619999999999</v>
      </c>
      <c r="L70" s="71">
        <v>1309.6369999999999</v>
      </c>
      <c r="M70" s="71">
        <v>1346.0884320000002</v>
      </c>
      <c r="N70" s="71">
        <v>1538.71</v>
      </c>
      <c r="O70" s="71">
        <v>2571.672</v>
      </c>
      <c r="P70" s="71">
        <v>3350.5859999999998</v>
      </c>
      <c r="Q70" s="71">
        <v>2751.0970000000002</v>
      </c>
      <c r="R70" s="71">
        <v>2787.799</v>
      </c>
      <c r="S70" s="76">
        <v>3086.8159999999998</v>
      </c>
      <c r="T70" s="71">
        <v>3155.3980000000001</v>
      </c>
      <c r="U70" s="76">
        <v>3216.652</v>
      </c>
      <c r="AD70" s="240"/>
      <c r="AE70" s="240"/>
      <c r="AF70" s="240"/>
    </row>
    <row r="71" spans="1:32" ht="16.5" customHeight="1" x14ac:dyDescent="0.3">
      <c r="A71" s="81" t="s">
        <v>128</v>
      </c>
      <c r="B71" s="94" t="s">
        <v>129</v>
      </c>
      <c r="C71" s="71">
        <v>268.47500000000002</v>
      </c>
      <c r="D71" s="71">
        <v>308.18900000000002</v>
      </c>
      <c r="E71" s="71">
        <v>318.96699999999998</v>
      </c>
      <c r="F71" s="71">
        <v>315.02</v>
      </c>
      <c r="G71" s="71">
        <v>316.46300000000002</v>
      </c>
      <c r="H71" s="71">
        <v>318.49400000000003</v>
      </c>
      <c r="I71" s="71">
        <v>319.09399999999999</v>
      </c>
      <c r="J71" s="71">
        <v>315.59899999999999</v>
      </c>
      <c r="K71" s="71">
        <v>312.51400000000001</v>
      </c>
      <c r="L71" s="71">
        <v>311.06200000000001</v>
      </c>
      <c r="M71" s="71">
        <v>312.72126300000002</v>
      </c>
      <c r="N71" s="71">
        <v>322.29700000000003</v>
      </c>
      <c r="O71" s="71">
        <v>332.11599999999999</v>
      </c>
      <c r="P71" s="71">
        <v>343.22199999999998</v>
      </c>
      <c r="Q71" s="71">
        <v>372.58800000000002</v>
      </c>
      <c r="R71" s="71">
        <v>776.05799999999999</v>
      </c>
      <c r="S71" s="76">
        <v>817.36300000000006</v>
      </c>
      <c r="T71" s="71">
        <v>820.91700000000003</v>
      </c>
      <c r="U71" s="76">
        <v>824.471</v>
      </c>
      <c r="X71" s="240"/>
      <c r="Y71" s="240"/>
      <c r="Z71" s="240"/>
    </row>
    <row r="72" spans="1:32" ht="16.5" customHeight="1" x14ac:dyDescent="0.3">
      <c r="A72" s="81" t="s">
        <v>130</v>
      </c>
      <c r="B72" s="94" t="s">
        <v>131</v>
      </c>
      <c r="C72" s="71">
        <v>22.914999999999999</v>
      </c>
      <c r="D72" s="71">
        <v>8.7729999999999997</v>
      </c>
      <c r="E72" s="71">
        <v>8.8369999999999997</v>
      </c>
      <c r="F72" s="71">
        <v>8.8719999999999999</v>
      </c>
      <c r="G72" s="71">
        <v>8.8829999999999991</v>
      </c>
      <c r="H72" s="71">
        <v>8.9819999999999993</v>
      </c>
      <c r="I72" s="71">
        <v>35.101999999999997</v>
      </c>
      <c r="J72" s="71">
        <v>41.463000000000001</v>
      </c>
      <c r="K72" s="71">
        <v>43.89</v>
      </c>
      <c r="L72" s="71">
        <v>44.012</v>
      </c>
      <c r="M72" s="71">
        <v>44.011204999999997</v>
      </c>
      <c r="N72" s="71">
        <v>43.396999999999998</v>
      </c>
      <c r="O72" s="71">
        <v>42.915999999999997</v>
      </c>
      <c r="P72" s="71">
        <v>42.548000000000002</v>
      </c>
      <c r="Q72" s="71">
        <v>44.052999999999997</v>
      </c>
      <c r="R72" s="71">
        <v>41.878999999999998</v>
      </c>
      <c r="S72" s="76">
        <v>43.499000000000002</v>
      </c>
      <c r="T72" s="71">
        <v>43.499000000000002</v>
      </c>
      <c r="U72" s="76">
        <v>43.499000000000002</v>
      </c>
    </row>
    <row r="73" spans="1:32" ht="16.5" customHeight="1" x14ac:dyDescent="0.3">
      <c r="A73" s="81" t="s">
        <v>132</v>
      </c>
      <c r="B73" s="94" t="s">
        <v>133</v>
      </c>
      <c r="C73" s="71">
        <v>0</v>
      </c>
      <c r="D73" s="83">
        <v>268.46499999999997</v>
      </c>
      <c r="E73" s="83">
        <v>334.488</v>
      </c>
      <c r="F73" s="83">
        <v>352.24</v>
      </c>
      <c r="G73" s="83">
        <v>343.54300000000001</v>
      </c>
      <c r="H73" s="71">
        <v>349.31599999999997</v>
      </c>
      <c r="I73" s="71">
        <v>356.00200000000001</v>
      </c>
      <c r="J73" s="71">
        <v>355.279</v>
      </c>
      <c r="K73" s="71">
        <v>352.44400000000002</v>
      </c>
      <c r="L73" s="71">
        <v>361.29899999999998</v>
      </c>
      <c r="M73" s="71">
        <v>368.68789400000003</v>
      </c>
      <c r="N73" s="71">
        <v>377.34199999999998</v>
      </c>
      <c r="O73" s="71">
        <v>581.63900000000001</v>
      </c>
      <c r="P73" s="71">
        <v>649.85400000000004</v>
      </c>
      <c r="Q73" s="71">
        <v>605.72400000000005</v>
      </c>
      <c r="R73" s="71">
        <v>716.85400000000004</v>
      </c>
      <c r="S73" s="76">
        <v>745.77</v>
      </c>
      <c r="T73" s="71">
        <v>777.46799999999996</v>
      </c>
      <c r="U73" s="76">
        <v>806.62199999999996</v>
      </c>
    </row>
    <row r="74" spans="1:32" ht="16.5" customHeight="1" x14ac:dyDescent="0.3">
      <c r="A74" s="81" t="s">
        <v>134</v>
      </c>
      <c r="B74" s="94" t="s">
        <v>135</v>
      </c>
      <c r="C74" s="71">
        <v>247.214</v>
      </c>
      <c r="D74" s="83">
        <v>275.601</v>
      </c>
      <c r="E74" s="83">
        <v>322.87700000000001</v>
      </c>
      <c r="F74" s="83">
        <v>313.17500000000001</v>
      </c>
      <c r="G74" s="83">
        <v>308.98899999999998</v>
      </c>
      <c r="H74" s="71">
        <v>273.64400000000001</v>
      </c>
      <c r="I74" s="71">
        <v>244.45699999999999</v>
      </c>
      <c r="J74" s="71">
        <v>213.18100000000001</v>
      </c>
      <c r="K74" s="71">
        <v>182.68600000000001</v>
      </c>
      <c r="L74" s="71">
        <v>153.786</v>
      </c>
      <c r="M74" s="71">
        <v>124.999</v>
      </c>
      <c r="N74" s="71">
        <v>111.081</v>
      </c>
      <c r="O74" s="71">
        <v>112.911</v>
      </c>
      <c r="P74" s="71">
        <v>104.554</v>
      </c>
      <c r="Q74" s="71">
        <v>106.746</v>
      </c>
      <c r="R74" s="71">
        <v>125.721</v>
      </c>
      <c r="S74" s="76">
        <v>262.32100000000003</v>
      </c>
      <c r="T74" s="71">
        <v>269.62400000000002</v>
      </c>
      <c r="U74" s="76">
        <v>279.666</v>
      </c>
    </row>
    <row r="75" spans="1:32" ht="16.5" customHeight="1" x14ac:dyDescent="0.3">
      <c r="A75" s="81" t="s">
        <v>136</v>
      </c>
      <c r="B75" s="94" t="s">
        <v>137</v>
      </c>
      <c r="C75" s="71">
        <v>177.84200000000001</v>
      </c>
      <c r="D75" s="83">
        <v>184.589</v>
      </c>
      <c r="E75" s="83">
        <v>207.06299999999999</v>
      </c>
      <c r="F75" s="83">
        <v>210.56700000000001</v>
      </c>
      <c r="G75" s="83">
        <v>225.48699999999999</v>
      </c>
      <c r="H75" s="71">
        <v>232.52099999999999</v>
      </c>
      <c r="I75" s="71">
        <v>235.774</v>
      </c>
      <c r="J75" s="71">
        <v>231.63499999999999</v>
      </c>
      <c r="K75" s="71">
        <v>226.34299999999999</v>
      </c>
      <c r="L75" s="71">
        <v>243.81100000000001</v>
      </c>
      <c r="M75" s="71">
        <v>292.86207000000002</v>
      </c>
      <c r="N75" s="71">
        <v>395.51100000000002</v>
      </c>
      <c r="O75" s="71">
        <v>981.529</v>
      </c>
      <c r="P75" s="71">
        <v>1696.183</v>
      </c>
      <c r="Q75" s="71">
        <v>811.00199999999995</v>
      </c>
      <c r="R75" s="71">
        <v>595.73</v>
      </c>
      <c r="S75" s="76">
        <v>666.495</v>
      </c>
      <c r="T75" s="71">
        <v>681.47</v>
      </c>
      <c r="U75" s="76">
        <v>690.69399999999996</v>
      </c>
    </row>
    <row r="76" spans="1:32" ht="16.5" customHeight="1" x14ac:dyDescent="0.3">
      <c r="A76" s="81" t="s">
        <v>23</v>
      </c>
      <c r="B76" s="94" t="s">
        <v>138</v>
      </c>
      <c r="C76" s="71">
        <v>370.12599999999998</v>
      </c>
      <c r="D76" s="83">
        <v>165.41399999999999</v>
      </c>
      <c r="E76" s="83">
        <v>172.72900000000001</v>
      </c>
      <c r="F76" s="83">
        <v>176.47499999999999</v>
      </c>
      <c r="G76" s="83">
        <v>178.143</v>
      </c>
      <c r="H76" s="71">
        <v>191.65899999999999</v>
      </c>
      <c r="I76" s="71">
        <v>172.36500000000001</v>
      </c>
      <c r="J76" s="71">
        <v>179.59800000000001</v>
      </c>
      <c r="K76" s="71">
        <v>200.38499999999999</v>
      </c>
      <c r="L76" s="71">
        <v>195.667</v>
      </c>
      <c r="M76" s="71">
        <v>202.80699999999999</v>
      </c>
      <c r="N76" s="71">
        <v>289.08199999999999</v>
      </c>
      <c r="O76" s="71">
        <v>520.56100000000004</v>
      </c>
      <c r="P76" s="71">
        <v>514.22500000000002</v>
      </c>
      <c r="Q76" s="71">
        <v>810.98400000000004</v>
      </c>
      <c r="R76" s="71">
        <v>531.55699999999979</v>
      </c>
      <c r="S76" s="76">
        <v>551.36799999999994</v>
      </c>
      <c r="T76" s="71">
        <v>562.42000000000007</v>
      </c>
      <c r="U76" s="76">
        <v>571.69999999999982</v>
      </c>
    </row>
    <row r="77" spans="1:32" ht="16.5" customHeight="1" x14ac:dyDescent="0.3">
      <c r="A77" s="105" t="s">
        <v>139</v>
      </c>
      <c r="B77" s="94" t="s">
        <v>140</v>
      </c>
      <c r="C77" s="71">
        <f>1208.545</f>
        <v>1208.5450000000001</v>
      </c>
      <c r="D77" s="71">
        <f>1399.85</f>
        <v>1399.85</v>
      </c>
      <c r="E77" s="71">
        <f>1564.23</f>
        <v>1564.23</v>
      </c>
      <c r="F77" s="71">
        <f>1446.947</f>
        <v>1446.9469999999999</v>
      </c>
      <c r="G77" s="71">
        <f>1599.291</f>
        <v>1599.2909999999999</v>
      </c>
      <c r="H77" s="71">
        <f>1541.466</f>
        <v>1541.4659999999999</v>
      </c>
      <c r="I77" s="71">
        <v>1447.056</v>
      </c>
      <c r="J77" s="71">
        <f>1582.23+0.002</f>
        <v>1582.232</v>
      </c>
      <c r="K77" s="71">
        <v>1717.7539999999999</v>
      </c>
      <c r="L77" s="71">
        <v>1636.7629999999999</v>
      </c>
      <c r="M77" s="71">
        <v>1574.481</v>
      </c>
      <c r="N77" s="71">
        <v>1563.624</v>
      </c>
      <c r="O77" s="71">
        <v>1537.6809999999998</v>
      </c>
      <c r="P77" s="71">
        <v>1764.6010000000001</v>
      </c>
      <c r="Q77" s="71">
        <v>1785.1490000000001</v>
      </c>
      <c r="R77" s="71">
        <v>2609.3990000000003</v>
      </c>
      <c r="S77" s="76">
        <v>2692.674</v>
      </c>
      <c r="T77" s="71">
        <v>2953.585</v>
      </c>
      <c r="U77" s="76">
        <v>3434.6410000000001</v>
      </c>
    </row>
    <row r="78" spans="1:32" ht="16.5" customHeight="1" x14ac:dyDescent="0.3">
      <c r="A78" s="106" t="s">
        <v>141</v>
      </c>
      <c r="B78" s="94" t="s">
        <v>142</v>
      </c>
      <c r="C78" s="71">
        <v>211.08799999999999</v>
      </c>
      <c r="D78" s="71">
        <v>235.84200000000001</v>
      </c>
      <c r="E78" s="71">
        <v>221.084</v>
      </c>
      <c r="F78" s="71">
        <v>237.16800000000001</v>
      </c>
      <c r="G78" s="71">
        <v>238.774</v>
      </c>
      <c r="H78" s="71">
        <v>262.14800000000002</v>
      </c>
      <c r="I78" s="71">
        <v>232.90899999999999</v>
      </c>
      <c r="J78" s="71">
        <v>227.756</v>
      </c>
      <c r="K78" s="71">
        <v>325.654</v>
      </c>
      <c r="L78" s="71">
        <v>336.62799999999999</v>
      </c>
      <c r="M78" s="71">
        <v>385.50399999999996</v>
      </c>
      <c r="N78" s="71">
        <v>360.84299999999996</v>
      </c>
      <c r="O78" s="71">
        <v>370.65200000000004</v>
      </c>
      <c r="P78" s="71">
        <v>472.47700000000003</v>
      </c>
      <c r="Q78" s="71">
        <v>496.18</v>
      </c>
      <c r="R78" s="71">
        <v>454.245</v>
      </c>
      <c r="S78" s="76">
        <v>500.38799999999998</v>
      </c>
      <c r="T78" s="71">
        <v>550.31299999999999</v>
      </c>
      <c r="U78" s="76">
        <v>589.57799999999997</v>
      </c>
    </row>
    <row r="79" spans="1:32" ht="16.5" customHeight="1" x14ac:dyDescent="0.3">
      <c r="A79" s="106" t="s">
        <v>143</v>
      </c>
      <c r="B79" s="94" t="s">
        <v>144</v>
      </c>
      <c r="C79" s="71">
        <v>997.45699999999999</v>
      </c>
      <c r="D79" s="71">
        <v>1162.3820000000001</v>
      </c>
      <c r="E79" s="71">
        <v>1341.2249999999999</v>
      </c>
      <c r="F79" s="71">
        <v>1207.549</v>
      </c>
      <c r="G79" s="71">
        <v>1358.204</v>
      </c>
      <c r="H79" s="71">
        <v>1276.828</v>
      </c>
      <c r="I79" s="71">
        <v>1211.5350000000001</v>
      </c>
      <c r="J79" s="71">
        <v>1351.6279999999999</v>
      </c>
      <c r="K79" s="71">
        <v>1392.1</v>
      </c>
      <c r="L79" s="71">
        <v>1300.135</v>
      </c>
      <c r="M79" s="71">
        <v>1188.977441</v>
      </c>
      <c r="N79" s="71">
        <v>1202.7809999999999</v>
      </c>
      <c r="O79" s="71">
        <v>1167.029</v>
      </c>
      <c r="P79" s="71">
        <v>1292.124</v>
      </c>
      <c r="Q79" s="71">
        <v>1288.9690000000001</v>
      </c>
      <c r="R79" s="71">
        <v>2081.4</v>
      </c>
      <c r="S79" s="76">
        <v>2112.48</v>
      </c>
      <c r="T79" s="71">
        <v>2321.46</v>
      </c>
      <c r="U79" s="76">
        <v>2761.2</v>
      </c>
    </row>
    <row r="80" spans="1:32" ht="16.5" customHeight="1" x14ac:dyDescent="0.3">
      <c r="A80" s="85" t="s">
        <v>145</v>
      </c>
      <c r="B80" s="94" t="s">
        <v>146</v>
      </c>
      <c r="C80" s="70">
        <v>3159.6959999999999</v>
      </c>
      <c r="D80" s="70">
        <v>3285.4580000000001</v>
      </c>
      <c r="E80" s="70">
        <v>3481.9090000000001</v>
      </c>
      <c r="F80" s="70">
        <v>3392.87</v>
      </c>
      <c r="G80" s="71">
        <v>3501.51</v>
      </c>
      <c r="H80" s="71">
        <v>3664.453</v>
      </c>
      <c r="I80" s="70">
        <v>3829.9760000000001</v>
      </c>
      <c r="J80" s="70">
        <v>3992.864</v>
      </c>
      <c r="K80" s="71">
        <v>4238.4309999999996</v>
      </c>
      <c r="L80" s="71">
        <v>4249.1909999999998</v>
      </c>
      <c r="M80" s="70">
        <v>2876.7440000000001</v>
      </c>
      <c r="N80" s="71">
        <v>3110.4409999999998</v>
      </c>
      <c r="O80" s="71">
        <v>3045.2739999999999</v>
      </c>
      <c r="P80" s="71">
        <v>3404.8229999999999</v>
      </c>
      <c r="Q80" s="71">
        <v>3727.7280000000001</v>
      </c>
      <c r="R80" s="71">
        <v>4791.2119999999995</v>
      </c>
      <c r="S80" s="76">
        <v>4926.5280000000002</v>
      </c>
      <c r="T80" s="71">
        <v>5309.241</v>
      </c>
      <c r="U80" s="76">
        <v>5568.3850000000002</v>
      </c>
      <c r="V80" s="93"/>
    </row>
    <row r="81" spans="1:21" s="92" customFormat="1" ht="16.5" customHeight="1" x14ac:dyDescent="0.3">
      <c r="A81" s="103" t="s">
        <v>34</v>
      </c>
      <c r="B81" s="107" t="s">
        <v>90</v>
      </c>
      <c r="C81" s="70">
        <f>985.377-985.377+919.126</f>
        <v>919.12599999999998</v>
      </c>
      <c r="D81" s="70">
        <f>1140.594-1140.594+1075.255</f>
        <v>1075.2550000000001</v>
      </c>
      <c r="E81" s="70">
        <f>1053.2-1053.2+964.303</f>
        <v>964.303</v>
      </c>
      <c r="F81" s="70">
        <f>965.412-965.412+959.922</f>
        <v>959.92200000000003</v>
      </c>
      <c r="G81" s="70">
        <f>1053.209-1053.209+982.329</f>
        <v>982.32899999999995</v>
      </c>
      <c r="H81" s="70">
        <f>1205.778-1205.778+1162.116</f>
        <v>1162.116</v>
      </c>
      <c r="I81" s="70">
        <f>1190.559-1190.559+1263.434-1263.434+1119.247</f>
        <v>1119.2470000000001</v>
      </c>
      <c r="J81" s="70">
        <f>1497.921-1497.921+1489.318-1489.318+1383.797</f>
        <v>1383.797</v>
      </c>
      <c r="K81" s="70">
        <v>1314.55</v>
      </c>
      <c r="L81" s="71">
        <v>1136.943</v>
      </c>
      <c r="M81" s="70">
        <v>1622.1559999999999</v>
      </c>
      <c r="N81" s="70">
        <v>1689.848</v>
      </c>
      <c r="O81" s="71">
        <v>2785.6030000000001</v>
      </c>
      <c r="P81" s="71">
        <v>3753.6790000000001</v>
      </c>
      <c r="Q81" s="71">
        <v>2028.124</v>
      </c>
      <c r="R81" s="71">
        <v>2458.1910000000003</v>
      </c>
      <c r="S81" s="76">
        <v>3072.2930000000001</v>
      </c>
      <c r="T81" s="71">
        <v>3913.4349999999999</v>
      </c>
      <c r="U81" s="76">
        <v>4417.6989999999996</v>
      </c>
    </row>
    <row r="82" spans="1:21" s="92" customFormat="1" ht="16.5" customHeight="1" x14ac:dyDescent="0.3">
      <c r="A82" s="86" t="s">
        <v>147</v>
      </c>
      <c r="B82" s="94" t="s">
        <v>148</v>
      </c>
      <c r="C82" s="70">
        <v>519.57100000000003</v>
      </c>
      <c r="D82" s="70">
        <v>612.11599999999999</v>
      </c>
      <c r="E82" s="70">
        <v>520.27</v>
      </c>
      <c r="F82" s="70">
        <v>582.13900000000001</v>
      </c>
      <c r="G82" s="71">
        <f>620.761+19.55</f>
        <v>640.31099999999992</v>
      </c>
      <c r="H82" s="71">
        <f>732.963-19.554</f>
        <v>713.40899999999999</v>
      </c>
      <c r="I82" s="70">
        <f>683.409-87.444</f>
        <v>595.96500000000003</v>
      </c>
      <c r="J82" s="70">
        <f>599.458+38.025+87.593</f>
        <v>725.07599999999991</v>
      </c>
      <c r="K82" s="71">
        <v>684.19600000000003</v>
      </c>
      <c r="L82" s="71">
        <v>601.95900000000006</v>
      </c>
      <c r="M82" s="70">
        <v>763.63699999999994</v>
      </c>
      <c r="N82" s="71">
        <v>750.226</v>
      </c>
      <c r="O82" s="71">
        <v>877.39200000000005</v>
      </c>
      <c r="P82" s="71">
        <v>964.92200000000003</v>
      </c>
      <c r="Q82" s="71">
        <v>916.49400000000003</v>
      </c>
      <c r="R82" s="71">
        <v>1006.2209999999999</v>
      </c>
      <c r="S82" s="76">
        <v>1063.71</v>
      </c>
      <c r="T82" s="71">
        <v>1188.73</v>
      </c>
      <c r="U82" s="76">
        <v>1281.92</v>
      </c>
    </row>
    <row r="83" spans="1:21" s="92" customFormat="1" ht="16.5" customHeight="1" x14ac:dyDescent="0.3">
      <c r="A83" s="6" t="s">
        <v>216</v>
      </c>
      <c r="B83" s="10" t="s">
        <v>217</v>
      </c>
      <c r="C83" s="70"/>
      <c r="D83" s="70"/>
      <c r="E83" s="70"/>
      <c r="F83" s="70"/>
      <c r="G83" s="71"/>
      <c r="H83" s="71"/>
      <c r="I83" s="70"/>
      <c r="J83" s="70"/>
      <c r="K83" s="71">
        <v>360.66</v>
      </c>
      <c r="L83" s="71">
        <v>374.71300000000002</v>
      </c>
      <c r="M83" s="70">
        <v>435.49</v>
      </c>
      <c r="N83" s="71">
        <v>490.98200000000003</v>
      </c>
      <c r="O83" s="71">
        <v>574.47699999999998</v>
      </c>
      <c r="P83" s="71">
        <v>601.55600000000004</v>
      </c>
      <c r="Q83" s="71">
        <v>637.78899999999999</v>
      </c>
      <c r="R83" s="71">
        <v>636.12099999999998</v>
      </c>
      <c r="S83" s="76">
        <v>771.08100000000002</v>
      </c>
      <c r="T83" s="71">
        <v>818.67600000000004</v>
      </c>
      <c r="U83" s="76">
        <v>862.62599999999998</v>
      </c>
    </row>
    <row r="84" spans="1:21" s="92" customFormat="1" ht="16.5" customHeight="1" x14ac:dyDescent="0.3">
      <c r="A84" s="86" t="s">
        <v>149</v>
      </c>
      <c r="B84" s="94" t="s">
        <v>150</v>
      </c>
      <c r="C84" s="70">
        <v>49.18</v>
      </c>
      <c r="D84" s="70">
        <v>55.18</v>
      </c>
      <c r="E84" s="70">
        <v>44.145000000000003</v>
      </c>
      <c r="F84" s="70">
        <v>41.97</v>
      </c>
      <c r="G84" s="71">
        <v>44.695</v>
      </c>
      <c r="H84" s="71">
        <v>46.707000000000001</v>
      </c>
      <c r="I84" s="70">
        <v>52.192999999999998</v>
      </c>
      <c r="J84" s="70">
        <f>56.941+0.029</f>
        <v>56.970000000000006</v>
      </c>
      <c r="K84" s="71">
        <v>61.631</v>
      </c>
      <c r="L84" s="71">
        <v>63.429000000000002</v>
      </c>
      <c r="M84" s="70">
        <v>68.343044000000006</v>
      </c>
      <c r="N84" s="71">
        <v>73.070999999999998</v>
      </c>
      <c r="O84" s="71">
        <v>53.392000000000003</v>
      </c>
      <c r="P84" s="71">
        <v>87.19</v>
      </c>
      <c r="Q84" s="71">
        <v>87.992999999999995</v>
      </c>
      <c r="R84" s="71">
        <v>100.245</v>
      </c>
      <c r="S84" s="76">
        <v>94.924999999999997</v>
      </c>
      <c r="T84" s="71">
        <v>99.83</v>
      </c>
      <c r="U84" s="76">
        <v>109.96599999999999</v>
      </c>
    </row>
    <row r="85" spans="1:21" s="92" customFormat="1" ht="16.5" customHeight="1" x14ac:dyDescent="0.3">
      <c r="A85" s="102" t="s">
        <v>151</v>
      </c>
      <c r="B85" s="65" t="s">
        <v>43</v>
      </c>
      <c r="C85" s="108">
        <f t="shared" ref="C85:J85" si="14">C86+C90</f>
        <v>2893.6910000000003</v>
      </c>
      <c r="D85" s="108">
        <f t="shared" si="14"/>
        <v>3705.5039999999999</v>
      </c>
      <c r="E85" s="108">
        <f t="shared" si="14"/>
        <v>3025.3629999999998</v>
      </c>
      <c r="F85" s="108">
        <f t="shared" si="14"/>
        <v>3224.181</v>
      </c>
      <c r="G85" s="66">
        <f t="shared" si="14"/>
        <v>2829.1069999999995</v>
      </c>
      <c r="H85" s="66">
        <f t="shared" si="14"/>
        <v>2941.0520000000001</v>
      </c>
      <c r="I85" s="108">
        <f t="shared" si="14"/>
        <v>3521.9479999999999</v>
      </c>
      <c r="J85" s="108">
        <f t="shared" si="14"/>
        <v>5760.9669999999996</v>
      </c>
      <c r="K85" s="108">
        <v>3306.6109999999999</v>
      </c>
      <c r="L85" s="108">
        <v>3067.6790000000001</v>
      </c>
      <c r="M85" s="108">
        <v>3722.835</v>
      </c>
      <c r="N85" s="108">
        <v>3833.9029999999998</v>
      </c>
      <c r="O85" s="108">
        <v>4045.6219999999998</v>
      </c>
      <c r="P85" s="108">
        <v>3607.3119999999999</v>
      </c>
      <c r="Q85" s="108">
        <v>4051.1930000000002</v>
      </c>
      <c r="R85" s="108">
        <v>7405.7119999999995</v>
      </c>
      <c r="S85" s="173">
        <v>5397.143</v>
      </c>
      <c r="T85" s="108">
        <v>6113.4319999999998</v>
      </c>
      <c r="U85" s="173">
        <v>4772.549</v>
      </c>
    </row>
    <row r="86" spans="1:21" ht="16.5" customHeight="1" x14ac:dyDescent="0.3">
      <c r="A86" s="87" t="s">
        <v>152</v>
      </c>
      <c r="B86" s="94" t="s">
        <v>153</v>
      </c>
      <c r="C86" s="70">
        <f t="shared" ref="C86:J86" si="15">SUM(C87:C89)</f>
        <v>2262.2150000000001</v>
      </c>
      <c r="D86" s="70">
        <f t="shared" si="15"/>
        <v>2597.953</v>
      </c>
      <c r="E86" s="70">
        <f t="shared" si="15"/>
        <v>2557.5009999999997</v>
      </c>
      <c r="F86" s="70">
        <f t="shared" si="15"/>
        <v>2681.643</v>
      </c>
      <c r="G86" s="70">
        <f t="shared" si="15"/>
        <v>2426.2729999999997</v>
      </c>
      <c r="H86" s="70">
        <f t="shared" si="15"/>
        <v>2561.3240000000001</v>
      </c>
      <c r="I86" s="70">
        <f t="shared" si="15"/>
        <v>3136.4690000000001</v>
      </c>
      <c r="J86" s="70">
        <f t="shared" si="15"/>
        <v>5201.8269999999993</v>
      </c>
      <c r="K86" s="70">
        <v>2967.0160000000001</v>
      </c>
      <c r="L86" s="71">
        <v>2800.5340000000001</v>
      </c>
      <c r="M86" s="70">
        <v>3414.92</v>
      </c>
      <c r="N86" s="70">
        <v>3468.8919999999998</v>
      </c>
      <c r="O86" s="71">
        <v>3347.1129999999998</v>
      </c>
      <c r="P86" s="71">
        <v>3151.45</v>
      </c>
      <c r="Q86" s="71">
        <v>3368.5309999999999</v>
      </c>
      <c r="R86" s="71">
        <v>6784.5459999999994</v>
      </c>
      <c r="S86" s="76">
        <v>4588.1540000000005</v>
      </c>
      <c r="T86" s="71">
        <v>5340.8209999999999</v>
      </c>
      <c r="U86" s="76">
        <v>4109.5119999999997</v>
      </c>
    </row>
    <row r="87" spans="1:21" ht="16.5" customHeight="1" x14ac:dyDescent="0.3">
      <c r="A87" s="86" t="s">
        <v>154</v>
      </c>
      <c r="B87" s="69" t="s">
        <v>155</v>
      </c>
      <c r="C87" s="70">
        <f>2307.644-2307.644+2337.273</f>
        <v>2337.2730000000001</v>
      </c>
      <c r="D87" s="70">
        <f>2486.96-2486.96+2515.417</f>
        <v>2515.4169999999999</v>
      </c>
      <c r="E87" s="70">
        <f>2441.088-2441.088+2421.566</f>
        <v>2421.5659999999998</v>
      </c>
      <c r="F87" s="70">
        <f>2691.759-2691.759+2651.466</f>
        <v>2651.4659999999999</v>
      </c>
      <c r="G87" s="70">
        <f>2435.811-2435.811+2372.336</f>
        <v>2372.3359999999998</v>
      </c>
      <c r="H87" s="70">
        <f>2466.08-2466.08+2484.44</f>
        <v>2484.44</v>
      </c>
      <c r="I87" s="70">
        <f>3023.41-3023.41+3143.841</f>
        <v>3143.8409999999999</v>
      </c>
      <c r="J87" s="70">
        <f>4950.645-4950.645+5094.998</f>
        <v>5094.9979999999996</v>
      </c>
      <c r="K87" s="70">
        <v>2758.6930000000002</v>
      </c>
      <c r="L87" s="71">
        <v>2845.4549999999999</v>
      </c>
      <c r="M87" s="70">
        <v>3371.0039999999999</v>
      </c>
      <c r="N87" s="70">
        <v>3390.2460000000001</v>
      </c>
      <c r="O87" s="71">
        <v>3209.08</v>
      </c>
      <c r="P87" s="71">
        <v>3065.8519999999999</v>
      </c>
      <c r="Q87" s="71">
        <v>3304.9059999999999</v>
      </c>
      <c r="R87" s="71">
        <v>6550.2579999999998</v>
      </c>
      <c r="S87" s="76">
        <v>4434.4229999999998</v>
      </c>
      <c r="T87" s="71">
        <v>5192.5969999999998</v>
      </c>
      <c r="U87" s="76">
        <v>3954.134</v>
      </c>
    </row>
    <row r="88" spans="1:21" ht="16.5" customHeight="1" x14ac:dyDescent="0.3">
      <c r="A88" s="86" t="s">
        <v>156</v>
      </c>
      <c r="B88" s="69" t="s">
        <v>157</v>
      </c>
      <c r="C88" s="70">
        <v>109.414</v>
      </c>
      <c r="D88" s="71">
        <v>52.887</v>
      </c>
      <c r="E88" s="71">
        <f>94.768</f>
        <v>94.768000000000001</v>
      </c>
      <c r="F88" s="71">
        <v>2.2530000000000001</v>
      </c>
      <c r="G88" s="70">
        <v>19.579999999999998</v>
      </c>
      <c r="H88" s="70">
        <f>60.564-60.564+49.715</f>
        <v>49.715000000000003</v>
      </c>
      <c r="I88" s="71">
        <f>47.12-47.12+57.681</f>
        <v>57.680999999999997</v>
      </c>
      <c r="J88" s="71">
        <f>6.43-6.43+6.423</f>
        <v>6.423</v>
      </c>
      <c r="K88" s="70">
        <v>21.318999999999999</v>
      </c>
      <c r="L88" s="71">
        <v>-93.403999999999996</v>
      </c>
      <c r="M88" s="71">
        <v>21.193000000000001</v>
      </c>
      <c r="N88" s="70">
        <v>5.2779999999999996</v>
      </c>
      <c r="O88" s="71">
        <v>136.97</v>
      </c>
      <c r="P88" s="71">
        <v>99.465999999999994</v>
      </c>
      <c r="Q88" s="71">
        <v>36.581000000000003</v>
      </c>
      <c r="R88" s="71">
        <v>250.08</v>
      </c>
      <c r="S88" s="76">
        <v>134.83199999999999</v>
      </c>
      <c r="T88" s="71">
        <v>134.232</v>
      </c>
      <c r="U88" s="76">
        <v>168.40600000000001</v>
      </c>
    </row>
    <row r="89" spans="1:21" ht="16.5" customHeight="1" x14ac:dyDescent="0.3">
      <c r="A89" s="86" t="s">
        <v>158</v>
      </c>
      <c r="B89" s="69" t="s">
        <v>159</v>
      </c>
      <c r="C89" s="71">
        <f>-185.8+185.8-184.472</f>
        <v>-184.47200000000001</v>
      </c>
      <c r="D89" s="71">
        <v>29.649000000000001</v>
      </c>
      <c r="E89" s="71">
        <v>41.167000000000002</v>
      </c>
      <c r="F89" s="71">
        <f>-64.809+64.809+27.924</f>
        <v>27.923999999999999</v>
      </c>
      <c r="G89" s="71">
        <v>34.356999999999999</v>
      </c>
      <c r="H89" s="71">
        <f>26.199-26.199+27.169</f>
        <v>27.169</v>
      </c>
      <c r="I89" s="71">
        <f>-228.94+228.94-65.053</f>
        <v>-65.052999999999997</v>
      </c>
      <c r="J89" s="71">
        <f>98.775-98.775+100.406</f>
        <v>100.40600000000001</v>
      </c>
      <c r="K89" s="71">
        <v>187.00399999999999</v>
      </c>
      <c r="L89" s="71">
        <v>48.482999999999997</v>
      </c>
      <c r="M89" s="71">
        <v>22.722999999999999</v>
      </c>
      <c r="N89" s="71">
        <v>73.367999999999995</v>
      </c>
      <c r="O89" s="71">
        <v>1.0629999999999999</v>
      </c>
      <c r="P89" s="71">
        <v>-13.868</v>
      </c>
      <c r="Q89" s="71">
        <v>27.044</v>
      </c>
      <c r="R89" s="71">
        <v>-15.792000000000002</v>
      </c>
      <c r="S89" s="76">
        <v>18.899000000000001</v>
      </c>
      <c r="T89" s="71">
        <v>13.992000000000001</v>
      </c>
      <c r="U89" s="76">
        <v>-13.028</v>
      </c>
    </row>
    <row r="90" spans="1:21" ht="16.5" customHeight="1" x14ac:dyDescent="0.3">
      <c r="A90" s="87" t="s">
        <v>19</v>
      </c>
      <c r="B90" s="94" t="s">
        <v>160</v>
      </c>
      <c r="C90" s="71">
        <v>631.476</v>
      </c>
      <c r="D90" s="71">
        <v>1107.5509999999999</v>
      </c>
      <c r="E90" s="71">
        <v>467.86200000000002</v>
      </c>
      <c r="F90" s="71">
        <v>542.53800000000001</v>
      </c>
      <c r="G90" s="71">
        <v>402.834</v>
      </c>
      <c r="H90" s="71">
        <v>379.72800000000001</v>
      </c>
      <c r="I90" s="71">
        <v>385.47899999999998</v>
      </c>
      <c r="J90" s="71">
        <v>559.14</v>
      </c>
      <c r="K90" s="71">
        <v>339.59500000000003</v>
      </c>
      <c r="L90" s="71">
        <v>267.14499999999998</v>
      </c>
      <c r="M90" s="71">
        <v>307.91500000000002</v>
      </c>
      <c r="N90" s="71">
        <v>365.01100000000002</v>
      </c>
      <c r="O90" s="71">
        <v>698.50900000000001</v>
      </c>
      <c r="P90" s="71">
        <v>455.86200000000002</v>
      </c>
      <c r="Q90" s="71">
        <v>682.66200000000003</v>
      </c>
      <c r="R90" s="71">
        <v>621.16599999999994</v>
      </c>
      <c r="S90" s="76">
        <v>808.98900000000003</v>
      </c>
      <c r="T90" s="71">
        <v>772.61099999999999</v>
      </c>
      <c r="U90" s="76">
        <v>663.03700000000003</v>
      </c>
    </row>
    <row r="91" spans="1:21" ht="16.5" customHeight="1" x14ac:dyDescent="0.3">
      <c r="A91" s="98" t="s">
        <v>219</v>
      </c>
      <c r="B91" s="91"/>
      <c r="C91" s="66"/>
      <c r="D91" s="66"/>
      <c r="E91" s="66"/>
      <c r="F91" s="66"/>
      <c r="G91" s="66"/>
      <c r="H91" s="66"/>
      <c r="I91" s="66"/>
      <c r="J91" s="66"/>
      <c r="K91" s="66"/>
      <c r="L91" s="66"/>
      <c r="M91" s="66"/>
      <c r="N91" s="66"/>
      <c r="O91" s="66"/>
      <c r="P91" s="66"/>
      <c r="Q91" s="66"/>
      <c r="R91" s="66"/>
      <c r="S91" s="331"/>
      <c r="T91" s="332"/>
      <c r="U91" s="331"/>
    </row>
    <row r="92" spans="1:21" ht="16.5" customHeight="1" x14ac:dyDescent="0.3">
      <c r="A92" s="58" t="s">
        <v>161</v>
      </c>
      <c r="B92" s="109"/>
      <c r="C92" s="110">
        <f t="shared" ref="C92:Q92" si="16">C6-C45</f>
        <v>-3278.6250000000036</v>
      </c>
      <c r="D92" s="110">
        <f t="shared" si="16"/>
        <v>-6952.0530000000035</v>
      </c>
      <c r="E92" s="110">
        <f t="shared" si="16"/>
        <v>-6574.7250000000058</v>
      </c>
      <c r="F92" s="110">
        <f t="shared" si="16"/>
        <v>-5045.5639999999948</v>
      </c>
      <c r="G92" s="110">
        <f t="shared" si="16"/>
        <v>-5168.8770000000004</v>
      </c>
      <c r="H92" s="110">
        <f t="shared" si="16"/>
        <v>-4187.7920000000049</v>
      </c>
      <c r="I92" s="110">
        <f t="shared" si="16"/>
        <v>-2371.3639999999978</v>
      </c>
      <c r="J92" s="110" t="e">
        <f t="shared" si="16"/>
        <v>#REF!</v>
      </c>
      <c r="K92" s="110">
        <f t="shared" si="16"/>
        <v>-2092.1219999999994</v>
      </c>
      <c r="L92" s="110">
        <f t="shared" si="16"/>
        <v>-829.45400000000518</v>
      </c>
      <c r="M92" s="110">
        <f t="shared" si="16"/>
        <v>-908.56399999999849</v>
      </c>
      <c r="N92" s="111">
        <f t="shared" si="16"/>
        <v>-1151.1859999999942</v>
      </c>
      <c r="O92" s="112">
        <f t="shared" si="16"/>
        <v>-4999.4220000000059</v>
      </c>
      <c r="P92" s="112">
        <f t="shared" si="16"/>
        <v>-5194.6789999999964</v>
      </c>
      <c r="Q92" s="112">
        <f t="shared" si="16"/>
        <v>-2215.5630000000019</v>
      </c>
      <c r="R92" s="112">
        <f>R6-R45+R91</f>
        <v>-7550.0699999999924</v>
      </c>
      <c r="S92" s="112">
        <f>S6-S45+S91</f>
        <v>-8538.1789999999964</v>
      </c>
      <c r="T92" s="112">
        <f>T6-T45+T91</f>
        <v>-9597.1560000000027</v>
      </c>
      <c r="U92" s="112">
        <f>U6-U45+U91</f>
        <v>-9592.2519999999859</v>
      </c>
    </row>
    <row r="93" spans="1:21" ht="16.5" customHeight="1" x14ac:dyDescent="0.3">
      <c r="A93" s="113" t="s">
        <v>1</v>
      </c>
      <c r="B93" s="114"/>
      <c r="C93" s="115">
        <f t="shared" ref="C93:K93" si="17">C92/C94</f>
        <v>-4.7799963184424303E-2</v>
      </c>
      <c r="D93" s="115">
        <f t="shared" si="17"/>
        <v>-0.10846394737828714</v>
      </c>
      <c r="E93" s="115">
        <f t="shared" si="17"/>
        <v>-9.655513013062561E-2</v>
      </c>
      <c r="F93" s="115">
        <f t="shared" si="17"/>
        <v>-7.0850346573930287E-2</v>
      </c>
      <c r="G93" s="115">
        <f t="shared" si="17"/>
        <v>-7.0340339673676741E-2</v>
      </c>
      <c r="H93" s="115">
        <f t="shared" si="17"/>
        <v>-5.6321709768879284E-2</v>
      </c>
      <c r="I93" s="115">
        <f t="shared" si="17"/>
        <v>-3.1097467452204566E-2</v>
      </c>
      <c r="J93" s="115" t="e">
        <f t="shared" si="17"/>
        <v>#REF!</v>
      </c>
      <c r="K93" s="115">
        <f t="shared" si="17"/>
        <v>-2.5816434457554972E-2</v>
      </c>
      <c r="L93" s="115">
        <f t="shared" ref="L93:M93" si="18">L92/L94</f>
        <v>-9.8226653015622469E-3</v>
      </c>
      <c r="M93" s="115">
        <f t="shared" si="18"/>
        <v>-1.0109230637371952E-2</v>
      </c>
      <c r="N93" s="115">
        <f>N92/N94</f>
        <v>-1.2189926747624079E-2</v>
      </c>
      <c r="O93" s="115">
        <f t="shared" ref="O93:S93" si="19">O92/O94</f>
        <v>-5.3503028889089907E-2</v>
      </c>
      <c r="P93" s="115">
        <f t="shared" si="19"/>
        <v>-5.1779308274008437E-2</v>
      </c>
      <c r="Q93" s="115">
        <f t="shared" si="19"/>
        <v>-2.0206660422039165E-2</v>
      </c>
      <c r="R93" s="115">
        <f t="shared" si="19"/>
        <v>-6.2003269254555224E-2</v>
      </c>
      <c r="S93" s="115">
        <f t="shared" si="19"/>
        <v>-6.5085324304473752E-2</v>
      </c>
      <c r="T93" s="115">
        <f t="shared" ref="T93:U93" si="20">T92/T94</f>
        <v>-6.9023602744993653E-2</v>
      </c>
      <c r="U93" s="115">
        <f t="shared" si="20"/>
        <v>-6.5994252116334098E-2</v>
      </c>
    </row>
    <row r="94" spans="1:21" ht="16.5" customHeight="1" x14ac:dyDescent="0.3">
      <c r="A94" s="116" t="s">
        <v>21</v>
      </c>
      <c r="B94" s="117"/>
      <c r="C94" s="118">
        <v>68590.534</v>
      </c>
      <c r="D94" s="118">
        <v>64095.519</v>
      </c>
      <c r="E94" s="118">
        <v>68092.964000000007</v>
      </c>
      <c r="F94" s="118">
        <v>71214.386999999988</v>
      </c>
      <c r="G94" s="118">
        <v>73483.822000000015</v>
      </c>
      <c r="H94" s="118">
        <v>74354.845000000001</v>
      </c>
      <c r="I94" s="118">
        <v>76255.855999999985</v>
      </c>
      <c r="J94" s="118">
        <v>79758.198000000004</v>
      </c>
      <c r="K94" s="118">
        <v>81038.379000000001</v>
      </c>
      <c r="L94" s="118">
        <v>84442.865000000005</v>
      </c>
      <c r="M94" s="118">
        <v>89874.692999999999</v>
      </c>
      <c r="N94" s="118">
        <v>94437.482999999993</v>
      </c>
      <c r="O94" s="118">
        <v>93441.85</v>
      </c>
      <c r="P94" s="174">
        <v>100323.45299999999</v>
      </c>
      <c r="Q94" s="174">
        <v>109645.18399999999</v>
      </c>
      <c r="R94" s="174">
        <v>121768.90171715111</v>
      </c>
      <c r="S94" s="174">
        <v>131184.39665534723</v>
      </c>
      <c r="T94" s="174">
        <v>139041.65558347493</v>
      </c>
      <c r="U94" s="174">
        <v>145349.80990603313</v>
      </c>
    </row>
    <row r="95" spans="1:21" hidden="1" x14ac:dyDescent="0.3">
      <c r="A95" s="72"/>
      <c r="B95" s="32"/>
      <c r="C95" s="32"/>
      <c r="D95" s="32"/>
      <c r="E95" s="32"/>
      <c r="F95" s="32"/>
      <c r="G95" s="32"/>
      <c r="H95" s="32"/>
      <c r="I95" s="32"/>
      <c r="J95" s="32"/>
      <c r="K95" s="32"/>
      <c r="L95" s="32"/>
    </row>
    <row r="96" spans="1:21" x14ac:dyDescent="0.3">
      <c r="A96" s="72"/>
      <c r="B96" s="32"/>
      <c r="C96" s="119"/>
      <c r="D96" s="119"/>
      <c r="E96" s="119"/>
      <c r="F96" s="119"/>
      <c r="G96" s="119"/>
      <c r="H96" s="119"/>
      <c r="I96" s="119"/>
      <c r="J96" s="119"/>
      <c r="K96" s="119"/>
      <c r="L96" s="119"/>
      <c r="M96" s="119"/>
      <c r="N96" s="119"/>
      <c r="O96" s="119"/>
      <c r="P96" s="119"/>
      <c r="Q96" s="119"/>
      <c r="R96" s="119"/>
      <c r="S96" s="119"/>
      <c r="T96" s="119"/>
    </row>
    <row r="97" spans="1:20" x14ac:dyDescent="0.3">
      <c r="A97" s="226" t="s">
        <v>385</v>
      </c>
      <c r="B97" s="32"/>
      <c r="C97" s="32"/>
      <c r="D97" s="32"/>
      <c r="E97" s="32"/>
      <c r="F97" s="32"/>
      <c r="G97" s="32"/>
      <c r="H97" s="32"/>
      <c r="I97" s="32"/>
      <c r="J97" s="32"/>
      <c r="K97" s="32"/>
      <c r="L97" s="32"/>
      <c r="M97" s="32"/>
      <c r="N97" s="32"/>
      <c r="O97" s="32"/>
      <c r="P97" s="32"/>
      <c r="Q97" s="32"/>
      <c r="R97" s="32"/>
      <c r="S97" s="32"/>
      <c r="T97" s="32"/>
    </row>
    <row r="98" spans="1:20" x14ac:dyDescent="0.3">
      <c r="B98" s="32"/>
      <c r="C98" s="32"/>
      <c r="D98" s="32"/>
      <c r="E98" s="32"/>
      <c r="F98" s="32"/>
      <c r="G98" s="32"/>
      <c r="H98" s="32"/>
      <c r="I98" s="32"/>
      <c r="J98" s="32"/>
      <c r="K98" s="32"/>
      <c r="L98" s="32"/>
    </row>
    <row r="99" spans="1:20" x14ac:dyDescent="0.3">
      <c r="B99" s="32"/>
      <c r="C99" s="32"/>
      <c r="D99" s="32"/>
      <c r="E99" s="32"/>
      <c r="F99" s="32"/>
      <c r="G99" s="32"/>
      <c r="H99" s="32"/>
      <c r="I99" s="32"/>
      <c r="J99" s="32"/>
      <c r="K99" s="32"/>
      <c r="L99" s="120"/>
    </row>
    <row r="100" spans="1:20" x14ac:dyDescent="0.3">
      <c r="B100" s="32"/>
      <c r="C100" s="32"/>
      <c r="D100" s="32"/>
      <c r="E100" s="32"/>
      <c r="F100" s="32"/>
      <c r="G100" s="32"/>
      <c r="H100" s="32"/>
      <c r="I100" s="32"/>
      <c r="J100" s="32"/>
      <c r="K100" s="32"/>
      <c r="L100" s="121"/>
    </row>
    <row r="101" spans="1:20" x14ac:dyDescent="0.3">
      <c r="B101" s="32"/>
      <c r="C101" s="32"/>
      <c r="D101" s="32"/>
      <c r="E101" s="32"/>
      <c r="F101" s="32"/>
      <c r="G101" s="32"/>
      <c r="H101" s="32"/>
      <c r="I101" s="32"/>
      <c r="J101" s="32"/>
      <c r="K101" s="32"/>
    </row>
    <row r="102" spans="1:20" x14ac:dyDescent="0.3">
      <c r="B102" s="32"/>
      <c r="C102" s="32"/>
      <c r="D102" s="32"/>
      <c r="E102" s="32"/>
      <c r="F102" s="32"/>
      <c r="G102" s="32"/>
      <c r="H102" s="32"/>
      <c r="I102" s="32"/>
      <c r="J102" s="32"/>
      <c r="K102" s="32"/>
      <c r="L102" s="32"/>
      <c r="M102" s="32"/>
      <c r="N102" s="32"/>
    </row>
    <row r="103" spans="1:20" x14ac:dyDescent="0.3">
      <c r="K103" s="122"/>
      <c r="L103" s="122"/>
      <c r="M103" s="122"/>
    </row>
    <row r="104" spans="1:20" x14ac:dyDescent="0.3">
      <c r="G104" s="122"/>
      <c r="H104" s="122"/>
      <c r="I104" s="122"/>
      <c r="J104" s="122"/>
      <c r="K104" s="122"/>
      <c r="L104" s="122"/>
      <c r="M104" s="122"/>
    </row>
    <row r="105" spans="1:20" x14ac:dyDescent="0.3">
      <c r="J105" s="32"/>
      <c r="K105" s="32"/>
    </row>
    <row r="106" spans="1:20" x14ac:dyDescent="0.3">
      <c r="E106" s="67"/>
      <c r="G106" s="45"/>
      <c r="H106" s="45"/>
      <c r="I106" s="45"/>
      <c r="J106" s="123"/>
      <c r="K106" s="123"/>
      <c r="L106" s="123"/>
      <c r="M106" s="45"/>
    </row>
    <row r="107" spans="1:20" x14ac:dyDescent="0.3">
      <c r="E107" s="67"/>
      <c r="F107" s="123"/>
      <c r="G107" s="45"/>
      <c r="H107" s="45"/>
      <c r="I107" s="45"/>
    </row>
    <row r="108" spans="1:20" x14ac:dyDescent="0.3">
      <c r="E108" s="67"/>
      <c r="F108" s="123"/>
      <c r="G108" s="45"/>
      <c r="H108" s="45"/>
      <c r="I108" s="45"/>
      <c r="J108" s="45"/>
      <c r="K108" s="45"/>
      <c r="L108" s="45"/>
    </row>
    <row r="109" spans="1:20" x14ac:dyDescent="0.3">
      <c r="E109" s="67"/>
      <c r="F109" s="123"/>
      <c r="G109" s="45"/>
      <c r="H109" s="45"/>
      <c r="I109" s="45"/>
      <c r="J109" s="45"/>
      <c r="K109" s="45"/>
      <c r="L109" s="45"/>
    </row>
  </sheetData>
  <mergeCells count="1">
    <mergeCell ref="B4:B5"/>
  </mergeCells>
  <pageMargins left="0.7" right="0.7" top="0.75" bottom="0.75" header="0.3" footer="0.3"/>
  <pageSetup paperSize="9" orientation="portrait" r:id="rId1"/>
  <ignoredErrors>
    <ignoredError sqref="C7:K7 C46:I46 L7 C92:K92 L6 C93:K93 C6:I6 K6 C45:I4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E58"/>
  <sheetViews>
    <sheetView showGridLines="0" zoomScale="80" zoomScaleNormal="80" workbookViewId="0"/>
  </sheetViews>
  <sheetFormatPr defaultColWidth="9.21875" defaultRowHeight="13.2" x14ac:dyDescent="0.3"/>
  <cols>
    <col min="1" max="1" width="34.77734375" style="32" customWidth="1"/>
    <col min="2" max="8" width="7.5546875" style="32" customWidth="1"/>
    <col min="9" max="9" width="2" style="32" customWidth="1"/>
    <col min="10" max="10" width="2.5546875" style="32" customWidth="1"/>
    <col min="11" max="11" width="28.77734375" style="32" customWidth="1"/>
    <col min="12" max="17" width="8.21875" style="32" customWidth="1"/>
    <col min="18" max="16384" width="9.21875" style="32"/>
  </cols>
  <sheetData>
    <row r="3" spans="1:17" ht="13.8" thickBot="1" x14ac:dyDescent="0.35">
      <c r="K3" s="178" t="s">
        <v>405</v>
      </c>
      <c r="L3" s="163"/>
      <c r="M3" s="163"/>
      <c r="N3" s="163"/>
      <c r="O3" s="163"/>
      <c r="P3" s="163"/>
      <c r="Q3" s="163"/>
    </row>
    <row r="4" spans="1:17" x14ac:dyDescent="0.3">
      <c r="A4" s="124"/>
    </row>
    <row r="5" spans="1:17" ht="13.8" thickBot="1" x14ac:dyDescent="0.35">
      <c r="A5" s="178" t="s">
        <v>275</v>
      </c>
      <c r="B5" s="163"/>
      <c r="C5" s="163"/>
      <c r="D5" s="163"/>
      <c r="E5" s="163"/>
      <c r="I5" s="35"/>
      <c r="J5" s="35"/>
    </row>
    <row r="20" spans="1:31" ht="13.8" thickBot="1" x14ac:dyDescent="0.35">
      <c r="A20" s="463" t="s">
        <v>276</v>
      </c>
      <c r="B20" s="463"/>
      <c r="C20" s="463"/>
      <c r="D20" s="463"/>
      <c r="E20" s="463"/>
      <c r="F20" s="463"/>
      <c r="G20" s="463"/>
      <c r="H20" s="463"/>
      <c r="I20" s="466"/>
      <c r="J20" s="466"/>
      <c r="O20" s="196" t="s">
        <v>378</v>
      </c>
    </row>
    <row r="21" spans="1:31" ht="13.8" thickBot="1" x14ac:dyDescent="0.35">
      <c r="A21" s="179"/>
      <c r="B21" s="180">
        <v>2020</v>
      </c>
      <c r="C21" s="180">
        <v>2021</v>
      </c>
      <c r="D21" s="180">
        <v>2022</v>
      </c>
      <c r="E21" s="180">
        <v>2023</v>
      </c>
      <c r="F21" s="180">
        <v>2024</v>
      </c>
      <c r="G21" s="180">
        <v>2025</v>
      </c>
      <c r="H21" s="180">
        <v>2026</v>
      </c>
      <c r="I21" s="35"/>
      <c r="J21" s="35"/>
      <c r="K21" s="464" t="s">
        <v>229</v>
      </c>
      <c r="L21" s="464"/>
      <c r="M21" s="464"/>
      <c r="N21" s="464"/>
      <c r="O21" s="464"/>
      <c r="P21" s="464"/>
      <c r="Q21" s="464"/>
    </row>
    <row r="22" spans="1:31" ht="13.8" thickBot="1" x14ac:dyDescent="0.35">
      <c r="A22" s="183" t="s">
        <v>402</v>
      </c>
      <c r="B22" s="138">
        <v>-5.3004666678856216</v>
      </c>
      <c r="C22" s="138">
        <v>-5.4305277949314608</v>
      </c>
      <c r="D22" s="138">
        <v>-2.0206660422039167</v>
      </c>
      <c r="E22" s="138">
        <v>-6.2003269254555224</v>
      </c>
      <c r="F22" s="138">
        <v>-6.51</v>
      </c>
      <c r="G22" s="138">
        <v>-6.9</v>
      </c>
      <c r="H22" s="138">
        <v>-6.6</v>
      </c>
      <c r="K22" s="181"/>
      <c r="L22" s="182">
        <v>2008</v>
      </c>
      <c r="M22" s="182">
        <v>2009</v>
      </c>
      <c r="N22" s="182">
        <v>2010</v>
      </c>
      <c r="O22" s="182">
        <v>2011</v>
      </c>
      <c r="P22" s="182">
        <v>2012</v>
      </c>
      <c r="Q22" s="182">
        <v>2013</v>
      </c>
      <c r="R22" s="314">
        <v>2014</v>
      </c>
      <c r="S22" s="314">
        <v>2015</v>
      </c>
      <c r="T22" s="314">
        <v>2016</v>
      </c>
      <c r="U22" s="314">
        <v>2017</v>
      </c>
      <c r="V22" s="314">
        <v>2018</v>
      </c>
      <c r="W22" s="314">
        <v>2019</v>
      </c>
      <c r="X22" s="314">
        <v>2020</v>
      </c>
      <c r="Y22" s="314">
        <v>2021</v>
      </c>
      <c r="Z22" s="314">
        <v>2022</v>
      </c>
      <c r="AA22" s="314">
        <v>2023</v>
      </c>
      <c r="AB22" s="314">
        <v>2024</v>
      </c>
      <c r="AC22" s="314">
        <v>2025</v>
      </c>
      <c r="AD22" s="314">
        <v>2026</v>
      </c>
    </row>
    <row r="23" spans="1:31" x14ac:dyDescent="0.3">
      <c r="A23" s="183" t="s">
        <v>270</v>
      </c>
      <c r="B23" s="138">
        <v>-1.0183740130843146</v>
      </c>
      <c r="C23" s="138">
        <v>8.6976190538908635E-2</v>
      </c>
      <c r="D23" s="138">
        <v>0.25114447891230662</v>
      </c>
      <c r="E23" s="138">
        <v>3.6203395255672691E-2</v>
      </c>
      <c r="F23" s="138">
        <v>-0.31390576131175846</v>
      </c>
      <c r="G23" s="138">
        <v>-6.7394531416521521E-3</v>
      </c>
      <c r="H23" s="138">
        <v>9.3452861184262284E-2</v>
      </c>
      <c r="I23" s="239"/>
      <c r="K23" s="31" t="s">
        <v>177</v>
      </c>
      <c r="L23" s="199">
        <v>28.598844266178187</v>
      </c>
      <c r="M23" s="199">
        <v>36.360888192511553</v>
      </c>
      <c r="N23" s="199">
        <v>40.614878973148919</v>
      </c>
      <c r="O23" s="199">
        <v>43.156000418244005</v>
      </c>
      <c r="P23" s="199">
        <v>51.72910298334714</v>
      </c>
      <c r="Q23" s="199">
        <v>54.692539182951563</v>
      </c>
      <c r="R23" s="42">
        <v>53.492573668588385</v>
      </c>
      <c r="S23" s="42">
        <v>51.685314618287428</v>
      </c>
      <c r="T23" s="42">
        <v>52.274899425888307</v>
      </c>
      <c r="U23" s="42">
        <v>51.46157115593779</v>
      </c>
      <c r="V23" s="42">
        <v>49.408050829169454</v>
      </c>
      <c r="W23" s="42">
        <v>47.978556203494129</v>
      </c>
      <c r="X23" s="42">
        <v>58.851127416332439</v>
      </c>
      <c r="Y23" s="42">
        <v>61.081165632433077</v>
      </c>
      <c r="Z23" s="42">
        <v>57.80352559762224</v>
      </c>
      <c r="AA23" s="42">
        <v>57.060000811440013</v>
      </c>
      <c r="AB23" s="42">
        <v>59.964624034582755</v>
      </c>
      <c r="AC23" s="42">
        <v>62.646360009987347</v>
      </c>
      <c r="AD23" s="42">
        <v>67.404741701425181</v>
      </c>
      <c r="AE23" s="31" t="s">
        <v>235</v>
      </c>
    </row>
    <row r="24" spans="1:31" x14ac:dyDescent="0.3">
      <c r="A24" s="183" t="s">
        <v>271</v>
      </c>
      <c r="B24" s="138">
        <v>-1.8940371294204827</v>
      </c>
      <c r="C24" s="138">
        <v>-2.9946289922265312</v>
      </c>
      <c r="D24" s="138">
        <v>-0.63648121283756198</v>
      </c>
      <c r="E24" s="138">
        <v>-0.12729029975160588</v>
      </c>
      <c r="F24" s="138"/>
      <c r="G24" s="138"/>
      <c r="H24" s="138"/>
      <c r="K24" s="32" t="s">
        <v>377</v>
      </c>
      <c r="L24" s="152">
        <v>6.0005364588647181</v>
      </c>
      <c r="M24" s="152">
        <v>4.6773940624460817</v>
      </c>
      <c r="N24" s="152">
        <v>3.9083866377443726</v>
      </c>
      <c r="O24" s="152">
        <v>2.5541246668598148</v>
      </c>
      <c r="P24" s="152">
        <v>6.6937538826766438</v>
      </c>
      <c r="Q24" s="152">
        <v>6.8998621114931211</v>
      </c>
      <c r="R24" s="42">
        <v>4.0127288331991959</v>
      </c>
      <c r="S24" s="42">
        <v>4.4192869714477867</v>
      </c>
      <c r="T24" s="42">
        <v>5.3464461545574054</v>
      </c>
      <c r="U24" s="42">
        <v>5.7198618583088301</v>
      </c>
      <c r="V24" s="42">
        <v>6.0774616498550937</v>
      </c>
      <c r="W24" s="42">
        <v>4.8936916416602427</v>
      </c>
      <c r="X24" s="42">
        <v>9.9685270645670307</v>
      </c>
      <c r="Y24" s="42">
        <v>11.440544126155155</v>
      </c>
      <c r="Z24" s="42">
        <v>10.11991552679596</v>
      </c>
      <c r="AA24" s="42">
        <v>7.403802923600912</v>
      </c>
      <c r="AB24" s="42">
        <v>6.4735629709119156</v>
      </c>
      <c r="AC24" s="42">
        <v>5.4508549608353212</v>
      </c>
      <c r="AD24" s="42">
        <v>5.4885245380599272</v>
      </c>
      <c r="AE24" s="31" t="s">
        <v>379</v>
      </c>
    </row>
    <row r="25" spans="1:31" ht="13.8" thickBot="1" x14ac:dyDescent="0.35">
      <c r="A25" s="183" t="s">
        <v>272</v>
      </c>
      <c r="B25" s="138"/>
      <c r="C25" s="138"/>
      <c r="D25" s="138">
        <v>-1.515342434009688E-2</v>
      </c>
      <c r="E25" s="138">
        <v>-1.6791457353443342</v>
      </c>
      <c r="F25" s="138">
        <v>-0.41337133341223736</v>
      </c>
      <c r="G25" s="138"/>
      <c r="H25" s="138"/>
      <c r="K25" s="186" t="s">
        <v>230</v>
      </c>
      <c r="L25" s="200">
        <f>L23-L24</f>
        <v>22.598307807313468</v>
      </c>
      <c r="M25" s="200">
        <f t="shared" ref="M25:AD25" si="0">M23-M24</f>
        <v>31.683494130065469</v>
      </c>
      <c r="N25" s="200">
        <f t="shared" si="0"/>
        <v>36.706492335404548</v>
      </c>
      <c r="O25" s="200">
        <f t="shared" si="0"/>
        <v>40.601875751384192</v>
      </c>
      <c r="P25" s="200">
        <f t="shared" si="0"/>
        <v>45.035349100670494</v>
      </c>
      <c r="Q25" s="200">
        <f t="shared" si="0"/>
        <v>47.792677071458442</v>
      </c>
      <c r="R25" s="200">
        <f t="shared" si="0"/>
        <v>49.479844835389187</v>
      </c>
      <c r="S25" s="200">
        <f t="shared" si="0"/>
        <v>47.266027646839639</v>
      </c>
      <c r="T25" s="200">
        <f t="shared" si="0"/>
        <v>46.928453271330902</v>
      </c>
      <c r="U25" s="200">
        <f t="shared" si="0"/>
        <v>45.741709297628958</v>
      </c>
      <c r="V25" s="200">
        <f t="shared" si="0"/>
        <v>43.330589179314359</v>
      </c>
      <c r="W25" s="200">
        <f t="shared" si="0"/>
        <v>43.084864561833889</v>
      </c>
      <c r="X25" s="200">
        <f t="shared" si="0"/>
        <v>48.882600351765404</v>
      </c>
      <c r="Y25" s="200">
        <f t="shared" si="0"/>
        <v>49.640621506277924</v>
      </c>
      <c r="Z25" s="200">
        <f t="shared" si="0"/>
        <v>47.683610070826276</v>
      </c>
      <c r="AA25" s="200">
        <f t="shared" si="0"/>
        <v>49.656197887839099</v>
      </c>
      <c r="AB25" s="200">
        <f t="shared" si="0"/>
        <v>53.491061063670841</v>
      </c>
      <c r="AC25" s="200">
        <f t="shared" si="0"/>
        <v>57.195505049152025</v>
      </c>
      <c r="AD25" s="200">
        <f t="shared" si="0"/>
        <v>61.916217163365253</v>
      </c>
      <c r="AE25" s="192" t="s">
        <v>181</v>
      </c>
    </row>
    <row r="26" spans="1:31" x14ac:dyDescent="0.3">
      <c r="A26" s="183" t="s">
        <v>273</v>
      </c>
      <c r="B26" s="138">
        <v>7.6005936427607113E-2</v>
      </c>
      <c r="C26" s="138">
        <v>-0.40320542067236076</v>
      </c>
      <c r="D26" s="138">
        <v>-0.13960485487442842</v>
      </c>
      <c r="E26" s="138">
        <v>-8.302612454766034E-2</v>
      </c>
      <c r="F26" s="138">
        <v>-7.6228577902236281E-3</v>
      </c>
      <c r="G26" s="138"/>
      <c r="H26" s="138"/>
      <c r="K26" s="187" t="s">
        <v>376</v>
      </c>
      <c r="L26" s="188"/>
      <c r="M26" s="188"/>
      <c r="N26" s="188"/>
      <c r="O26" s="188"/>
      <c r="P26" s="188">
        <v>60</v>
      </c>
      <c r="Q26" s="188">
        <v>60</v>
      </c>
      <c r="R26" s="32">
        <v>60</v>
      </c>
      <c r="S26" s="32">
        <v>60</v>
      </c>
      <c r="T26" s="32">
        <v>60</v>
      </c>
      <c r="U26" s="32">
        <v>60</v>
      </c>
      <c r="V26" s="32">
        <v>59</v>
      </c>
      <c r="W26" s="32">
        <v>58</v>
      </c>
      <c r="X26" s="32">
        <v>57</v>
      </c>
      <c r="Y26" s="32">
        <v>56</v>
      </c>
      <c r="Z26" s="32">
        <v>55</v>
      </c>
      <c r="AA26" s="32">
        <v>54</v>
      </c>
      <c r="AB26" s="32">
        <v>53</v>
      </c>
      <c r="AC26" s="32">
        <v>52</v>
      </c>
      <c r="AD26" s="32">
        <v>51</v>
      </c>
      <c r="AE26" s="32" t="s">
        <v>380</v>
      </c>
    </row>
    <row r="27" spans="1:31" ht="13.8" thickBot="1" x14ac:dyDescent="0.35">
      <c r="A27" s="184" t="s">
        <v>274</v>
      </c>
      <c r="B27" s="185">
        <v>-2.4640614618084316</v>
      </c>
      <c r="C27" s="185">
        <v>-2.1269057675833141</v>
      </c>
      <c r="D27" s="185">
        <v>-1.4805710290641361</v>
      </c>
      <c r="E27" s="185">
        <v>-4.347068161067595</v>
      </c>
      <c r="F27" s="185">
        <v>-5.7751000474857799</v>
      </c>
      <c r="G27" s="185">
        <v>-6.8932605468583485</v>
      </c>
      <c r="H27" s="185">
        <v>-6.6934528611842623</v>
      </c>
      <c r="K27" s="192" t="s">
        <v>233</v>
      </c>
      <c r="L27" s="193"/>
      <c r="M27" s="193"/>
      <c r="N27" s="193"/>
      <c r="O27" s="193"/>
      <c r="P27" s="193">
        <v>50</v>
      </c>
      <c r="Q27" s="193">
        <v>50</v>
      </c>
      <c r="R27" s="34">
        <v>50</v>
      </c>
      <c r="S27" s="34">
        <v>50</v>
      </c>
      <c r="T27" s="34">
        <v>50</v>
      </c>
      <c r="U27" s="34">
        <v>50</v>
      </c>
      <c r="V27" s="34">
        <v>49</v>
      </c>
      <c r="W27" s="34">
        <v>48</v>
      </c>
      <c r="X27" s="34">
        <v>47</v>
      </c>
      <c r="Y27" s="34">
        <v>46</v>
      </c>
      <c r="Z27" s="34">
        <v>45</v>
      </c>
      <c r="AA27" s="34">
        <v>44</v>
      </c>
      <c r="AB27" s="34">
        <v>43</v>
      </c>
      <c r="AC27" s="34">
        <v>42</v>
      </c>
      <c r="AD27" s="34">
        <v>41</v>
      </c>
      <c r="AE27" s="34" t="s">
        <v>381</v>
      </c>
    </row>
    <row r="28" spans="1:31" x14ac:dyDescent="0.3">
      <c r="A28" s="139"/>
      <c r="B28" s="239"/>
      <c r="C28" s="239"/>
      <c r="D28" s="239"/>
      <c r="E28" s="239"/>
      <c r="F28" s="239"/>
      <c r="G28" s="239"/>
      <c r="H28" s="465" t="s">
        <v>232</v>
      </c>
      <c r="I28" s="465"/>
      <c r="L28" s="125"/>
      <c r="M28" s="125"/>
      <c r="N28" s="188"/>
      <c r="O28" s="188"/>
      <c r="P28" s="188"/>
      <c r="Q28" s="188"/>
      <c r="AD28" s="196" t="s">
        <v>378</v>
      </c>
    </row>
    <row r="29" spans="1:31" x14ac:dyDescent="0.3">
      <c r="A29" s="37"/>
      <c r="B29" s="126"/>
      <c r="C29" s="126"/>
      <c r="D29" s="189"/>
      <c r="E29" s="126"/>
      <c r="F29" s="126"/>
      <c r="G29" s="126"/>
      <c r="H29" s="465"/>
      <c r="I29" s="465"/>
    </row>
    <row r="30" spans="1:31" x14ac:dyDescent="0.3">
      <c r="K30" s="194"/>
      <c r="L30" s="195"/>
      <c r="M30" s="195"/>
      <c r="N30" s="195"/>
      <c r="O30" s="195"/>
      <c r="Q30" s="196"/>
    </row>
    <row r="31" spans="1:31" ht="13.8" thickBot="1" x14ac:dyDescent="0.35">
      <c r="A31" s="178" t="s">
        <v>384</v>
      </c>
      <c r="B31" s="163"/>
      <c r="C31" s="163"/>
      <c r="D31" s="163"/>
      <c r="E31" s="163"/>
      <c r="F31" s="190"/>
      <c r="G31" s="190"/>
      <c r="H31" s="190"/>
      <c r="K31" s="178" t="s">
        <v>406</v>
      </c>
      <c r="L31" s="163"/>
      <c r="M31" s="163"/>
      <c r="N31" s="163"/>
      <c r="O31" s="163"/>
      <c r="P31" s="163"/>
      <c r="Q31" s="163"/>
    </row>
    <row r="32" spans="1:31" x14ac:dyDescent="0.3">
      <c r="A32" s="175"/>
      <c r="B32" s="190"/>
      <c r="C32" s="190"/>
      <c r="D32" s="191"/>
      <c r="E32" s="190"/>
      <c r="F32" s="190"/>
      <c r="G32" s="190"/>
      <c r="H32" s="190"/>
    </row>
    <row r="33" spans="1:17" x14ac:dyDescent="0.3">
      <c r="A33" s="175"/>
      <c r="B33" s="190"/>
      <c r="C33" s="190"/>
      <c r="D33" s="191"/>
      <c r="E33" s="190"/>
      <c r="F33" s="190"/>
      <c r="G33" s="190"/>
      <c r="H33" s="190"/>
      <c r="K33" s="194"/>
      <c r="L33" s="195"/>
      <c r="M33" s="195"/>
      <c r="N33" s="195"/>
      <c r="O33" s="195"/>
      <c r="P33" s="195"/>
      <c r="Q33" s="195"/>
    </row>
    <row r="34" spans="1:17" x14ac:dyDescent="0.3">
      <c r="A34" s="175"/>
      <c r="B34" s="190"/>
      <c r="C34" s="190"/>
      <c r="D34" s="191"/>
      <c r="E34" s="190"/>
      <c r="F34" s="190"/>
      <c r="G34" s="190"/>
      <c r="H34" s="190"/>
      <c r="K34" s="194"/>
      <c r="L34" s="195"/>
      <c r="M34" s="195"/>
      <c r="N34" s="195"/>
      <c r="O34" s="195"/>
      <c r="P34" s="195"/>
      <c r="Q34" s="195"/>
    </row>
    <row r="35" spans="1:17" x14ac:dyDescent="0.3">
      <c r="A35" s="175"/>
      <c r="B35" s="190"/>
      <c r="C35" s="190"/>
      <c r="D35" s="191"/>
      <c r="E35" s="190"/>
      <c r="F35" s="190"/>
      <c r="G35" s="190"/>
      <c r="H35" s="190"/>
      <c r="K35" s="194"/>
      <c r="L35" s="195"/>
      <c r="M35" s="195"/>
      <c r="N35" s="195"/>
      <c r="O35" s="195"/>
      <c r="P35" s="195"/>
      <c r="Q35" s="195"/>
    </row>
    <row r="36" spans="1:17" x14ac:dyDescent="0.3">
      <c r="A36" s="175"/>
      <c r="B36" s="190"/>
      <c r="C36" s="190"/>
      <c r="D36" s="191"/>
      <c r="E36" s="190"/>
      <c r="F36" s="190"/>
      <c r="G36" s="190"/>
      <c r="H36" s="190"/>
      <c r="K36" s="194"/>
      <c r="L36" s="195"/>
      <c r="M36" s="195"/>
      <c r="N36" s="195"/>
      <c r="O36" s="195"/>
      <c r="P36" s="195"/>
      <c r="Q36" s="195"/>
    </row>
    <row r="37" spans="1:17" x14ac:dyDescent="0.3">
      <c r="A37" s="175"/>
      <c r="B37" s="190"/>
      <c r="C37" s="190"/>
      <c r="D37" s="191"/>
      <c r="E37" s="190"/>
      <c r="F37" s="190"/>
      <c r="G37" s="190"/>
      <c r="H37" s="190"/>
      <c r="K37" s="194"/>
      <c r="L37" s="195"/>
      <c r="M37" s="195"/>
      <c r="N37" s="195"/>
      <c r="O37" s="195"/>
      <c r="P37" s="195"/>
      <c r="Q37" s="195"/>
    </row>
    <row r="38" spans="1:17" x14ac:dyDescent="0.3">
      <c r="A38" s="175"/>
      <c r="B38" s="190"/>
      <c r="C38" s="190"/>
      <c r="D38" s="191"/>
      <c r="E38" s="190"/>
      <c r="F38" s="190"/>
      <c r="G38" s="190"/>
      <c r="H38" s="190"/>
      <c r="K38" s="194"/>
      <c r="L38" s="195"/>
      <c r="M38" s="195"/>
      <c r="N38" s="195"/>
      <c r="O38" s="195"/>
      <c r="P38" s="195"/>
      <c r="Q38" s="195"/>
    </row>
    <row r="39" spans="1:17" x14ac:dyDescent="0.3">
      <c r="A39" s="175"/>
      <c r="B39" s="190"/>
      <c r="C39" s="190"/>
      <c r="D39" s="191"/>
      <c r="E39" s="190"/>
      <c r="F39" s="190"/>
      <c r="G39" s="190"/>
      <c r="H39" s="190"/>
      <c r="K39" s="194"/>
      <c r="L39" s="195"/>
      <c r="M39" s="195"/>
      <c r="N39" s="195"/>
      <c r="O39" s="195"/>
      <c r="P39" s="195"/>
      <c r="Q39" s="195"/>
    </row>
    <row r="40" spans="1:17" x14ac:dyDescent="0.3">
      <c r="A40" s="175"/>
      <c r="B40" s="190"/>
      <c r="C40" s="190"/>
      <c r="D40" s="191"/>
      <c r="E40" s="190"/>
      <c r="F40" s="190"/>
      <c r="G40" s="190"/>
      <c r="H40" s="190"/>
      <c r="K40" s="194"/>
      <c r="L40" s="195"/>
      <c r="M40" s="195"/>
      <c r="N40" s="195"/>
      <c r="O40" s="195"/>
      <c r="P40" s="195"/>
      <c r="Q40" s="195"/>
    </row>
    <row r="41" spans="1:17" x14ac:dyDescent="0.3">
      <c r="A41" s="175"/>
      <c r="B41" s="190"/>
      <c r="C41" s="190"/>
      <c r="D41" s="191"/>
      <c r="E41" s="190"/>
      <c r="F41" s="190"/>
      <c r="G41" s="190"/>
      <c r="H41" s="190"/>
      <c r="K41" s="194"/>
      <c r="L41" s="195"/>
      <c r="M41" s="195"/>
      <c r="N41" s="195"/>
      <c r="O41" s="195"/>
      <c r="P41" s="195"/>
      <c r="Q41" s="195"/>
    </row>
    <row r="42" spans="1:17" x14ac:dyDescent="0.3">
      <c r="A42" s="175"/>
      <c r="B42" s="190"/>
      <c r="C42" s="190"/>
      <c r="D42" s="191"/>
      <c r="E42" s="190"/>
      <c r="F42" s="190"/>
      <c r="G42" s="190"/>
      <c r="H42" s="190"/>
      <c r="K42" s="194"/>
      <c r="L42" s="195"/>
      <c r="M42" s="195"/>
      <c r="N42" s="195"/>
      <c r="O42" s="195"/>
      <c r="P42" s="195"/>
      <c r="Q42" s="195"/>
    </row>
    <row r="43" spans="1:17" x14ac:dyDescent="0.3">
      <c r="A43" s="175"/>
      <c r="B43" s="190"/>
      <c r="C43" s="190"/>
      <c r="D43" s="191"/>
      <c r="E43" s="190"/>
      <c r="F43" s="190"/>
      <c r="G43" s="190"/>
      <c r="H43" s="190"/>
      <c r="K43" s="194"/>
      <c r="L43" s="195"/>
      <c r="M43" s="195"/>
      <c r="N43" s="195"/>
      <c r="O43" s="195"/>
      <c r="P43" s="195"/>
      <c r="Q43" s="195"/>
    </row>
    <row r="44" spans="1:17" x14ac:dyDescent="0.3">
      <c r="A44" s="175"/>
      <c r="B44" s="190"/>
      <c r="C44" s="190"/>
      <c r="D44" s="190"/>
      <c r="E44" s="190"/>
      <c r="F44" s="190"/>
      <c r="G44" s="190"/>
      <c r="H44" s="190"/>
      <c r="K44" s="194"/>
      <c r="L44" s="195"/>
      <c r="M44" s="195"/>
      <c r="N44" s="195"/>
      <c r="O44" s="195"/>
      <c r="P44" s="195"/>
      <c r="Q44" s="195"/>
    </row>
    <row r="45" spans="1:17" x14ac:dyDescent="0.3">
      <c r="A45" s="175"/>
      <c r="B45" s="190"/>
      <c r="C45" s="190"/>
      <c r="D45" s="190"/>
      <c r="E45" s="190"/>
      <c r="F45" s="190"/>
      <c r="G45" s="190"/>
      <c r="H45" s="190"/>
      <c r="K45" s="194"/>
      <c r="L45" s="195"/>
      <c r="M45" s="195"/>
      <c r="N45" s="195"/>
      <c r="O45" s="195"/>
      <c r="P45" s="195"/>
      <c r="Q45" s="195"/>
    </row>
    <row r="46" spans="1:17" ht="14.25" customHeight="1" x14ac:dyDescent="0.3">
      <c r="A46" s="175"/>
      <c r="B46" s="190"/>
      <c r="C46" s="190"/>
      <c r="D46" s="190"/>
      <c r="E46" s="190"/>
      <c r="F46" s="190"/>
      <c r="G46" s="190"/>
      <c r="H46" s="190"/>
      <c r="K46" s="194"/>
      <c r="L46" s="195"/>
      <c r="M46" s="195"/>
      <c r="N46" s="195"/>
      <c r="O46" s="195"/>
      <c r="P46" s="195"/>
      <c r="Q46" s="195"/>
    </row>
    <row r="47" spans="1:17" ht="15.75" customHeight="1" thickBot="1" x14ac:dyDescent="0.35">
      <c r="A47" s="178" t="s">
        <v>383</v>
      </c>
      <c r="B47" s="197"/>
      <c r="C47" s="197"/>
      <c r="D47" s="197"/>
      <c r="E47" s="197"/>
      <c r="F47" s="197"/>
      <c r="G47" s="197"/>
      <c r="H47" s="253"/>
      <c r="K47" s="194"/>
      <c r="L47" s="195"/>
      <c r="M47" s="195"/>
      <c r="N47" s="195"/>
      <c r="O47" s="196" t="s">
        <v>220</v>
      </c>
      <c r="Q47" s="195"/>
    </row>
    <row r="48" spans="1:17" ht="13.8" thickBot="1" x14ac:dyDescent="0.35">
      <c r="A48" s="179"/>
      <c r="B48" s="198">
        <f t="shared" ref="B48:H49" si="1">B21</f>
        <v>2020</v>
      </c>
      <c r="C48" s="198">
        <f t="shared" si="1"/>
        <v>2021</v>
      </c>
      <c r="D48" s="198">
        <f t="shared" si="1"/>
        <v>2022</v>
      </c>
      <c r="E48" s="198">
        <f t="shared" si="1"/>
        <v>2023</v>
      </c>
      <c r="F48" s="198">
        <f t="shared" si="1"/>
        <v>2024</v>
      </c>
      <c r="G48" s="198">
        <f t="shared" si="1"/>
        <v>2025</v>
      </c>
      <c r="H48" s="198">
        <f t="shared" si="1"/>
        <v>2026</v>
      </c>
    </row>
    <row r="49" spans="1:9" x14ac:dyDescent="0.3">
      <c r="A49" s="183" t="s">
        <v>234</v>
      </c>
      <c r="B49" s="138">
        <f t="shared" si="1"/>
        <v>-5.3004666678856216</v>
      </c>
      <c r="C49" s="138">
        <f t="shared" ref="C49:H49" si="2">C22</f>
        <v>-5.4305277949314608</v>
      </c>
      <c r="D49" s="138">
        <f t="shared" si="2"/>
        <v>-2.0206660422039167</v>
      </c>
      <c r="E49" s="138">
        <f t="shared" si="2"/>
        <v>-6.2003269254555224</v>
      </c>
      <c r="F49" s="138">
        <f t="shared" si="2"/>
        <v>-6.51</v>
      </c>
      <c r="G49" s="138">
        <f t="shared" si="2"/>
        <v>-6.9</v>
      </c>
      <c r="H49" s="138">
        <f t="shared" si="2"/>
        <v>-6.6</v>
      </c>
    </row>
    <row r="50" spans="1:9" x14ac:dyDescent="0.3">
      <c r="A50" s="132" t="s">
        <v>278</v>
      </c>
      <c r="B50" s="138">
        <f t="shared" ref="B50:H50" si="3">B23</f>
        <v>-1.0183740130843146</v>
      </c>
      <c r="C50" s="138">
        <f t="shared" si="3"/>
        <v>8.6976190538908635E-2</v>
      </c>
      <c r="D50" s="138">
        <f t="shared" si="3"/>
        <v>0.25114447891230662</v>
      </c>
      <c r="E50" s="138">
        <f t="shared" si="3"/>
        <v>3.6203395255672691E-2</v>
      </c>
      <c r="F50" s="138">
        <f t="shared" si="3"/>
        <v>-0.31390576131175846</v>
      </c>
      <c r="G50" s="138">
        <f t="shared" si="3"/>
        <v>-6.7394531416521521E-3</v>
      </c>
      <c r="H50" s="138">
        <f t="shared" si="3"/>
        <v>9.3452861184262284E-2</v>
      </c>
      <c r="I50" s="35"/>
    </row>
    <row r="51" spans="1:9" x14ac:dyDescent="0.3">
      <c r="A51" s="137" t="s">
        <v>279</v>
      </c>
      <c r="B51" s="138">
        <f t="shared" ref="B51:H51" si="4">B24</f>
        <v>-1.8940371294204827</v>
      </c>
      <c r="C51" s="138">
        <f t="shared" si="4"/>
        <v>-2.9946289922265312</v>
      </c>
      <c r="D51" s="138">
        <f t="shared" si="4"/>
        <v>-0.63648121283756198</v>
      </c>
      <c r="E51" s="138">
        <f t="shared" si="4"/>
        <v>-0.12729029975160588</v>
      </c>
      <c r="F51" s="138">
        <f t="shared" si="4"/>
        <v>0</v>
      </c>
      <c r="G51" s="138">
        <f t="shared" si="4"/>
        <v>0</v>
      </c>
      <c r="H51" s="138">
        <f t="shared" si="4"/>
        <v>0</v>
      </c>
      <c r="I51" s="35"/>
    </row>
    <row r="52" spans="1:9" x14ac:dyDescent="0.3">
      <c r="A52" s="137" t="s">
        <v>280</v>
      </c>
      <c r="B52" s="138">
        <f t="shared" ref="B52:H52" si="5">B25</f>
        <v>0</v>
      </c>
      <c r="C52" s="138">
        <f t="shared" si="5"/>
        <v>0</v>
      </c>
      <c r="D52" s="138">
        <f t="shared" si="5"/>
        <v>-1.515342434009688E-2</v>
      </c>
      <c r="E52" s="138">
        <f t="shared" si="5"/>
        <v>-1.6791457353443342</v>
      </c>
      <c r="F52" s="138">
        <f t="shared" si="5"/>
        <v>-0.41337133341223736</v>
      </c>
      <c r="G52" s="138">
        <f t="shared" si="5"/>
        <v>0</v>
      </c>
      <c r="H52" s="138">
        <f t="shared" si="5"/>
        <v>0</v>
      </c>
      <c r="I52" s="35"/>
    </row>
    <row r="53" spans="1:9" x14ac:dyDescent="0.3">
      <c r="A53" s="137" t="s">
        <v>281</v>
      </c>
      <c r="B53" s="138">
        <f t="shared" ref="B53:H53" si="6">B26</f>
        <v>7.6005936427607113E-2</v>
      </c>
      <c r="C53" s="138">
        <f t="shared" si="6"/>
        <v>-0.40320542067236076</v>
      </c>
      <c r="D53" s="138">
        <f t="shared" si="6"/>
        <v>-0.13960485487442842</v>
      </c>
      <c r="E53" s="138">
        <f t="shared" si="6"/>
        <v>-8.302612454766034E-2</v>
      </c>
      <c r="F53" s="138">
        <f t="shared" si="6"/>
        <v>-7.6228577902236281E-3</v>
      </c>
      <c r="G53" s="138">
        <f t="shared" si="6"/>
        <v>0</v>
      </c>
      <c r="H53" s="138">
        <f t="shared" si="6"/>
        <v>0</v>
      </c>
      <c r="I53" s="35"/>
    </row>
    <row r="54" spans="1:9" x14ac:dyDescent="0.3">
      <c r="A54" s="259" t="s">
        <v>277</v>
      </c>
      <c r="B54" s="260">
        <f t="shared" ref="B54:H54" si="7">B27</f>
        <v>-2.4640614618084316</v>
      </c>
      <c r="C54" s="260">
        <f t="shared" si="7"/>
        <v>-2.1269057675833141</v>
      </c>
      <c r="D54" s="260">
        <f t="shared" si="7"/>
        <v>-1.4805710290641361</v>
      </c>
      <c r="E54" s="260">
        <f t="shared" si="7"/>
        <v>-4.347068161067595</v>
      </c>
      <c r="F54" s="260">
        <f t="shared" si="7"/>
        <v>-5.7751000474857799</v>
      </c>
      <c r="G54" s="260">
        <f t="shared" si="7"/>
        <v>-6.8932605468583485</v>
      </c>
      <c r="H54" s="260">
        <f t="shared" si="7"/>
        <v>-6.6934528611842623</v>
      </c>
      <c r="I54" s="35"/>
    </row>
    <row r="55" spans="1:9" x14ac:dyDescent="0.3">
      <c r="A55" s="184"/>
      <c r="B55" s="138"/>
      <c r="C55" s="138"/>
      <c r="D55" s="138"/>
      <c r="E55" s="138"/>
      <c r="F55" s="138"/>
      <c r="G55" s="138"/>
      <c r="H55" s="254" t="s">
        <v>236</v>
      </c>
      <c r="I55" s="35"/>
    </row>
    <row r="56" spans="1:9" x14ac:dyDescent="0.3">
      <c r="A56" s="37"/>
      <c r="B56" s="239"/>
      <c r="C56" s="239"/>
      <c r="D56" s="239"/>
      <c r="E56" s="239"/>
      <c r="F56" s="239"/>
      <c r="G56" s="239"/>
      <c r="I56" s="35"/>
    </row>
    <row r="57" spans="1:9" x14ac:dyDescent="0.3">
      <c r="A57" s="37"/>
      <c r="B57" s="126"/>
      <c r="C57" s="126"/>
      <c r="D57" s="189"/>
      <c r="E57" s="126"/>
      <c r="F57" s="126"/>
      <c r="G57" s="126"/>
    </row>
    <row r="58" spans="1:9" x14ac:dyDescent="0.3">
      <c r="A58" s="37"/>
      <c r="B58" s="126"/>
      <c r="C58" s="126"/>
      <c r="D58" s="189"/>
      <c r="E58" s="126"/>
      <c r="F58" s="254"/>
      <c r="G58" s="254"/>
    </row>
  </sheetData>
  <mergeCells count="6">
    <mergeCell ref="A20:D20"/>
    <mergeCell ref="E20:G20"/>
    <mergeCell ref="K21:Q21"/>
    <mergeCell ref="H29:I29"/>
    <mergeCell ref="H20:J20"/>
    <mergeCell ref="H28:I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I34"/>
  <sheetViews>
    <sheetView showGridLines="0" zoomScale="80" zoomScaleNormal="80" workbookViewId="0"/>
  </sheetViews>
  <sheetFormatPr defaultColWidth="9.21875" defaultRowHeight="13.2" x14ac:dyDescent="0.3"/>
  <cols>
    <col min="1" max="1" width="14.21875" style="32" bestFit="1" customWidth="1"/>
    <col min="2" max="2" width="50.21875" style="32" customWidth="1"/>
    <col min="3" max="16384" width="9.21875" style="32"/>
  </cols>
  <sheetData>
    <row r="1" spans="1:8" ht="14.4" x14ac:dyDescent="0.3">
      <c r="A1" s="1"/>
    </row>
    <row r="2" spans="1:8" x14ac:dyDescent="0.3">
      <c r="B2" s="127"/>
    </row>
    <row r="3" spans="1:8" x14ac:dyDescent="0.3">
      <c r="B3" s="127"/>
    </row>
    <row r="4" spans="1:8" ht="13.8" thickBot="1" x14ac:dyDescent="0.35">
      <c r="B4" s="470" t="s">
        <v>589</v>
      </c>
      <c r="C4" s="470"/>
    </row>
    <row r="5" spans="1:8" ht="13.8" thickBot="1" x14ac:dyDescent="0.35">
      <c r="B5" s="268"/>
      <c r="C5" s="269" t="s">
        <v>265</v>
      </c>
      <c r="D5" s="270" t="s">
        <v>410</v>
      </c>
      <c r="E5" s="141" t="s">
        <v>411</v>
      </c>
      <c r="F5" s="141" t="s">
        <v>227</v>
      </c>
      <c r="G5" s="339" t="s">
        <v>264</v>
      </c>
      <c r="H5" s="339" t="s">
        <v>412</v>
      </c>
    </row>
    <row r="6" spans="1:8" ht="15" customHeight="1" x14ac:dyDescent="0.3">
      <c r="B6" s="271" t="s">
        <v>413</v>
      </c>
      <c r="C6" s="272" t="s">
        <v>414</v>
      </c>
      <c r="D6" s="273" t="s">
        <v>415</v>
      </c>
      <c r="E6" s="274">
        <v>-6.2</v>
      </c>
      <c r="F6" s="275">
        <v>-6.5</v>
      </c>
      <c r="G6" s="276">
        <v>-6.9</v>
      </c>
      <c r="H6" s="276">
        <v>-6.6</v>
      </c>
    </row>
    <row r="7" spans="1:8" ht="15" customHeight="1" x14ac:dyDescent="0.3">
      <c r="B7" s="255" t="s">
        <v>324</v>
      </c>
      <c r="C7" s="277">
        <v>0.1</v>
      </c>
      <c r="D7" s="278">
        <v>0.3</v>
      </c>
      <c r="E7" s="279">
        <v>0</v>
      </c>
      <c r="F7" s="279">
        <v>-0.3</v>
      </c>
      <c r="G7" s="280">
        <v>0</v>
      </c>
      <c r="H7" s="280">
        <v>0.1</v>
      </c>
    </row>
    <row r="8" spans="1:8" ht="15" customHeight="1" thickBot="1" x14ac:dyDescent="0.35">
      <c r="B8" s="281" t="s">
        <v>325</v>
      </c>
      <c r="C8" s="282">
        <v>-3.4</v>
      </c>
      <c r="D8" s="283">
        <v>-0.7</v>
      </c>
      <c r="E8" s="284">
        <v>-1.4</v>
      </c>
      <c r="F8" s="284">
        <v>-0.4</v>
      </c>
      <c r="G8" s="208">
        <v>0</v>
      </c>
      <c r="H8" s="208">
        <v>0</v>
      </c>
    </row>
    <row r="9" spans="1:8" ht="15" customHeight="1" x14ac:dyDescent="0.3">
      <c r="B9" s="285" t="s">
        <v>326</v>
      </c>
      <c r="C9" s="286">
        <v>-3</v>
      </c>
      <c r="D9" s="287">
        <v>-0.6</v>
      </c>
      <c r="E9" s="204">
        <v>-0.1</v>
      </c>
      <c r="F9" s="204"/>
      <c r="G9" s="203"/>
      <c r="H9" s="203"/>
    </row>
    <row r="10" spans="1:8" ht="15" customHeight="1" x14ac:dyDescent="0.3">
      <c r="B10" s="285" t="s">
        <v>327</v>
      </c>
      <c r="C10" s="286"/>
      <c r="D10" s="287">
        <v>-0.1</v>
      </c>
      <c r="E10" s="204">
        <v>-0.1</v>
      </c>
      <c r="F10" s="204">
        <v>0</v>
      </c>
      <c r="G10" s="203"/>
      <c r="H10" s="203"/>
    </row>
    <row r="11" spans="1:8" ht="15" customHeight="1" x14ac:dyDescent="0.3">
      <c r="B11" s="285" t="s">
        <v>416</v>
      </c>
      <c r="C11" s="286"/>
      <c r="D11" s="287">
        <v>-0.1</v>
      </c>
      <c r="E11" s="204">
        <v>-1.1000000000000001</v>
      </c>
      <c r="F11" s="204">
        <v>-0.4</v>
      </c>
      <c r="G11" s="203"/>
      <c r="H11" s="203"/>
    </row>
    <row r="12" spans="1:8" ht="15" customHeight="1" thickBot="1" x14ac:dyDescent="0.35">
      <c r="B12" s="288" t="s">
        <v>328</v>
      </c>
      <c r="C12" s="289">
        <v>-0.4</v>
      </c>
      <c r="D12" s="290"/>
      <c r="E12" s="206"/>
      <c r="F12" s="206"/>
      <c r="G12" s="205"/>
      <c r="H12" s="205"/>
    </row>
    <row r="13" spans="1:8" ht="15" customHeight="1" thickBot="1" x14ac:dyDescent="0.35">
      <c r="B13" s="291" t="s">
        <v>329</v>
      </c>
      <c r="C13" s="292">
        <v>-2.1</v>
      </c>
      <c r="D13" s="293">
        <v>-1.5</v>
      </c>
      <c r="E13" s="294">
        <v>-4.9000000000000004</v>
      </c>
      <c r="F13" s="294">
        <v>-5.8</v>
      </c>
      <c r="G13" s="209">
        <v>-6.9</v>
      </c>
      <c r="H13" s="209">
        <v>-6.7</v>
      </c>
    </row>
    <row r="14" spans="1:8" ht="15" customHeight="1" thickBot="1" x14ac:dyDescent="0.35">
      <c r="B14" s="291" t="s">
        <v>330</v>
      </c>
      <c r="C14" s="292">
        <v>0.3</v>
      </c>
      <c r="D14" s="293">
        <v>0.6</v>
      </c>
      <c r="E14" s="294">
        <v>-3.4</v>
      </c>
      <c r="F14" s="294">
        <v>-0.9</v>
      </c>
      <c r="G14" s="209">
        <v>-1.2</v>
      </c>
      <c r="H14" s="209">
        <v>0.2</v>
      </c>
    </row>
    <row r="15" spans="1:8" ht="15" customHeight="1" thickBot="1" x14ac:dyDescent="0.35">
      <c r="B15" s="359" t="s">
        <v>417</v>
      </c>
      <c r="C15" s="179"/>
      <c r="D15" s="179"/>
      <c r="E15" s="179"/>
      <c r="F15" s="295">
        <v>0</v>
      </c>
      <c r="G15" s="295">
        <v>0</v>
      </c>
      <c r="H15" s="295">
        <v>0</v>
      </c>
    </row>
    <row r="16" spans="1:8" ht="22.5" customHeight="1" x14ac:dyDescent="0.3">
      <c r="B16" s="472" t="s">
        <v>418</v>
      </c>
      <c r="C16" s="472"/>
      <c r="D16" s="472"/>
      <c r="E16" s="472"/>
      <c r="F16" s="472"/>
      <c r="G16" s="472"/>
      <c r="H16" s="472"/>
    </row>
    <row r="17" spans="1:9" ht="22.5" customHeight="1" x14ac:dyDescent="0.3">
      <c r="B17" s="468" t="s">
        <v>419</v>
      </c>
      <c r="C17" s="468"/>
      <c r="D17" s="468"/>
      <c r="E17" s="468"/>
      <c r="F17" s="468"/>
      <c r="G17" s="468"/>
      <c r="H17" s="468"/>
    </row>
    <row r="18" spans="1:9" ht="15" customHeight="1" x14ac:dyDescent="0.3">
      <c r="B18" s="296" t="s">
        <v>420</v>
      </c>
      <c r="C18" s="257"/>
      <c r="D18" s="257"/>
      <c r="E18" s="257"/>
      <c r="F18" s="257"/>
      <c r="G18" s="257"/>
      <c r="H18" s="257"/>
    </row>
    <row r="19" spans="1:9" ht="22.35" customHeight="1" x14ac:dyDescent="0.3">
      <c r="B19" s="128"/>
      <c r="C19" s="256"/>
    </row>
    <row r="20" spans="1:9" ht="13.8" thickBot="1" x14ac:dyDescent="0.35">
      <c r="B20" s="471" t="s">
        <v>587</v>
      </c>
      <c r="C20" s="471"/>
      <c r="D20" s="471"/>
      <c r="E20" s="471"/>
      <c r="F20" s="471"/>
    </row>
    <row r="21" spans="1:9" ht="13.8" thickBot="1" x14ac:dyDescent="0.35">
      <c r="A21" s="35"/>
      <c r="B21" s="350"/>
      <c r="C21" s="343" t="s">
        <v>265</v>
      </c>
      <c r="D21" s="270" t="s">
        <v>410</v>
      </c>
      <c r="E21" s="141" t="s">
        <v>411</v>
      </c>
      <c r="F21" s="141" t="s">
        <v>227</v>
      </c>
      <c r="G21" s="339" t="s">
        <v>264</v>
      </c>
      <c r="H21" s="339" t="s">
        <v>412</v>
      </c>
      <c r="I21" s="35"/>
    </row>
    <row r="22" spans="1:9" ht="13.8" x14ac:dyDescent="0.3">
      <c r="B22" s="124" t="s">
        <v>421</v>
      </c>
      <c r="C22" s="344" t="s">
        <v>414</v>
      </c>
      <c r="D22" s="273" t="s">
        <v>415</v>
      </c>
      <c r="E22" s="274">
        <v>-6.2</v>
      </c>
      <c r="F22" s="275">
        <v>-6.5</v>
      </c>
      <c r="G22" s="276">
        <v>-6.9</v>
      </c>
      <c r="H22" s="276">
        <v>-6.6</v>
      </c>
    </row>
    <row r="23" spans="1:9" ht="13.8" x14ac:dyDescent="0.3">
      <c r="B23" s="32" t="s">
        <v>331</v>
      </c>
      <c r="C23" s="345">
        <v>0.1</v>
      </c>
      <c r="D23" s="278">
        <v>0.3</v>
      </c>
      <c r="E23" s="279">
        <v>0</v>
      </c>
      <c r="F23" s="279">
        <v>-0.3</v>
      </c>
      <c r="G23" s="280">
        <v>0</v>
      </c>
      <c r="H23" s="280">
        <v>0.1</v>
      </c>
    </row>
    <row r="24" spans="1:9" ht="14.4" thickBot="1" x14ac:dyDescent="0.35">
      <c r="B24" s="163" t="s">
        <v>332</v>
      </c>
      <c r="C24" s="346">
        <v>-3.4</v>
      </c>
      <c r="D24" s="283">
        <v>-0.7</v>
      </c>
      <c r="E24" s="284">
        <v>-1.4</v>
      </c>
      <c r="F24" s="284">
        <v>-0.4</v>
      </c>
      <c r="G24" s="208">
        <v>0</v>
      </c>
      <c r="H24" s="208">
        <v>0</v>
      </c>
    </row>
    <row r="25" spans="1:9" x14ac:dyDescent="0.3">
      <c r="B25" s="297" t="s">
        <v>333</v>
      </c>
      <c r="C25" s="347">
        <v>-3</v>
      </c>
      <c r="D25" s="287">
        <v>-0.6</v>
      </c>
      <c r="E25" s="204">
        <v>-0.1</v>
      </c>
      <c r="F25" s="204"/>
      <c r="G25" s="203"/>
      <c r="H25" s="203"/>
    </row>
    <row r="26" spans="1:9" x14ac:dyDescent="0.3">
      <c r="B26" s="297" t="s">
        <v>334</v>
      </c>
      <c r="C26" s="347"/>
      <c r="D26" s="287">
        <v>-0.1</v>
      </c>
      <c r="E26" s="204">
        <v>-0.1</v>
      </c>
      <c r="F26" s="204">
        <v>0</v>
      </c>
      <c r="G26" s="203"/>
      <c r="H26" s="203"/>
    </row>
    <row r="27" spans="1:9" x14ac:dyDescent="0.3">
      <c r="B27" s="297" t="s">
        <v>335</v>
      </c>
      <c r="C27" s="347"/>
      <c r="D27" s="287">
        <v>-0.1</v>
      </c>
      <c r="E27" s="204">
        <v>-1.1000000000000001</v>
      </c>
      <c r="F27" s="204">
        <v>-0.4</v>
      </c>
      <c r="G27" s="203"/>
      <c r="H27" s="203"/>
    </row>
    <row r="28" spans="1:9" ht="13.8" thickBot="1" x14ac:dyDescent="0.35">
      <c r="B28" s="341" t="s">
        <v>336</v>
      </c>
      <c r="C28" s="348">
        <v>-0.4</v>
      </c>
      <c r="D28" s="290"/>
      <c r="E28" s="206"/>
      <c r="F28" s="206"/>
      <c r="G28" s="205"/>
      <c r="H28" s="205"/>
    </row>
    <row r="29" spans="1:9" ht="14.4" thickBot="1" x14ac:dyDescent="0.35">
      <c r="B29" s="342" t="s">
        <v>337</v>
      </c>
      <c r="C29" s="349">
        <v>-2.1</v>
      </c>
      <c r="D29" s="293">
        <v>-1.5</v>
      </c>
      <c r="E29" s="294">
        <v>-4.9000000000000004</v>
      </c>
      <c r="F29" s="294">
        <v>-5.8</v>
      </c>
      <c r="G29" s="209">
        <v>-6.9</v>
      </c>
      <c r="H29" s="209">
        <v>-6.7</v>
      </c>
    </row>
    <row r="30" spans="1:9" ht="14.4" thickBot="1" x14ac:dyDescent="0.35">
      <c r="B30" s="342" t="s">
        <v>338</v>
      </c>
      <c r="C30" s="349">
        <v>0.3</v>
      </c>
      <c r="D30" s="293">
        <v>0.6</v>
      </c>
      <c r="E30" s="294">
        <v>-3.4</v>
      </c>
      <c r="F30" s="294">
        <v>-0.9</v>
      </c>
      <c r="G30" s="209">
        <v>-1.2</v>
      </c>
      <c r="H30" s="209">
        <v>0.2</v>
      </c>
    </row>
    <row r="31" spans="1:9" ht="13.8" thickBot="1" x14ac:dyDescent="0.35">
      <c r="B31" s="360" t="s">
        <v>458</v>
      </c>
      <c r="C31" s="179"/>
      <c r="D31" s="179"/>
      <c r="E31" s="179"/>
      <c r="F31" s="295">
        <v>0</v>
      </c>
      <c r="G31" s="295">
        <v>0</v>
      </c>
      <c r="H31" s="295">
        <v>0</v>
      </c>
    </row>
    <row r="32" spans="1:9" ht="22.5" customHeight="1" x14ac:dyDescent="0.3">
      <c r="B32" s="467" t="s">
        <v>422</v>
      </c>
      <c r="C32" s="467"/>
      <c r="D32" s="467"/>
      <c r="E32" s="467"/>
      <c r="F32" s="467"/>
      <c r="G32" s="467"/>
      <c r="H32" s="467"/>
    </row>
    <row r="33" spans="2:8" ht="22.5" customHeight="1" x14ac:dyDescent="0.3">
      <c r="B33" s="468" t="s">
        <v>339</v>
      </c>
      <c r="C33" s="468"/>
      <c r="D33" s="468"/>
      <c r="E33" s="468"/>
      <c r="F33" s="468"/>
      <c r="G33" s="468"/>
      <c r="H33" s="468"/>
    </row>
    <row r="34" spans="2:8" x14ac:dyDescent="0.3">
      <c r="B34" s="469" t="s">
        <v>340</v>
      </c>
      <c r="C34" s="469"/>
      <c r="D34" s="469"/>
      <c r="E34" s="469"/>
      <c r="F34" s="469"/>
      <c r="G34" s="469"/>
      <c r="H34" s="469"/>
    </row>
  </sheetData>
  <mergeCells count="7">
    <mergeCell ref="B32:H32"/>
    <mergeCell ref="B33:H33"/>
    <mergeCell ref="B34:H34"/>
    <mergeCell ref="B4:C4"/>
    <mergeCell ref="B20:F20"/>
    <mergeCell ref="B16:H16"/>
    <mergeCell ref="B17:H1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W38"/>
  <sheetViews>
    <sheetView showGridLines="0" zoomScale="80" zoomScaleNormal="80" workbookViewId="0"/>
  </sheetViews>
  <sheetFormatPr defaultRowHeight="14.4" x14ac:dyDescent="0.3"/>
  <cols>
    <col min="4" max="4" width="32.77734375" customWidth="1"/>
    <col min="13" max="13" width="17.44140625" customWidth="1"/>
  </cols>
  <sheetData>
    <row r="1" spans="4:21" x14ac:dyDescent="0.3">
      <c r="D1" s="32"/>
      <c r="E1" s="32"/>
      <c r="F1" s="32"/>
      <c r="G1" s="32"/>
      <c r="H1" s="32"/>
      <c r="I1" s="32"/>
      <c r="J1" s="32"/>
      <c r="K1" s="32"/>
      <c r="L1" s="32"/>
      <c r="M1" s="32"/>
      <c r="N1" s="32"/>
      <c r="O1" s="32"/>
      <c r="P1" s="32"/>
      <c r="Q1" s="32"/>
      <c r="R1" s="32"/>
      <c r="S1" s="32"/>
      <c r="T1" s="32"/>
      <c r="U1" s="32"/>
    </row>
    <row r="2" spans="4:21" ht="15" thickBot="1" x14ac:dyDescent="0.35">
      <c r="D2" s="163"/>
      <c r="E2" s="163"/>
      <c r="F2" s="163"/>
      <c r="G2" s="163"/>
      <c r="H2" s="163"/>
      <c r="I2" s="163"/>
      <c r="J2" s="163"/>
      <c r="K2" s="32"/>
      <c r="L2" s="32"/>
      <c r="M2" s="163"/>
      <c r="N2" s="163"/>
      <c r="O2" s="163"/>
      <c r="P2" s="163"/>
      <c r="Q2" s="35"/>
      <c r="R2" s="32"/>
      <c r="S2" s="32"/>
      <c r="T2" s="32"/>
      <c r="U2" s="32"/>
    </row>
    <row r="3" spans="4:21" x14ac:dyDescent="0.3">
      <c r="D3" s="35"/>
      <c r="E3" s="412">
        <v>2022</v>
      </c>
      <c r="F3" s="412">
        <v>2023</v>
      </c>
      <c r="G3" s="412">
        <v>2024</v>
      </c>
      <c r="H3" s="412">
        <v>2025</v>
      </c>
      <c r="I3" s="412">
        <v>2026</v>
      </c>
      <c r="J3" s="412">
        <v>2027</v>
      </c>
      <c r="K3" s="32"/>
      <c r="L3" s="32"/>
      <c r="M3" s="32"/>
      <c r="N3" s="124">
        <v>2024</v>
      </c>
      <c r="O3" s="124">
        <v>2025</v>
      </c>
      <c r="P3" s="124">
        <v>2026</v>
      </c>
      <c r="Q3" s="35"/>
      <c r="R3" s="32"/>
      <c r="S3" s="32"/>
      <c r="T3" s="32"/>
      <c r="U3" s="32"/>
    </row>
    <row r="4" spans="4:21" ht="15" thickBot="1" x14ac:dyDescent="0.35">
      <c r="D4" s="413" t="s">
        <v>625</v>
      </c>
      <c r="E4" s="414">
        <v>2</v>
      </c>
      <c r="F4" s="415">
        <v>6.53</v>
      </c>
      <c r="G4" s="413">
        <v>3.9</v>
      </c>
      <c r="H4" s="413">
        <v>3.2</v>
      </c>
      <c r="I4" s="413">
        <v>2.2000000000000002</v>
      </c>
      <c r="J4" s="413"/>
      <c r="K4" s="32"/>
      <c r="L4" s="32"/>
      <c r="M4" s="416" t="s">
        <v>629</v>
      </c>
      <c r="N4" s="416">
        <v>2.1</v>
      </c>
      <c r="O4" s="416">
        <v>4.4000000000000004</v>
      </c>
      <c r="P4" s="416">
        <v>4.3999999999999995</v>
      </c>
      <c r="Q4" s="32"/>
      <c r="R4" s="32"/>
      <c r="S4" s="32"/>
      <c r="T4" s="32"/>
      <c r="U4" s="32"/>
    </row>
    <row r="5" spans="4:21" ht="15" thickBot="1" x14ac:dyDescent="0.35">
      <c r="D5" s="417" t="s">
        <v>626</v>
      </c>
      <c r="E5" s="418">
        <v>2</v>
      </c>
      <c r="F5" s="418">
        <v>6.53</v>
      </c>
      <c r="G5" s="418">
        <v>4.5</v>
      </c>
      <c r="H5" s="418">
        <v>2.6</v>
      </c>
      <c r="I5" s="418">
        <v>2.2000000000000002</v>
      </c>
      <c r="J5" s="417">
        <v>1.7</v>
      </c>
      <c r="K5" s="32"/>
      <c r="L5" s="32"/>
      <c r="M5" s="32"/>
      <c r="N5" s="32"/>
      <c r="O5" s="32"/>
      <c r="P5" s="32"/>
      <c r="Q5" s="32"/>
      <c r="R5" s="32"/>
      <c r="S5" s="32"/>
      <c r="T5" s="32"/>
      <c r="U5" s="32"/>
    </row>
    <row r="6" spans="4:21" x14ac:dyDescent="0.3">
      <c r="D6" s="419"/>
      <c r="E6" s="419"/>
      <c r="F6" s="420"/>
      <c r="G6" s="420"/>
      <c r="H6" s="420"/>
      <c r="I6" s="420"/>
      <c r="J6" s="419"/>
      <c r="K6" s="32"/>
      <c r="L6" s="32"/>
      <c r="M6" s="32"/>
      <c r="N6" s="32"/>
      <c r="O6" s="32"/>
      <c r="P6" s="32"/>
      <c r="Q6" s="32"/>
      <c r="R6" s="32"/>
      <c r="S6" s="32"/>
      <c r="T6" s="32"/>
      <c r="U6" s="32"/>
    </row>
    <row r="7" spans="4:21" x14ac:dyDescent="0.3">
      <c r="D7" s="241" t="s">
        <v>462</v>
      </c>
      <c r="E7" s="32"/>
      <c r="F7" s="32"/>
      <c r="G7" s="32"/>
      <c r="H7" s="32"/>
      <c r="I7" s="420"/>
      <c r="J7" s="419"/>
      <c r="K7" s="32"/>
      <c r="L7" s="32"/>
      <c r="M7" s="241" t="s">
        <v>463</v>
      </c>
      <c r="N7" s="32"/>
      <c r="O7" s="32"/>
      <c r="P7" s="32"/>
      <c r="Q7" s="32"/>
      <c r="R7" s="32"/>
      <c r="S7" s="32"/>
      <c r="T7" s="32"/>
      <c r="U7" s="32"/>
    </row>
    <row r="8" spans="4:21" x14ac:dyDescent="0.3">
      <c r="D8" s="419"/>
      <c r="E8" s="32"/>
      <c r="F8" s="419"/>
      <c r="G8" s="420"/>
      <c r="H8" s="420"/>
      <c r="I8" s="420"/>
      <c r="J8" s="420"/>
      <c r="K8" s="419"/>
      <c r="L8" s="32"/>
      <c r="M8" s="32"/>
      <c r="N8" s="32"/>
      <c r="O8" s="32"/>
      <c r="P8" s="32"/>
      <c r="Q8" s="32"/>
      <c r="R8" s="32"/>
      <c r="S8" s="32"/>
      <c r="T8" s="32"/>
      <c r="U8" s="32"/>
    </row>
    <row r="9" spans="4:21" x14ac:dyDescent="0.3">
      <c r="D9" s="419"/>
      <c r="E9" s="32"/>
      <c r="F9" s="419"/>
      <c r="G9" s="420"/>
      <c r="H9" s="420"/>
      <c r="I9" s="420"/>
      <c r="J9" s="420"/>
      <c r="K9" s="419"/>
      <c r="L9" s="32"/>
      <c r="M9" s="32"/>
      <c r="N9" s="32"/>
      <c r="O9" s="32"/>
      <c r="P9" s="32"/>
      <c r="Q9" s="32"/>
      <c r="R9" s="32"/>
      <c r="S9" s="32"/>
      <c r="T9" s="32"/>
      <c r="U9" s="32"/>
    </row>
    <row r="10" spans="4:21" x14ac:dyDescent="0.3">
      <c r="D10" s="419"/>
      <c r="E10" s="32"/>
      <c r="F10" s="419"/>
      <c r="G10" s="420"/>
      <c r="H10" s="420"/>
      <c r="I10" s="420"/>
      <c r="J10" s="420"/>
      <c r="K10" s="419"/>
      <c r="L10" s="32"/>
      <c r="M10" s="32"/>
      <c r="N10" s="32"/>
      <c r="O10" s="32"/>
      <c r="P10" s="32"/>
      <c r="Q10" s="32"/>
      <c r="R10" s="32"/>
      <c r="S10" s="32"/>
      <c r="T10" s="32"/>
      <c r="U10" s="32"/>
    </row>
    <row r="11" spans="4:21" x14ac:dyDescent="0.3">
      <c r="D11" s="32"/>
      <c r="E11" s="32"/>
      <c r="F11" s="32"/>
      <c r="G11" s="32"/>
      <c r="H11" s="32"/>
      <c r="I11" s="32"/>
      <c r="J11" s="32"/>
      <c r="K11" s="32"/>
      <c r="L11" s="32"/>
      <c r="M11" s="32"/>
      <c r="N11" s="32"/>
      <c r="O11" s="32"/>
      <c r="P11" s="32"/>
      <c r="Q11" s="32"/>
      <c r="R11" s="32"/>
      <c r="S11" s="32"/>
      <c r="T11" s="32"/>
      <c r="U11" s="32"/>
    </row>
    <row r="12" spans="4:21" x14ac:dyDescent="0.3">
      <c r="D12" s="32"/>
      <c r="E12" s="32"/>
      <c r="F12" s="32"/>
      <c r="G12" s="32"/>
      <c r="H12" s="32"/>
      <c r="I12" s="32"/>
      <c r="J12" s="32"/>
      <c r="K12" s="32"/>
      <c r="L12" s="32"/>
      <c r="M12" s="32"/>
      <c r="N12" s="32"/>
      <c r="O12" s="32"/>
      <c r="P12" s="32"/>
      <c r="Q12" s="32"/>
      <c r="R12" s="32"/>
      <c r="S12" s="32"/>
      <c r="T12" s="32"/>
      <c r="U12" s="32"/>
    </row>
    <row r="13" spans="4:21" x14ac:dyDescent="0.3">
      <c r="D13" s="32"/>
      <c r="E13" s="32"/>
      <c r="F13" s="32"/>
      <c r="G13" s="32"/>
      <c r="H13" s="32"/>
      <c r="I13" s="32"/>
      <c r="J13" s="32"/>
      <c r="K13" s="32"/>
      <c r="L13" s="32"/>
      <c r="M13" s="32"/>
      <c r="N13" s="32"/>
      <c r="O13" s="32"/>
      <c r="P13" s="32"/>
      <c r="Q13" s="32"/>
      <c r="R13" s="32"/>
      <c r="S13" s="32"/>
      <c r="T13" s="32"/>
      <c r="U13" s="32"/>
    </row>
    <row r="14" spans="4:21" x14ac:dyDescent="0.3">
      <c r="D14" s="32"/>
      <c r="E14" s="32"/>
      <c r="F14" s="32"/>
      <c r="G14" s="32"/>
      <c r="H14" s="32"/>
      <c r="I14" s="32"/>
      <c r="J14" s="32"/>
      <c r="K14" s="32"/>
      <c r="L14" s="32"/>
      <c r="M14" s="32"/>
      <c r="N14" s="32"/>
      <c r="O14" s="32"/>
      <c r="P14" s="32"/>
      <c r="Q14" s="32"/>
      <c r="R14" s="32"/>
      <c r="S14" s="32"/>
      <c r="T14" s="32"/>
      <c r="U14" s="32"/>
    </row>
    <row r="15" spans="4:21" x14ac:dyDescent="0.3">
      <c r="D15" s="32"/>
      <c r="E15" s="32"/>
      <c r="F15" s="32"/>
      <c r="G15" s="32"/>
      <c r="H15" s="32"/>
      <c r="I15" s="32"/>
      <c r="J15" s="32"/>
      <c r="K15" s="32"/>
      <c r="L15" s="32"/>
      <c r="M15" s="32"/>
      <c r="N15" s="32"/>
      <c r="O15" s="32"/>
      <c r="P15" s="32"/>
      <c r="Q15" s="32"/>
      <c r="R15" s="32"/>
      <c r="S15" s="32"/>
      <c r="T15" s="32"/>
      <c r="U15" s="32"/>
    </row>
    <row r="16" spans="4:21" x14ac:dyDescent="0.3">
      <c r="D16" s="32"/>
      <c r="E16" s="32"/>
      <c r="F16" s="32"/>
      <c r="G16" s="32"/>
      <c r="H16" s="32"/>
      <c r="I16" s="32"/>
      <c r="J16" s="32"/>
      <c r="K16" s="32"/>
      <c r="L16" s="32"/>
      <c r="M16" s="32"/>
      <c r="N16" s="32"/>
      <c r="O16" s="32"/>
      <c r="P16" s="32"/>
      <c r="Q16" s="32"/>
      <c r="R16" s="32"/>
      <c r="S16" s="32"/>
      <c r="T16" s="32"/>
      <c r="U16" s="32"/>
    </row>
    <row r="17" spans="4:23" x14ac:dyDescent="0.3">
      <c r="D17" s="32"/>
      <c r="E17" s="32"/>
      <c r="F17" s="32"/>
      <c r="G17" s="32"/>
      <c r="H17" s="32"/>
      <c r="I17" s="32"/>
      <c r="J17" s="32"/>
      <c r="K17" s="32"/>
      <c r="L17" s="32"/>
      <c r="M17" s="132"/>
      <c r="N17" s="132"/>
      <c r="O17" s="132"/>
      <c r="P17" s="132"/>
      <c r="Q17" s="132"/>
      <c r="R17" s="132"/>
      <c r="S17" s="132"/>
      <c r="T17" s="132"/>
      <c r="U17" s="132"/>
      <c r="V17" s="376"/>
      <c r="W17" s="376"/>
    </row>
    <row r="18" spans="4:23" x14ac:dyDescent="0.3">
      <c r="D18" s="32"/>
      <c r="E18" s="32"/>
      <c r="F18" s="32"/>
      <c r="G18" s="32"/>
      <c r="H18" s="32"/>
      <c r="I18" s="32"/>
      <c r="J18" s="32"/>
      <c r="K18" s="32"/>
      <c r="L18" s="32"/>
      <c r="M18" s="32"/>
      <c r="N18" s="32"/>
      <c r="O18" s="32"/>
      <c r="P18" s="32"/>
      <c r="Q18" s="32"/>
      <c r="R18" s="32"/>
      <c r="S18" s="32"/>
      <c r="T18" s="32"/>
      <c r="U18" s="132"/>
      <c r="V18" s="376"/>
      <c r="W18" s="376"/>
    </row>
    <row r="19" spans="4:23" ht="15" thickBot="1" x14ac:dyDescent="0.35">
      <c r="D19" s="163"/>
      <c r="E19" s="163"/>
      <c r="F19" s="163"/>
      <c r="G19" s="163"/>
      <c r="H19" s="163"/>
      <c r="I19" s="163"/>
      <c r="J19" s="163"/>
      <c r="K19" s="32"/>
      <c r="L19" s="32"/>
      <c r="M19" s="163"/>
      <c r="N19" s="163"/>
      <c r="O19" s="163"/>
      <c r="P19" s="163"/>
      <c r="Q19" s="35"/>
      <c r="R19" s="32"/>
      <c r="S19" s="32"/>
      <c r="T19" s="32"/>
      <c r="U19" s="32"/>
    </row>
    <row r="20" spans="4:23" x14ac:dyDescent="0.3">
      <c r="D20" s="35"/>
      <c r="E20" s="412">
        <v>2022</v>
      </c>
      <c r="F20" s="412">
        <v>2023</v>
      </c>
      <c r="G20" s="412">
        <v>2024</v>
      </c>
      <c r="H20" s="412">
        <v>2025</v>
      </c>
      <c r="I20" s="412">
        <v>2026</v>
      </c>
      <c r="J20" s="412">
        <v>2027</v>
      </c>
      <c r="K20" s="32"/>
      <c r="L20" s="32"/>
      <c r="M20" s="32"/>
      <c r="N20" s="124">
        <v>2024</v>
      </c>
      <c r="O20" s="124">
        <v>2025</v>
      </c>
      <c r="P20" s="124">
        <v>2026</v>
      </c>
      <c r="Q20" s="35"/>
      <c r="R20" s="32"/>
      <c r="S20" s="32"/>
      <c r="T20" s="32"/>
      <c r="U20" s="32"/>
    </row>
    <row r="21" spans="4:23" ht="15" thickBot="1" x14ac:dyDescent="0.35">
      <c r="D21" s="413" t="s">
        <v>628</v>
      </c>
      <c r="E21" s="413">
        <v>2</v>
      </c>
      <c r="F21" s="415">
        <v>6.53</v>
      </c>
      <c r="G21" s="413">
        <v>3.9</v>
      </c>
      <c r="H21" s="413">
        <v>3.2</v>
      </c>
      <c r="I21" s="413">
        <v>2.2000000000000002</v>
      </c>
      <c r="J21" s="413"/>
      <c r="K21" s="32"/>
      <c r="L21" s="32"/>
      <c r="M21" s="416" t="s">
        <v>630</v>
      </c>
      <c r="N21" s="416">
        <v>2.1</v>
      </c>
      <c r="O21" s="416">
        <v>4.4000000000000004</v>
      </c>
      <c r="P21" s="416">
        <v>4.3999999999999995</v>
      </c>
      <c r="Q21" s="32"/>
      <c r="R21" s="32"/>
      <c r="S21" s="32"/>
      <c r="T21" s="32"/>
      <c r="U21" s="32"/>
    </row>
    <row r="22" spans="4:23" ht="15" thickBot="1" x14ac:dyDescent="0.35">
      <c r="D22" s="417" t="s">
        <v>627</v>
      </c>
      <c r="E22" s="418">
        <v>2</v>
      </c>
      <c r="F22" s="418">
        <v>6.53</v>
      </c>
      <c r="G22" s="418">
        <v>4.5</v>
      </c>
      <c r="H22" s="418">
        <v>2.6</v>
      </c>
      <c r="I22" s="418">
        <v>2.2000000000000002</v>
      </c>
      <c r="J22" s="417">
        <v>1.7</v>
      </c>
      <c r="K22" s="32"/>
      <c r="L22" s="32"/>
      <c r="M22" s="32"/>
      <c r="N22" s="32"/>
      <c r="O22" s="32"/>
      <c r="P22" s="32"/>
      <c r="Q22" s="32"/>
      <c r="R22" s="32"/>
      <c r="S22" s="32"/>
      <c r="T22" s="32"/>
      <c r="U22" s="32"/>
    </row>
    <row r="23" spans="4:23" x14ac:dyDescent="0.3">
      <c r="D23" s="32"/>
      <c r="E23" s="32"/>
      <c r="F23" s="32"/>
      <c r="G23" s="32"/>
      <c r="H23" s="32"/>
      <c r="I23" s="32"/>
      <c r="J23" s="32"/>
      <c r="K23" s="32"/>
      <c r="L23" s="32"/>
      <c r="M23" s="32"/>
      <c r="N23" s="32"/>
      <c r="O23" s="32"/>
      <c r="P23" s="32"/>
      <c r="Q23" s="32"/>
      <c r="R23" s="32"/>
      <c r="S23" s="32"/>
      <c r="T23" s="32"/>
      <c r="U23" s="32"/>
    </row>
    <row r="24" spans="4:23" x14ac:dyDescent="0.3">
      <c r="D24" s="241" t="s">
        <v>464</v>
      </c>
      <c r="E24" s="32"/>
      <c r="F24" s="32"/>
      <c r="G24" s="32"/>
      <c r="H24" s="32"/>
      <c r="I24" s="32"/>
      <c r="J24" s="32"/>
      <c r="K24" s="32"/>
      <c r="L24" s="32"/>
      <c r="M24" s="377" t="s">
        <v>584</v>
      </c>
      <c r="N24" s="132"/>
      <c r="O24" s="132"/>
      <c r="P24" s="132"/>
      <c r="Q24" s="132"/>
      <c r="R24" s="132"/>
      <c r="S24" s="132"/>
      <c r="T24" s="132"/>
      <c r="U24" s="32"/>
    </row>
    <row r="25" spans="4:23" x14ac:dyDescent="0.3">
      <c r="D25" s="32"/>
      <c r="E25" s="32"/>
      <c r="F25" s="32"/>
      <c r="G25" s="32"/>
      <c r="H25" s="32"/>
      <c r="I25" s="32"/>
      <c r="J25" s="32"/>
      <c r="K25" s="32"/>
      <c r="L25" s="32"/>
      <c r="M25" s="32"/>
      <c r="N25" s="32"/>
      <c r="O25" s="32"/>
      <c r="P25" s="32"/>
      <c r="Q25" s="32"/>
      <c r="R25" s="32"/>
      <c r="S25" s="32"/>
      <c r="T25" s="32"/>
      <c r="U25" s="32"/>
    </row>
    <row r="26" spans="4:23" x14ac:dyDescent="0.3">
      <c r="D26" s="32"/>
      <c r="E26" s="32"/>
      <c r="F26" s="32"/>
      <c r="G26" s="32"/>
      <c r="H26" s="32"/>
      <c r="I26" s="32"/>
      <c r="J26" s="32"/>
      <c r="K26" s="32"/>
      <c r="L26" s="32"/>
      <c r="M26" s="32"/>
      <c r="N26" s="32"/>
      <c r="O26" s="32"/>
      <c r="P26" s="32"/>
      <c r="Q26" s="32"/>
      <c r="R26" s="32"/>
      <c r="S26" s="32"/>
      <c r="T26" s="32"/>
      <c r="U26" s="32"/>
    </row>
    <row r="27" spans="4:23" x14ac:dyDescent="0.3">
      <c r="D27" s="32"/>
      <c r="E27" s="32"/>
      <c r="F27" s="32"/>
      <c r="G27" s="32"/>
      <c r="H27" s="32"/>
      <c r="I27" s="32"/>
      <c r="J27" s="32"/>
      <c r="K27" s="32"/>
      <c r="L27" s="32"/>
      <c r="M27" s="32"/>
      <c r="N27" s="32"/>
      <c r="O27" s="32"/>
      <c r="P27" s="32"/>
      <c r="Q27" s="32"/>
      <c r="R27" s="32"/>
      <c r="S27" s="32"/>
      <c r="T27" s="32"/>
      <c r="U27" s="32"/>
    </row>
    <row r="28" spans="4:23" x14ac:dyDescent="0.3">
      <c r="D28" s="32"/>
      <c r="E28" s="32"/>
      <c r="F28" s="32"/>
      <c r="G28" s="32"/>
      <c r="H28" s="32"/>
      <c r="I28" s="32"/>
      <c r="J28" s="32"/>
      <c r="K28" s="32"/>
      <c r="L28" s="32"/>
      <c r="M28" s="32"/>
      <c r="N28" s="32"/>
      <c r="O28" s="32"/>
      <c r="P28" s="32"/>
      <c r="Q28" s="32"/>
      <c r="R28" s="32"/>
      <c r="S28" s="32"/>
      <c r="T28" s="32"/>
      <c r="U28" s="32"/>
    </row>
    <row r="29" spans="4:23" x14ac:dyDescent="0.3">
      <c r="D29" s="32"/>
      <c r="E29" s="32"/>
      <c r="F29" s="32"/>
      <c r="G29" s="32"/>
      <c r="H29" s="32"/>
      <c r="I29" s="32"/>
      <c r="J29" s="32"/>
      <c r="K29" s="32"/>
      <c r="L29" s="32"/>
      <c r="M29" s="32"/>
      <c r="N29" s="32"/>
      <c r="O29" s="32"/>
      <c r="P29" s="32"/>
      <c r="Q29" s="32"/>
      <c r="R29" s="32"/>
      <c r="S29" s="32"/>
      <c r="T29" s="32"/>
      <c r="U29" s="32"/>
    </row>
    <row r="30" spans="4:23" x14ac:dyDescent="0.3">
      <c r="D30" s="32"/>
      <c r="E30" s="32"/>
      <c r="F30" s="32"/>
      <c r="G30" s="32"/>
      <c r="H30" s="32"/>
      <c r="I30" s="32"/>
      <c r="J30" s="32"/>
      <c r="K30" s="32"/>
      <c r="L30" s="32"/>
      <c r="M30" s="32"/>
      <c r="N30" s="32"/>
      <c r="O30" s="32"/>
      <c r="P30" s="32"/>
      <c r="Q30" s="32"/>
      <c r="R30" s="32"/>
      <c r="S30" s="32"/>
      <c r="T30" s="32"/>
      <c r="U30" s="32"/>
    </row>
    <row r="31" spans="4:23" x14ac:dyDescent="0.3">
      <c r="D31" s="32"/>
      <c r="E31" s="32"/>
      <c r="F31" s="32"/>
      <c r="G31" s="32"/>
      <c r="H31" s="32"/>
      <c r="I31" s="32"/>
      <c r="J31" s="32"/>
      <c r="K31" s="32"/>
      <c r="L31" s="32"/>
      <c r="M31" s="32"/>
      <c r="N31" s="32"/>
      <c r="O31" s="32"/>
      <c r="P31" s="32"/>
      <c r="Q31" s="32"/>
      <c r="R31" s="32"/>
      <c r="S31" s="32"/>
      <c r="T31" s="32"/>
      <c r="U31" s="32"/>
    </row>
    <row r="32" spans="4:23" x14ac:dyDescent="0.3">
      <c r="D32" s="32"/>
      <c r="E32" s="32"/>
      <c r="F32" s="32"/>
      <c r="G32" s="32"/>
      <c r="H32" s="32"/>
      <c r="I32" s="32"/>
      <c r="J32" s="32"/>
      <c r="K32" s="32"/>
      <c r="L32" s="32"/>
      <c r="M32" s="32"/>
      <c r="N32" s="32"/>
      <c r="O32" s="32"/>
      <c r="P32" s="32"/>
      <c r="Q32" s="32"/>
      <c r="R32" s="32"/>
      <c r="S32" s="32"/>
      <c r="T32" s="32"/>
      <c r="U32" s="32"/>
    </row>
    <row r="33" spans="4:21" x14ac:dyDescent="0.3">
      <c r="D33" s="32"/>
      <c r="E33" s="32"/>
      <c r="F33" s="32"/>
      <c r="G33" s="32"/>
      <c r="H33" s="32"/>
      <c r="I33" s="32"/>
      <c r="J33" s="32"/>
      <c r="K33" s="32"/>
      <c r="L33" s="32"/>
      <c r="M33" s="32"/>
      <c r="N33" s="32"/>
      <c r="O33" s="32"/>
      <c r="P33" s="32"/>
      <c r="Q33" s="32"/>
      <c r="R33" s="32"/>
      <c r="S33" s="32"/>
      <c r="T33" s="32"/>
      <c r="U33" s="32"/>
    </row>
    <row r="34" spans="4:21" x14ac:dyDescent="0.3">
      <c r="D34" s="32"/>
      <c r="E34" s="32"/>
      <c r="F34" s="32"/>
      <c r="G34" s="32"/>
      <c r="H34" s="32"/>
      <c r="I34" s="32"/>
      <c r="J34" s="32"/>
      <c r="K34" s="32"/>
      <c r="L34" s="32"/>
      <c r="M34" s="32"/>
      <c r="N34" s="32"/>
      <c r="O34" s="32"/>
      <c r="P34" s="32"/>
      <c r="Q34" s="32"/>
      <c r="R34" s="32"/>
      <c r="S34" s="32"/>
      <c r="T34" s="32"/>
      <c r="U34" s="32"/>
    </row>
    <row r="35" spans="4:21" x14ac:dyDescent="0.3">
      <c r="D35" s="32"/>
      <c r="E35" s="32"/>
      <c r="F35" s="32"/>
      <c r="G35" s="32"/>
      <c r="H35" s="32"/>
      <c r="I35" s="32"/>
      <c r="J35" s="32"/>
      <c r="K35" s="32"/>
      <c r="L35" s="32"/>
      <c r="M35" s="32"/>
      <c r="N35" s="32"/>
      <c r="O35" s="32"/>
      <c r="P35" s="32"/>
      <c r="Q35" s="32"/>
      <c r="R35" s="32"/>
      <c r="S35" s="32"/>
      <c r="T35" s="32"/>
      <c r="U35" s="32"/>
    </row>
    <row r="36" spans="4:21" x14ac:dyDescent="0.3">
      <c r="D36" s="32"/>
      <c r="E36" s="32"/>
      <c r="F36" s="32"/>
      <c r="G36" s="32"/>
      <c r="H36" s="32"/>
      <c r="I36" s="32"/>
      <c r="J36" s="32"/>
      <c r="K36" s="32"/>
      <c r="L36" s="32"/>
      <c r="M36" s="32"/>
      <c r="N36" s="32"/>
      <c r="O36" s="32"/>
      <c r="P36" s="32"/>
      <c r="Q36" s="32"/>
      <c r="R36" s="32"/>
      <c r="S36" s="32"/>
      <c r="T36" s="32"/>
      <c r="U36" s="32"/>
    </row>
    <row r="37" spans="4:21" x14ac:dyDescent="0.3">
      <c r="D37" s="32"/>
      <c r="E37" s="32"/>
      <c r="F37" s="32"/>
      <c r="G37" s="32"/>
      <c r="H37" s="32"/>
      <c r="I37" s="32"/>
      <c r="J37" s="32"/>
      <c r="K37" s="32"/>
      <c r="L37" s="32"/>
      <c r="M37" s="32"/>
      <c r="N37" s="32"/>
      <c r="O37" s="32"/>
      <c r="P37" s="32"/>
      <c r="Q37" s="32"/>
      <c r="R37" s="32"/>
      <c r="S37" s="32"/>
      <c r="T37" s="32"/>
      <c r="U37" s="32"/>
    </row>
    <row r="38" spans="4:21" x14ac:dyDescent="0.3">
      <c r="D38" s="32"/>
      <c r="E38" s="32"/>
      <c r="F38" s="32"/>
      <c r="G38" s="32"/>
      <c r="H38" s="32"/>
      <c r="I38" s="32"/>
      <c r="J38" s="32"/>
      <c r="K38" s="32"/>
      <c r="L38" s="32"/>
      <c r="M38" s="32"/>
      <c r="N38" s="32"/>
      <c r="O38" s="32"/>
      <c r="P38" s="32"/>
      <c r="Q38" s="32"/>
      <c r="R38" s="32"/>
      <c r="S38" s="32"/>
      <c r="T38" s="32"/>
      <c r="U38" s="3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Z16"/>
  <sheetViews>
    <sheetView showGridLines="0" zoomScale="80" zoomScaleNormal="80" workbookViewId="0">
      <selection activeCell="G14" sqref="G14"/>
    </sheetView>
  </sheetViews>
  <sheetFormatPr defaultRowHeight="14.4" x14ac:dyDescent="0.3"/>
  <cols>
    <col min="4" max="4" width="55.21875" customWidth="1"/>
    <col min="5" max="5" width="5" bestFit="1" customWidth="1"/>
    <col min="6" max="6" width="10.44140625" customWidth="1"/>
    <col min="7" max="7" width="10" customWidth="1"/>
    <col min="8" max="8" width="44.21875" bestFit="1" customWidth="1"/>
    <col min="9" max="9" width="5" bestFit="1" customWidth="1"/>
  </cols>
  <sheetData>
    <row r="2" spans="4:26" ht="15" thickBot="1" x14ac:dyDescent="0.35">
      <c r="D2" s="423"/>
      <c r="E2" s="351"/>
      <c r="H2" s="351"/>
      <c r="I2" s="351"/>
      <c r="P2" s="241"/>
    </row>
    <row r="3" spans="4:26" x14ac:dyDescent="0.3">
      <c r="D3" s="421" t="s">
        <v>638</v>
      </c>
      <c r="E3" s="422"/>
      <c r="H3" s="424" t="s">
        <v>649</v>
      </c>
      <c r="I3" s="422"/>
    </row>
    <row r="4" spans="4:26" x14ac:dyDescent="0.3">
      <c r="D4" s="5" t="s">
        <v>631</v>
      </c>
      <c r="E4" s="395">
        <v>1550</v>
      </c>
      <c r="H4" s="5" t="s">
        <v>639</v>
      </c>
      <c r="I4" s="395">
        <v>1550</v>
      </c>
    </row>
    <row r="5" spans="4:26" x14ac:dyDescent="0.3">
      <c r="D5" s="5" t="s">
        <v>632</v>
      </c>
      <c r="E5" s="395">
        <v>3255.6134000000002</v>
      </c>
      <c r="H5" s="5" t="s">
        <v>640</v>
      </c>
      <c r="I5" s="395">
        <v>3255.6134000000002</v>
      </c>
    </row>
    <row r="6" spans="4:26" x14ac:dyDescent="0.3">
      <c r="D6" s="5" t="s">
        <v>633</v>
      </c>
      <c r="E6" s="395">
        <v>859.71257142857144</v>
      </c>
      <c r="H6" s="5" t="s">
        <v>641</v>
      </c>
      <c r="I6" s="395">
        <v>859.71257142857144</v>
      </c>
    </row>
    <row r="7" spans="4:26" x14ac:dyDescent="0.3">
      <c r="D7" s="5" t="s">
        <v>634</v>
      </c>
      <c r="E7" s="395">
        <v>968.06999999999994</v>
      </c>
      <c r="H7" s="5" t="s">
        <v>642</v>
      </c>
      <c r="I7" s="395">
        <v>968.06999999999994</v>
      </c>
    </row>
    <row r="8" spans="4:26" x14ac:dyDescent="0.3">
      <c r="D8" s="5" t="s">
        <v>635</v>
      </c>
      <c r="E8" s="395">
        <v>211</v>
      </c>
      <c r="H8" s="5" t="s">
        <v>648</v>
      </c>
      <c r="I8" s="395">
        <v>211</v>
      </c>
    </row>
    <row r="9" spans="4:26" x14ac:dyDescent="0.3">
      <c r="D9" s="5" t="s">
        <v>636</v>
      </c>
      <c r="E9" s="395">
        <v>2364.8560789155053</v>
      </c>
      <c r="H9" s="5" t="s">
        <v>643</v>
      </c>
      <c r="I9" s="395">
        <v>2364.8560789155053</v>
      </c>
    </row>
    <row r="10" spans="4:26" ht="15" thickBot="1" x14ac:dyDescent="0.35">
      <c r="D10" s="396" t="s">
        <v>637</v>
      </c>
      <c r="E10" s="397">
        <v>344.07400000000001</v>
      </c>
      <c r="H10" s="396" t="s">
        <v>644</v>
      </c>
      <c r="I10" s="397">
        <v>344.07400000000001</v>
      </c>
    </row>
    <row r="13" spans="4:26" x14ac:dyDescent="0.3">
      <c r="D13" s="241" t="s">
        <v>465</v>
      </c>
      <c r="H13" s="241" t="s">
        <v>466</v>
      </c>
    </row>
    <row r="16" spans="4:26" x14ac:dyDescent="0.3">
      <c r="P16" s="355"/>
      <c r="Q16" s="356"/>
      <c r="R16" s="356"/>
      <c r="S16" s="356"/>
      <c r="T16" s="356"/>
      <c r="U16" s="356"/>
      <c r="V16" s="356"/>
      <c r="W16" s="356"/>
      <c r="X16" s="356"/>
      <c r="Y16" s="356"/>
      <c r="Z16" s="356"/>
    </row>
  </sheetData>
  <pageMargins left="0.7" right="0.7" top="0.75" bottom="0.75" header="0.3" footer="0.3"/>
  <pageSetup paperSize="0" orientation="portrait" horizontalDpi="0" verticalDpi="0" copie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dimension ref="A4:T95"/>
  <sheetViews>
    <sheetView showGridLines="0" zoomScale="80" zoomScaleNormal="80" workbookViewId="0"/>
  </sheetViews>
  <sheetFormatPr defaultColWidth="9.21875" defaultRowHeight="13.2" x14ac:dyDescent="0.3"/>
  <cols>
    <col min="1" max="1" width="14.21875" style="11" bestFit="1" customWidth="1"/>
    <col min="2" max="2" width="28.44140625" style="11" customWidth="1"/>
    <col min="3" max="3" width="30.44140625" style="11" customWidth="1"/>
    <col min="4" max="18" width="6" style="11" customWidth="1"/>
    <col min="19" max="19" width="8.44140625" style="11" customWidth="1"/>
    <col min="20" max="20" width="9.21875" style="11"/>
    <col min="21" max="21" width="8.5546875" style="11" bestFit="1" customWidth="1"/>
    <col min="22" max="22" width="10.21875" style="11" customWidth="1"/>
    <col min="23" max="16384" width="9.21875" style="11"/>
  </cols>
  <sheetData>
    <row r="4" spans="2:19" ht="13.8" thickBot="1" x14ac:dyDescent="0.35">
      <c r="B4" s="398"/>
      <c r="C4" s="398"/>
      <c r="D4" s="398"/>
      <c r="E4" s="398"/>
      <c r="F4" s="398"/>
      <c r="G4" s="398"/>
      <c r="H4" s="398"/>
      <c r="I4" s="399"/>
      <c r="J4" s="399"/>
      <c r="K4" s="399"/>
      <c r="L4" s="399"/>
      <c r="M4" s="400"/>
      <c r="N4" s="400"/>
      <c r="O4" s="400"/>
      <c r="P4" s="400"/>
      <c r="Q4" s="400"/>
      <c r="R4" s="400"/>
      <c r="S4" s="400"/>
    </row>
    <row r="5" spans="2:19" x14ac:dyDescent="0.3">
      <c r="B5" s="403" t="s">
        <v>650</v>
      </c>
      <c r="C5" s="403" t="s">
        <v>651</v>
      </c>
      <c r="D5" s="404">
        <v>2008</v>
      </c>
      <c r="E5" s="404">
        <v>2009</v>
      </c>
      <c r="F5" s="404">
        <v>2010</v>
      </c>
      <c r="G5" s="404">
        <v>2011</v>
      </c>
      <c r="H5" s="404">
        <v>2012</v>
      </c>
      <c r="I5" s="404">
        <v>2013</v>
      </c>
      <c r="J5" s="404">
        <v>2014</v>
      </c>
      <c r="K5" s="405">
        <v>2015</v>
      </c>
      <c r="L5" s="405">
        <v>2016</v>
      </c>
      <c r="M5" s="405">
        <v>2017</v>
      </c>
      <c r="N5" s="405">
        <v>2018</v>
      </c>
      <c r="O5" s="405">
        <v>2019</v>
      </c>
      <c r="P5" s="405">
        <v>2020</v>
      </c>
      <c r="Q5" s="405">
        <v>2021</v>
      </c>
      <c r="R5" s="405">
        <v>2022</v>
      </c>
      <c r="S5" s="405">
        <v>2023</v>
      </c>
    </row>
    <row r="6" spans="2:19" x14ac:dyDescent="0.3">
      <c r="B6" s="406" t="s">
        <v>358</v>
      </c>
      <c r="C6" s="406" t="s">
        <v>360</v>
      </c>
      <c r="D6" s="407">
        <v>-2.5234210889800117</v>
      </c>
      <c r="E6" s="407">
        <v>-8.1493356813289886</v>
      </c>
      <c r="F6" s="407">
        <v>-7.5026077807900462</v>
      </c>
      <c r="G6" s="407">
        <v>-4.322085277808231</v>
      </c>
      <c r="H6" s="407">
        <v>-4.3689696372631763</v>
      </c>
      <c r="I6" s="407">
        <v>-2.8885857040668763</v>
      </c>
      <c r="J6" s="407">
        <v>-3.1147163639601265</v>
      </c>
      <c r="K6" s="407">
        <v>-2.6729622355616662</v>
      </c>
      <c r="L6" s="407">
        <v>-2.582412289630224</v>
      </c>
      <c r="M6" s="407">
        <v>-0.98226653015622056</v>
      </c>
      <c r="N6" s="407">
        <v>-1.0109230637371953</v>
      </c>
      <c r="O6" s="407">
        <v>-1.218992674762408</v>
      </c>
      <c r="P6" s="407">
        <v>-5.3004666678856216</v>
      </c>
      <c r="Q6" s="407">
        <v>-5.4305277949314608</v>
      </c>
      <c r="R6" s="407">
        <v>-2.02</v>
      </c>
      <c r="S6" s="407">
        <v>-6.2</v>
      </c>
    </row>
    <row r="7" spans="2:19" ht="15" thickBot="1" x14ac:dyDescent="0.35">
      <c r="B7" s="408" t="s">
        <v>359</v>
      </c>
      <c r="C7" s="408" t="s">
        <v>361</v>
      </c>
      <c r="D7" s="396"/>
      <c r="E7" s="396"/>
      <c r="F7" s="396"/>
      <c r="G7" s="396"/>
      <c r="H7" s="396"/>
      <c r="I7" s="396"/>
      <c r="J7" s="396"/>
      <c r="K7" s="396"/>
      <c r="L7" s="396"/>
      <c r="M7" s="396"/>
      <c r="N7" s="396"/>
      <c r="O7" s="396"/>
      <c r="P7" s="396"/>
      <c r="Q7" s="396"/>
      <c r="R7" s="409"/>
      <c r="S7" s="409">
        <v>-6.44</v>
      </c>
    </row>
    <row r="8" spans="2:19" ht="14.4" x14ac:dyDescent="0.3">
      <c r="B8" s="406"/>
      <c r="C8" s="406"/>
      <c r="D8" s="5"/>
      <c r="E8" s="5"/>
      <c r="F8" s="5"/>
      <c r="G8" s="5"/>
      <c r="H8" s="5"/>
      <c r="I8" s="5"/>
      <c r="J8" s="5"/>
      <c r="K8" s="5"/>
      <c r="L8" s="5"/>
      <c r="M8" s="5"/>
      <c r="N8" s="5"/>
      <c r="O8" s="5"/>
      <c r="P8" s="5"/>
      <c r="Q8" s="5"/>
      <c r="R8" s="407"/>
    </row>
    <row r="9" spans="2:19" ht="14.4" x14ac:dyDescent="0.3">
      <c r="B9" s="313" t="s">
        <v>423</v>
      </c>
      <c r="C9" s="406"/>
      <c r="D9" s="5"/>
      <c r="E9" s="5"/>
      <c r="F9" s="5"/>
      <c r="G9" s="5"/>
      <c r="H9" s="5"/>
      <c r="I9" s="313" t="s">
        <v>424</v>
      </c>
      <c r="J9" s="5"/>
      <c r="K9" s="5"/>
      <c r="L9" s="5"/>
      <c r="M9" s="5"/>
      <c r="N9" s="5"/>
      <c r="O9" s="5"/>
      <c r="P9" s="5"/>
      <c r="Q9" s="5"/>
      <c r="R9" s="407"/>
    </row>
    <row r="10" spans="2:19" ht="14.4" x14ac:dyDescent="0.3">
      <c r="B10" s="304"/>
      <c r="C10" s="304"/>
      <c r="D10"/>
      <c r="E10"/>
      <c r="F10"/>
      <c r="G10"/>
      <c r="H10"/>
      <c r="I10"/>
      <c r="J10"/>
      <c r="K10"/>
      <c r="L10"/>
      <c r="M10"/>
      <c r="N10"/>
      <c r="O10"/>
      <c r="P10"/>
      <c r="Q10"/>
      <c r="R10" s="305"/>
    </row>
    <row r="11" spans="2:19" ht="14.4" x14ac:dyDescent="0.3">
      <c r="B11" s="304"/>
      <c r="C11" s="304"/>
      <c r="D11"/>
      <c r="E11"/>
      <c r="F11"/>
      <c r="G11"/>
      <c r="H11"/>
      <c r="I11"/>
      <c r="J11"/>
      <c r="K11"/>
      <c r="L11"/>
      <c r="M11"/>
      <c r="N11"/>
      <c r="O11"/>
      <c r="P11"/>
      <c r="Q11"/>
      <c r="R11" s="305"/>
    </row>
    <row r="12" spans="2:19" ht="14.4" x14ac:dyDescent="0.3">
      <c r="B12" s="304"/>
      <c r="C12" s="304"/>
      <c r="D12"/>
      <c r="E12"/>
      <c r="F12"/>
      <c r="G12"/>
      <c r="H12"/>
      <c r="I12"/>
      <c r="J12"/>
      <c r="K12"/>
      <c r="L12"/>
      <c r="M12"/>
      <c r="N12"/>
      <c r="O12"/>
      <c r="P12"/>
      <c r="Q12"/>
      <c r="R12" s="305"/>
    </row>
    <row r="13" spans="2:19" ht="14.4" x14ac:dyDescent="0.3">
      <c r="B13" s="304"/>
      <c r="C13" s="304"/>
      <c r="D13"/>
      <c r="E13"/>
      <c r="F13"/>
      <c r="G13"/>
      <c r="H13"/>
      <c r="I13"/>
      <c r="J13"/>
      <c r="K13"/>
      <c r="L13"/>
      <c r="M13"/>
      <c r="N13"/>
      <c r="O13"/>
      <c r="P13"/>
      <c r="Q13"/>
      <c r="R13" s="305"/>
    </row>
    <row r="26" spans="2:20" ht="13.8" thickBot="1" x14ac:dyDescent="0.35">
      <c r="B26" s="312"/>
      <c r="C26" s="312"/>
      <c r="D26" s="312"/>
      <c r="E26" s="313"/>
      <c r="F26" s="313"/>
      <c r="G26" s="313"/>
      <c r="H26" s="313"/>
      <c r="I26" s="12"/>
      <c r="J26" s="12"/>
      <c r="K26" s="12"/>
      <c r="L26" s="12"/>
    </row>
    <row r="27" spans="2:20" x14ac:dyDescent="0.3">
      <c r="B27" s="403" t="s">
        <v>652</v>
      </c>
      <c r="C27" s="403" t="s">
        <v>653</v>
      </c>
      <c r="D27" s="425" t="s">
        <v>654</v>
      </c>
      <c r="E27" s="313"/>
      <c r="F27" s="313" t="s">
        <v>425</v>
      </c>
      <c r="G27" s="313"/>
      <c r="H27" s="12"/>
      <c r="I27" s="12"/>
      <c r="J27" s="12"/>
      <c r="K27" s="12"/>
      <c r="L27" s="12"/>
      <c r="O27" s="12"/>
      <c r="P27" s="313" t="s">
        <v>426</v>
      </c>
      <c r="Q27" s="12"/>
      <c r="R27" s="12"/>
      <c r="S27" s="12"/>
      <c r="T27" s="12"/>
    </row>
    <row r="28" spans="2:20" ht="14.4" x14ac:dyDescent="0.3">
      <c r="B28" s="308" t="s">
        <v>362</v>
      </c>
      <c r="C28" s="311" t="s">
        <v>182</v>
      </c>
      <c r="D28" s="306">
        <v>19.042036861686729</v>
      </c>
    </row>
    <row r="29" spans="2:20" ht="14.4" x14ac:dyDescent="0.3">
      <c r="B29" s="309" t="s">
        <v>363</v>
      </c>
      <c r="C29" s="11" t="s">
        <v>368</v>
      </c>
      <c r="D29" s="307">
        <v>9.1</v>
      </c>
    </row>
    <row r="30" spans="2:20" ht="14.4" x14ac:dyDescent="0.3">
      <c r="B30" s="310" t="s">
        <v>7</v>
      </c>
      <c r="C30" s="311" t="s">
        <v>369</v>
      </c>
      <c r="D30" s="385">
        <v>29.644509462259663</v>
      </c>
    </row>
    <row r="31" spans="2:20" ht="14.4" x14ac:dyDescent="0.3">
      <c r="B31" s="309" t="s">
        <v>364</v>
      </c>
      <c r="C31" s="11" t="s">
        <v>370</v>
      </c>
      <c r="D31" s="307">
        <v>8.2473128134700602</v>
      </c>
    </row>
    <row r="32" spans="2:20" ht="14.4" x14ac:dyDescent="0.3">
      <c r="B32" s="309" t="s">
        <v>15</v>
      </c>
      <c r="C32" s="11" t="s">
        <v>183</v>
      </c>
      <c r="D32" s="307">
        <v>42.952186904027457</v>
      </c>
    </row>
    <row r="33" spans="1:19" ht="14.4" x14ac:dyDescent="0.3">
      <c r="B33" s="309" t="s">
        <v>17</v>
      </c>
      <c r="C33" s="11" t="s">
        <v>371</v>
      </c>
      <c r="D33" s="307">
        <v>-4.2342154027434873</v>
      </c>
    </row>
    <row r="34" spans="1:19" ht="14.4" x14ac:dyDescent="0.3">
      <c r="B34" s="309" t="s">
        <v>365</v>
      </c>
      <c r="C34" s="11" t="s">
        <v>372</v>
      </c>
      <c r="D34" s="307">
        <v>20.642091140240481</v>
      </c>
    </row>
    <row r="35" spans="1:19" ht="14.4" x14ac:dyDescent="0.3">
      <c r="B35" s="309" t="s">
        <v>366</v>
      </c>
      <c r="C35" s="11" t="s">
        <v>373</v>
      </c>
      <c r="D35" s="307">
        <v>28.529012846430845</v>
      </c>
    </row>
    <row r="36" spans="1:19" ht="14.4" x14ac:dyDescent="0.3">
      <c r="B36" s="309" t="s">
        <v>34</v>
      </c>
      <c r="C36" s="11" t="s">
        <v>375</v>
      </c>
      <c r="D36" s="307">
        <v>21.20516299792321</v>
      </c>
    </row>
    <row r="37" spans="1:19" ht="15" thickBot="1" x14ac:dyDescent="0.35">
      <c r="B37" s="401" t="s">
        <v>367</v>
      </c>
      <c r="C37" s="400" t="s">
        <v>374</v>
      </c>
      <c r="D37" s="402">
        <v>50.594705547684612</v>
      </c>
    </row>
    <row r="38" spans="1:19" x14ac:dyDescent="0.3">
      <c r="D38" s="21" t="s">
        <v>0</v>
      </c>
    </row>
    <row r="39" spans="1:19" x14ac:dyDescent="0.3">
      <c r="D39" s="21" t="s">
        <v>220</v>
      </c>
      <c r="E39" s="16"/>
      <c r="F39" s="16"/>
      <c r="H39" s="21"/>
      <c r="I39" s="21"/>
      <c r="J39" s="21"/>
      <c r="K39" s="21"/>
      <c r="L39" s="21"/>
      <c r="M39" s="15"/>
      <c r="N39" s="15"/>
      <c r="O39" s="16"/>
      <c r="P39" s="16"/>
      <c r="Q39" s="17"/>
      <c r="S39" s="17"/>
    </row>
    <row r="40" spans="1:19" x14ac:dyDescent="0.3">
      <c r="B40" s="13"/>
      <c r="C40" s="13"/>
      <c r="D40" s="13"/>
      <c r="E40" s="13"/>
      <c r="F40" s="13"/>
      <c r="G40" s="13"/>
      <c r="H40" s="13"/>
      <c r="I40" s="13"/>
      <c r="J40" s="13"/>
      <c r="K40" s="13"/>
      <c r="L40" s="13"/>
      <c r="M40" s="19"/>
      <c r="N40" s="15"/>
      <c r="O40" s="16"/>
      <c r="Q40" s="17"/>
      <c r="S40" s="17"/>
    </row>
    <row r="41" spans="1:19" x14ac:dyDescent="0.3">
      <c r="A41" s="16"/>
      <c r="B41" s="22"/>
      <c r="C41" s="22"/>
      <c r="D41" s="14"/>
      <c r="E41" s="13"/>
      <c r="F41" s="13"/>
      <c r="G41" s="13"/>
      <c r="H41" s="13"/>
      <c r="I41" s="13"/>
      <c r="J41" s="13"/>
      <c r="K41" s="13"/>
      <c r="L41" s="13"/>
      <c r="M41" s="15"/>
      <c r="N41" s="15"/>
      <c r="O41" s="16"/>
      <c r="Q41" s="17"/>
      <c r="S41" s="17"/>
    </row>
    <row r="42" spans="1:19" x14ac:dyDescent="0.3">
      <c r="B42" s="13"/>
      <c r="C42" s="13"/>
      <c r="D42" s="18"/>
      <c r="E42" s="13"/>
      <c r="F42" s="13"/>
      <c r="G42" s="13"/>
      <c r="H42" s="13"/>
      <c r="I42" s="13"/>
      <c r="J42" s="13"/>
      <c r="K42" s="13"/>
      <c r="L42" s="13"/>
      <c r="M42" s="15"/>
      <c r="N42" s="15"/>
      <c r="O42" s="16"/>
      <c r="Q42" s="17"/>
      <c r="S42" s="17"/>
    </row>
    <row r="43" spans="1:19" x14ac:dyDescent="0.3">
      <c r="B43" s="22"/>
      <c r="C43" s="22"/>
      <c r="D43" s="18"/>
      <c r="E43" s="13"/>
      <c r="F43" s="13"/>
      <c r="G43" s="13"/>
      <c r="H43" s="13"/>
      <c r="I43" s="13"/>
      <c r="J43" s="13"/>
      <c r="K43" s="13"/>
      <c r="L43" s="13"/>
      <c r="M43" s="15"/>
      <c r="N43" s="15"/>
      <c r="O43" s="16"/>
      <c r="S43" s="17"/>
    </row>
    <row r="44" spans="1:19" x14ac:dyDescent="0.3">
      <c r="B44" s="129"/>
      <c r="C44" s="129"/>
      <c r="D44" s="23"/>
      <c r="E44" s="13"/>
      <c r="F44" s="13"/>
      <c r="G44" s="13"/>
      <c r="H44" s="24"/>
      <c r="I44" s="24"/>
      <c r="J44" s="24"/>
      <c r="K44" s="24"/>
      <c r="L44" s="24"/>
      <c r="N44" s="15"/>
      <c r="O44" s="16"/>
      <c r="S44" s="17"/>
    </row>
    <row r="45" spans="1:19" x14ac:dyDescent="0.3">
      <c r="B45" s="13"/>
      <c r="C45" s="13"/>
      <c r="D45" s="13"/>
      <c r="E45" s="13"/>
      <c r="F45" s="13"/>
      <c r="G45" s="13"/>
      <c r="H45" s="13"/>
      <c r="I45" s="13"/>
      <c r="J45" s="13"/>
      <c r="K45" s="13"/>
      <c r="L45" s="13"/>
      <c r="N45" s="15"/>
      <c r="O45" s="16"/>
      <c r="S45" s="17"/>
    </row>
    <row r="46" spans="1:19" x14ac:dyDescent="0.3">
      <c r="B46" s="129"/>
      <c r="C46" s="129"/>
      <c r="D46" s="23"/>
      <c r="E46" s="13"/>
      <c r="F46" s="13"/>
      <c r="G46" s="13"/>
      <c r="H46" s="13"/>
      <c r="I46" s="13"/>
      <c r="J46" s="13"/>
      <c r="K46" s="13"/>
      <c r="L46" s="13"/>
      <c r="M46" s="15"/>
      <c r="N46" s="15"/>
      <c r="O46" s="16"/>
      <c r="S46" s="17"/>
    </row>
    <row r="47" spans="1:19" x14ac:dyDescent="0.3">
      <c r="B47" s="13"/>
      <c r="C47" s="13"/>
      <c r="D47" s="13"/>
      <c r="E47" s="13"/>
      <c r="F47" s="13"/>
      <c r="G47" s="13"/>
      <c r="H47" s="13"/>
      <c r="I47" s="13"/>
      <c r="J47" s="13"/>
      <c r="K47" s="13"/>
      <c r="L47" s="13"/>
      <c r="M47" s="15"/>
      <c r="N47" s="15"/>
      <c r="O47" s="16"/>
      <c r="S47" s="17"/>
    </row>
    <row r="48" spans="1:19" x14ac:dyDescent="0.3">
      <c r="B48" s="22"/>
      <c r="C48" s="22"/>
      <c r="D48" s="18"/>
      <c r="E48" s="13"/>
      <c r="F48" s="13"/>
      <c r="G48" s="13"/>
      <c r="H48" s="13"/>
      <c r="I48" s="13"/>
      <c r="J48" s="13"/>
      <c r="K48" s="13"/>
      <c r="L48" s="13"/>
      <c r="M48" s="15"/>
      <c r="N48" s="15"/>
      <c r="O48" s="16"/>
      <c r="S48" s="17"/>
    </row>
    <row r="49" spans="2:19" x14ac:dyDescent="0.3">
      <c r="B49" s="13"/>
      <c r="C49" s="13"/>
      <c r="D49" s="18"/>
      <c r="E49" s="13"/>
      <c r="F49" s="13"/>
      <c r="G49" s="13"/>
      <c r="H49" s="13"/>
      <c r="I49" s="13"/>
      <c r="J49" s="13"/>
      <c r="K49" s="13"/>
      <c r="L49" s="13"/>
      <c r="M49" s="15"/>
      <c r="N49" s="15"/>
      <c r="O49" s="16"/>
      <c r="S49" s="17"/>
    </row>
    <row r="50" spans="2:19" x14ac:dyDescent="0.3">
      <c r="B50" s="13"/>
      <c r="C50" s="13"/>
      <c r="D50" s="13"/>
      <c r="E50" s="13"/>
      <c r="F50" s="13"/>
      <c r="G50" s="13"/>
      <c r="H50" s="13"/>
      <c r="I50" s="13"/>
      <c r="J50" s="13"/>
      <c r="K50" s="13"/>
      <c r="L50" s="13"/>
      <c r="M50" s="15"/>
      <c r="N50" s="15"/>
      <c r="S50" s="17"/>
    </row>
    <row r="51" spans="2:19" x14ac:dyDescent="0.3">
      <c r="B51" s="13"/>
      <c r="C51" s="13"/>
      <c r="D51" s="13"/>
      <c r="E51" s="13"/>
      <c r="F51" s="13"/>
      <c r="G51" s="13"/>
      <c r="H51" s="13"/>
      <c r="I51" s="13"/>
      <c r="J51" s="13"/>
      <c r="K51" s="13"/>
      <c r="L51" s="13"/>
      <c r="M51" s="15"/>
      <c r="N51" s="15"/>
      <c r="O51" s="17"/>
      <c r="Q51" s="17"/>
      <c r="S51" s="17"/>
    </row>
    <row r="52" spans="2:19" x14ac:dyDescent="0.3">
      <c r="B52" s="13"/>
      <c r="C52" s="13"/>
      <c r="D52" s="13"/>
      <c r="E52" s="13"/>
      <c r="F52" s="13"/>
      <c r="G52" s="13"/>
      <c r="H52" s="13"/>
      <c r="I52" s="13"/>
      <c r="J52" s="13"/>
      <c r="K52" s="13"/>
      <c r="L52" s="13"/>
      <c r="M52" s="15"/>
      <c r="N52" s="15"/>
      <c r="O52" s="17"/>
      <c r="Q52" s="17"/>
    </row>
    <row r="53" spans="2:19" x14ac:dyDescent="0.3">
      <c r="B53" s="17"/>
      <c r="C53" s="17"/>
      <c r="D53" s="18"/>
      <c r="E53" s="13"/>
      <c r="F53" s="13"/>
      <c r="G53" s="13"/>
      <c r="H53" s="13"/>
      <c r="I53" s="13"/>
      <c r="J53" s="13"/>
      <c r="K53" s="13"/>
      <c r="L53" s="13"/>
      <c r="M53" s="15"/>
      <c r="N53" s="15"/>
      <c r="O53" s="17"/>
      <c r="Q53" s="17"/>
    </row>
    <row r="54" spans="2:19" x14ac:dyDescent="0.3">
      <c r="B54" s="13"/>
      <c r="C54" s="13"/>
      <c r="D54" s="13"/>
      <c r="E54" s="13"/>
      <c r="F54" s="13"/>
      <c r="G54" s="13"/>
      <c r="H54" s="13"/>
      <c r="I54" s="13"/>
      <c r="J54" s="13"/>
      <c r="K54" s="13"/>
      <c r="L54" s="13"/>
      <c r="M54" s="15"/>
      <c r="N54" s="15"/>
      <c r="O54" s="17"/>
      <c r="Q54" s="17"/>
    </row>
    <row r="55" spans="2:19" x14ac:dyDescent="0.3">
      <c r="B55" s="22"/>
      <c r="C55" s="22"/>
      <c r="D55" s="13"/>
      <c r="E55" s="13"/>
      <c r="F55" s="13"/>
      <c r="G55" s="13"/>
      <c r="H55" s="13"/>
      <c r="I55" s="13"/>
      <c r="J55" s="13"/>
      <c r="K55" s="13"/>
      <c r="L55" s="13"/>
      <c r="N55" s="15"/>
      <c r="O55" s="17"/>
      <c r="Q55" s="17"/>
    </row>
    <row r="56" spans="2:19" x14ac:dyDescent="0.3">
      <c r="B56" s="130"/>
      <c r="C56" s="130"/>
      <c r="D56" s="131"/>
      <c r="E56" s="13"/>
      <c r="F56" s="13"/>
      <c r="G56" s="13"/>
      <c r="H56" s="13"/>
      <c r="I56" s="13"/>
      <c r="J56" s="13"/>
      <c r="K56" s="13"/>
      <c r="L56" s="13"/>
      <c r="N56" s="15"/>
      <c r="O56" s="15"/>
      <c r="Q56" s="17"/>
    </row>
    <row r="57" spans="2:19" x14ac:dyDescent="0.3">
      <c r="B57" s="130"/>
      <c r="C57" s="130"/>
      <c r="D57" s="131"/>
      <c r="E57" s="13"/>
      <c r="F57" s="13"/>
      <c r="G57" s="13"/>
      <c r="H57" s="13"/>
      <c r="I57" s="13"/>
      <c r="J57" s="13"/>
      <c r="K57" s="13"/>
      <c r="L57" s="13"/>
      <c r="M57" s="20"/>
      <c r="N57" s="15"/>
      <c r="O57" s="15"/>
    </row>
    <row r="58" spans="2:19" x14ac:dyDescent="0.3">
      <c r="B58" s="13"/>
      <c r="C58" s="13"/>
      <c r="D58" s="25"/>
      <c r="E58" s="13"/>
      <c r="F58" s="26"/>
      <c r="G58" s="13"/>
      <c r="H58" s="13"/>
      <c r="I58" s="13"/>
      <c r="J58" s="13"/>
      <c r="K58" s="13"/>
      <c r="L58" s="13"/>
      <c r="M58" s="21"/>
      <c r="N58" s="21"/>
      <c r="O58" s="21"/>
    </row>
    <row r="59" spans="2:19" x14ac:dyDescent="0.3">
      <c r="B59" s="13"/>
      <c r="C59" s="13"/>
      <c r="D59" s="13"/>
      <c r="E59" s="13"/>
      <c r="F59" s="13"/>
      <c r="G59" s="13"/>
      <c r="H59" s="13"/>
      <c r="I59" s="13"/>
      <c r="J59" s="13"/>
      <c r="K59" s="13"/>
      <c r="L59" s="13"/>
      <c r="M59" s="13"/>
      <c r="N59" s="13"/>
      <c r="O59" s="13"/>
    </row>
    <row r="60" spans="2:19" x14ac:dyDescent="0.3">
      <c r="B60" s="13"/>
      <c r="C60" s="13"/>
      <c r="D60" s="13"/>
      <c r="E60" s="13"/>
      <c r="F60" s="13"/>
      <c r="G60" s="13"/>
      <c r="H60" s="13"/>
      <c r="I60" s="13"/>
      <c r="J60" s="13"/>
      <c r="K60" s="13"/>
      <c r="L60" s="13"/>
      <c r="M60" s="13"/>
      <c r="N60" s="13"/>
      <c r="O60" s="23"/>
    </row>
    <row r="61" spans="2:19" x14ac:dyDescent="0.3">
      <c r="B61" s="22"/>
      <c r="C61" s="22"/>
      <c r="D61" s="25"/>
      <c r="E61" s="13"/>
      <c r="F61" s="13"/>
      <c r="G61" s="13"/>
      <c r="H61" s="13"/>
      <c r="I61" s="13"/>
      <c r="J61" s="13"/>
      <c r="K61" s="13"/>
      <c r="L61" s="13"/>
      <c r="M61" s="13"/>
      <c r="N61" s="13"/>
      <c r="O61" s="23"/>
    </row>
    <row r="62" spans="2:19" x14ac:dyDescent="0.3">
      <c r="B62" s="27"/>
      <c r="C62" s="27"/>
      <c r="D62" s="18"/>
      <c r="E62" s="13"/>
      <c r="F62" s="13"/>
      <c r="G62" s="13"/>
      <c r="H62" s="13"/>
      <c r="I62" s="13"/>
      <c r="J62" s="13"/>
      <c r="K62" s="13"/>
      <c r="L62" s="13"/>
      <c r="M62" s="13"/>
      <c r="N62" s="13"/>
      <c r="O62" s="23"/>
    </row>
    <row r="63" spans="2:19" ht="13.5" customHeight="1" x14ac:dyDescent="0.3">
      <c r="B63" s="13"/>
      <c r="C63" s="13"/>
      <c r="D63" s="18"/>
      <c r="E63" s="13"/>
      <c r="F63" s="13"/>
      <c r="G63" s="13"/>
      <c r="H63" s="13"/>
      <c r="I63" s="13"/>
      <c r="J63" s="13"/>
      <c r="K63" s="13"/>
      <c r="L63" s="13"/>
      <c r="M63" s="13"/>
      <c r="N63" s="13"/>
      <c r="O63" s="23"/>
    </row>
    <row r="64" spans="2:19" x14ac:dyDescent="0.3">
      <c r="B64" s="13"/>
      <c r="C64" s="13"/>
      <c r="D64" s="25"/>
      <c r="E64" s="13"/>
      <c r="F64" s="13"/>
      <c r="G64" s="13"/>
      <c r="H64" s="13"/>
      <c r="I64" s="13"/>
      <c r="J64" s="13"/>
      <c r="K64" s="13"/>
      <c r="L64" s="13"/>
      <c r="M64" s="13"/>
      <c r="N64" s="13"/>
      <c r="O64" s="13"/>
    </row>
    <row r="65" spans="2:15" x14ac:dyDescent="0.3">
      <c r="B65" s="13"/>
      <c r="C65" s="13"/>
      <c r="D65" s="25"/>
      <c r="E65" s="13"/>
      <c r="F65" s="13"/>
      <c r="G65" s="13"/>
      <c r="H65" s="13"/>
      <c r="I65" s="13"/>
      <c r="J65" s="13"/>
      <c r="K65" s="13"/>
      <c r="L65" s="13"/>
      <c r="M65" s="13"/>
      <c r="N65" s="13"/>
      <c r="O65" s="13"/>
    </row>
    <row r="66" spans="2:15" x14ac:dyDescent="0.3">
      <c r="B66" s="13"/>
      <c r="C66" s="13"/>
      <c r="D66" s="25"/>
      <c r="E66" s="13"/>
      <c r="F66" s="13"/>
      <c r="G66" s="13"/>
      <c r="H66" s="13"/>
      <c r="I66" s="13"/>
      <c r="J66" s="13"/>
      <c r="K66" s="13"/>
      <c r="L66" s="13"/>
      <c r="M66" s="13"/>
      <c r="N66" s="13"/>
      <c r="O66" s="13"/>
    </row>
    <row r="67" spans="2:15" x14ac:dyDescent="0.3">
      <c r="B67" s="13"/>
      <c r="C67" s="13"/>
      <c r="D67" s="13"/>
      <c r="E67" s="13"/>
      <c r="F67" s="13"/>
      <c r="G67" s="13"/>
      <c r="H67" s="13"/>
      <c r="I67" s="13"/>
      <c r="J67" s="13"/>
      <c r="K67" s="13"/>
      <c r="L67" s="13"/>
      <c r="M67" s="13"/>
      <c r="N67" s="13"/>
      <c r="O67" s="13"/>
    </row>
    <row r="68" spans="2:15" x14ac:dyDescent="0.3">
      <c r="B68" s="22"/>
      <c r="C68" s="22"/>
      <c r="D68" s="13"/>
      <c r="E68" s="13"/>
      <c r="F68" s="13"/>
      <c r="G68" s="13"/>
      <c r="H68" s="28"/>
      <c r="I68" s="28"/>
      <c r="J68" s="28"/>
      <c r="K68" s="28"/>
      <c r="L68" s="28"/>
      <c r="M68" s="13"/>
      <c r="N68" s="13"/>
      <c r="O68" s="13"/>
    </row>
    <row r="69" spans="2:15" x14ac:dyDescent="0.3">
      <c r="B69" s="13"/>
      <c r="C69" s="13"/>
      <c r="D69" s="25"/>
      <c r="E69" s="13"/>
      <c r="F69" s="13"/>
      <c r="G69" s="13"/>
      <c r="H69" s="29"/>
      <c r="I69" s="29"/>
      <c r="J69" s="29"/>
      <c r="K69" s="29"/>
      <c r="L69" s="29"/>
      <c r="M69" s="13"/>
      <c r="N69" s="13"/>
      <c r="O69" s="13"/>
    </row>
    <row r="70" spans="2:15" x14ac:dyDescent="0.3">
      <c r="B70" s="13"/>
      <c r="C70" s="13"/>
      <c r="D70" s="25"/>
      <c r="E70" s="13"/>
      <c r="F70" s="13"/>
      <c r="G70" s="13"/>
      <c r="H70" s="29"/>
      <c r="I70" s="29"/>
      <c r="J70" s="29"/>
      <c r="K70" s="29"/>
      <c r="L70" s="29"/>
      <c r="M70" s="13"/>
      <c r="N70" s="13"/>
      <c r="O70" s="13"/>
    </row>
    <row r="71" spans="2:15" x14ac:dyDescent="0.3">
      <c r="B71" s="13"/>
      <c r="C71" s="13"/>
      <c r="D71" s="25"/>
      <c r="E71" s="13"/>
      <c r="F71" s="13"/>
      <c r="G71" s="13"/>
      <c r="H71" s="29"/>
      <c r="I71" s="29"/>
      <c r="J71" s="29"/>
      <c r="K71" s="29"/>
      <c r="L71" s="29"/>
      <c r="M71" s="13"/>
      <c r="N71" s="13"/>
      <c r="O71" s="13"/>
    </row>
    <row r="72" spans="2:15" x14ac:dyDescent="0.3">
      <c r="B72" s="13"/>
      <c r="C72" s="13"/>
      <c r="D72" s="13"/>
      <c r="E72" s="13"/>
      <c r="F72" s="13"/>
      <c r="G72" s="13"/>
      <c r="H72" s="13"/>
      <c r="I72" s="13"/>
      <c r="J72" s="13"/>
      <c r="K72" s="13"/>
      <c r="L72" s="13"/>
      <c r="M72" s="13"/>
      <c r="N72" s="13"/>
      <c r="O72" s="13"/>
    </row>
    <row r="73" spans="2:15" x14ac:dyDescent="0.3">
      <c r="B73" s="22"/>
      <c r="C73" s="22"/>
      <c r="D73" s="22"/>
      <c r="E73" s="22"/>
      <c r="F73" s="13"/>
      <c r="G73" s="13"/>
      <c r="H73" s="28"/>
      <c r="I73" s="28"/>
      <c r="J73" s="28"/>
      <c r="K73" s="28"/>
      <c r="L73" s="28"/>
      <c r="M73" s="13"/>
      <c r="N73" s="13"/>
      <c r="O73" s="13"/>
    </row>
    <row r="74" spans="2:15" x14ac:dyDescent="0.3">
      <c r="B74" s="13"/>
      <c r="C74" s="13"/>
      <c r="D74" s="25"/>
      <c r="E74" s="13"/>
      <c r="F74" s="13"/>
      <c r="G74" s="13"/>
      <c r="H74" s="13"/>
      <c r="I74" s="13"/>
      <c r="J74" s="13"/>
      <c r="K74" s="13"/>
      <c r="L74" s="13"/>
      <c r="M74" s="13"/>
      <c r="N74" s="13"/>
      <c r="O74" s="13"/>
    </row>
    <row r="75" spans="2:15" x14ac:dyDescent="0.3">
      <c r="B75" s="13"/>
      <c r="C75" s="13"/>
      <c r="D75" s="25"/>
      <c r="E75" s="13"/>
      <c r="F75" s="13"/>
      <c r="G75" s="13"/>
      <c r="H75" s="13"/>
      <c r="I75" s="13"/>
      <c r="J75" s="13"/>
      <c r="K75" s="13"/>
      <c r="L75" s="13"/>
      <c r="M75" s="13"/>
      <c r="N75" s="13"/>
      <c r="O75" s="13"/>
    </row>
    <row r="76" spans="2:15" x14ac:dyDescent="0.3">
      <c r="B76" s="13"/>
      <c r="C76" s="13"/>
      <c r="D76" s="13"/>
      <c r="E76" s="13"/>
      <c r="F76" s="13"/>
      <c r="G76" s="13"/>
      <c r="H76" s="13"/>
      <c r="I76" s="13"/>
      <c r="J76" s="13"/>
      <c r="K76" s="13"/>
      <c r="L76" s="13"/>
      <c r="M76" s="13"/>
      <c r="N76" s="13"/>
      <c r="O76" s="13"/>
    </row>
    <row r="77" spans="2:15" x14ac:dyDescent="0.3">
      <c r="M77" s="13"/>
      <c r="N77" s="13"/>
      <c r="O77" s="13"/>
    </row>
    <row r="78" spans="2:15" x14ac:dyDescent="0.3">
      <c r="M78" s="13"/>
      <c r="N78" s="13"/>
      <c r="O78" s="13"/>
    </row>
    <row r="79" spans="2:15" x14ac:dyDescent="0.3">
      <c r="M79" s="13"/>
      <c r="N79" s="13"/>
      <c r="O79" s="13"/>
    </row>
    <row r="80" spans="2:15" x14ac:dyDescent="0.3">
      <c r="M80" s="13"/>
      <c r="N80" s="13"/>
      <c r="O80" s="13"/>
    </row>
    <row r="81" spans="13:15" x14ac:dyDescent="0.3">
      <c r="M81" s="13"/>
      <c r="N81" s="13"/>
      <c r="O81" s="13"/>
    </row>
    <row r="82" spans="13:15" hidden="1" x14ac:dyDescent="0.3">
      <c r="M82" s="13"/>
      <c r="N82" s="13"/>
      <c r="O82" s="13"/>
    </row>
    <row r="83" spans="13:15" hidden="1" x14ac:dyDescent="0.3">
      <c r="M83" s="13"/>
      <c r="N83" s="13"/>
      <c r="O83" s="13"/>
    </row>
    <row r="84" spans="13:15" x14ac:dyDescent="0.3">
      <c r="M84" s="13"/>
      <c r="N84" s="13"/>
      <c r="O84" s="13"/>
    </row>
    <row r="85" spans="13:15" x14ac:dyDescent="0.3">
      <c r="M85" s="13"/>
      <c r="N85" s="13"/>
      <c r="O85" s="13"/>
    </row>
    <row r="86" spans="13:15" x14ac:dyDescent="0.3">
      <c r="M86" s="13"/>
      <c r="N86" s="13"/>
      <c r="O86" s="13"/>
    </row>
    <row r="87" spans="13:15" x14ac:dyDescent="0.3">
      <c r="M87" s="28"/>
      <c r="N87" s="13"/>
      <c r="O87" s="13"/>
    </row>
    <row r="88" spans="13:15" x14ac:dyDescent="0.3">
      <c r="M88" s="29"/>
      <c r="N88" s="13"/>
      <c r="O88" s="13"/>
    </row>
    <row r="89" spans="13:15" x14ac:dyDescent="0.3">
      <c r="M89" s="29"/>
      <c r="N89" s="13"/>
      <c r="O89" s="13"/>
    </row>
    <row r="90" spans="13:15" x14ac:dyDescent="0.3">
      <c r="M90" s="29"/>
      <c r="N90" s="13"/>
      <c r="O90" s="13"/>
    </row>
    <row r="91" spans="13:15" x14ac:dyDescent="0.3">
      <c r="M91" s="13"/>
      <c r="N91" s="13"/>
      <c r="O91" s="13"/>
    </row>
    <row r="92" spans="13:15" x14ac:dyDescent="0.3">
      <c r="M92" s="28"/>
      <c r="N92" s="13"/>
      <c r="O92" s="13"/>
    </row>
    <row r="93" spans="13:15" x14ac:dyDescent="0.3">
      <c r="M93" s="13"/>
      <c r="N93" s="13"/>
      <c r="O93" s="13"/>
    </row>
    <row r="94" spans="13:15" x14ac:dyDescent="0.3">
      <c r="M94" s="13"/>
      <c r="N94" s="13"/>
      <c r="O94" s="13"/>
    </row>
    <row r="95" spans="13:15" x14ac:dyDescent="0.3">
      <c r="M95" s="13"/>
      <c r="N95" s="13"/>
      <c r="O95" s="1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29"/>
  <sheetViews>
    <sheetView showGridLines="0" zoomScale="80" zoomScaleNormal="80" workbookViewId="0"/>
  </sheetViews>
  <sheetFormatPr defaultColWidth="8.5546875" defaultRowHeight="13.2" x14ac:dyDescent="0.3"/>
  <cols>
    <col min="1" max="1" width="8.5546875" style="242"/>
    <col min="2" max="2" width="13.21875" style="242" customWidth="1"/>
    <col min="3" max="3" width="18.5546875" style="242" customWidth="1"/>
    <col min="4" max="16384" width="8.5546875" style="242"/>
  </cols>
  <sheetData>
    <row r="2" spans="3:4" x14ac:dyDescent="0.3">
      <c r="C2" s="241" t="s">
        <v>601</v>
      </c>
    </row>
    <row r="3" spans="3:4" ht="13.8" thickBot="1" x14ac:dyDescent="0.35">
      <c r="C3" s="432"/>
      <c r="D3" s="432"/>
    </row>
    <row r="4" spans="3:4" x14ac:dyDescent="0.3">
      <c r="D4" s="243">
        <v>2023</v>
      </c>
    </row>
    <row r="5" spans="3:4" x14ac:dyDescent="0.3">
      <c r="C5" s="426" t="s">
        <v>283</v>
      </c>
      <c r="D5" s="427">
        <v>1.3589355629070765</v>
      </c>
    </row>
    <row r="6" spans="3:4" x14ac:dyDescent="0.3">
      <c r="C6" s="428" t="s">
        <v>284</v>
      </c>
      <c r="D6" s="429">
        <v>0.87919599737988097</v>
      </c>
    </row>
    <row r="7" spans="3:4" x14ac:dyDescent="0.3">
      <c r="C7" s="428" t="s">
        <v>285</v>
      </c>
      <c r="D7" s="429">
        <v>2.9788136761657023</v>
      </c>
    </row>
    <row r="8" spans="3:4" x14ac:dyDescent="0.3">
      <c r="C8" s="428" t="s">
        <v>599</v>
      </c>
      <c r="D8" s="429">
        <v>-0.4757185742974705</v>
      </c>
    </row>
    <row r="9" spans="3:4" x14ac:dyDescent="0.3">
      <c r="C9" s="428" t="s">
        <v>286</v>
      </c>
      <c r="D9" s="429">
        <v>3.6677828801750039</v>
      </c>
    </row>
    <row r="10" spans="3:4" x14ac:dyDescent="0.3">
      <c r="C10" s="428" t="s">
        <v>170</v>
      </c>
      <c r="D10" s="429">
        <f>0.499648531899627+0.0844436635517258</f>
        <v>0.58409219545135282</v>
      </c>
    </row>
    <row r="11" spans="3:4" ht="13.8" thickBot="1" x14ac:dyDescent="0.35">
      <c r="C11" s="430" t="s">
        <v>31</v>
      </c>
      <c r="D11" s="431">
        <v>9.1164514986811014</v>
      </c>
    </row>
    <row r="12" spans="3:4" x14ac:dyDescent="0.3">
      <c r="C12" s="246"/>
      <c r="D12" s="245"/>
    </row>
    <row r="13" spans="3:4" x14ac:dyDescent="0.3">
      <c r="C13" s="244"/>
      <c r="D13" s="247"/>
    </row>
    <row r="20" spans="3:4" x14ac:dyDescent="0.3">
      <c r="C20" s="241" t="s">
        <v>602</v>
      </c>
    </row>
    <row r="21" spans="3:4" ht="13.8" thickBot="1" x14ac:dyDescent="0.35">
      <c r="C21" s="432"/>
      <c r="D21" s="432"/>
    </row>
    <row r="22" spans="3:4" x14ac:dyDescent="0.3">
      <c r="D22" s="243">
        <v>2023</v>
      </c>
    </row>
    <row r="23" spans="3:4" x14ac:dyDescent="0.3">
      <c r="C23" s="426" t="s">
        <v>287</v>
      </c>
      <c r="D23" s="427">
        <v>1.3589355629070765</v>
      </c>
    </row>
    <row r="24" spans="3:4" x14ac:dyDescent="0.3">
      <c r="C24" s="428" t="s">
        <v>288</v>
      </c>
      <c r="D24" s="429">
        <v>0.87919599737988097</v>
      </c>
    </row>
    <row r="25" spans="3:4" x14ac:dyDescent="0.3">
      <c r="C25" s="428" t="s">
        <v>289</v>
      </c>
      <c r="D25" s="429">
        <v>2.9788136761657023</v>
      </c>
    </row>
    <row r="26" spans="3:4" x14ac:dyDescent="0.3">
      <c r="C26" s="428" t="s">
        <v>600</v>
      </c>
      <c r="D26" s="429">
        <v>-0.4757185742974705</v>
      </c>
    </row>
    <row r="27" spans="3:4" x14ac:dyDescent="0.3">
      <c r="C27" s="428" t="s">
        <v>290</v>
      </c>
      <c r="D27" s="429">
        <v>3.6677828801750039</v>
      </c>
    </row>
    <row r="28" spans="3:4" x14ac:dyDescent="0.3">
      <c r="C28" s="428" t="s">
        <v>291</v>
      </c>
      <c r="D28" s="429">
        <f>0.499648531899627+0.0844436635517258</f>
        <v>0.58409219545135282</v>
      </c>
    </row>
    <row r="29" spans="3:4" ht="13.8" thickBot="1" x14ac:dyDescent="0.35">
      <c r="C29" s="430" t="s">
        <v>178</v>
      </c>
      <c r="D29" s="431">
        <v>9.1164514986811014</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31"/>
  <sheetViews>
    <sheetView showGridLines="0" zoomScale="80" zoomScaleNormal="80" workbookViewId="0"/>
  </sheetViews>
  <sheetFormatPr defaultColWidth="8.5546875" defaultRowHeight="13.2" x14ac:dyDescent="0.3"/>
  <cols>
    <col min="1" max="1" width="8.5546875" style="242"/>
    <col min="2" max="2" width="12.5546875" style="242" customWidth="1"/>
    <col min="3" max="3" width="18" style="242" customWidth="1"/>
    <col min="4" max="16384" width="8.5546875" style="242"/>
  </cols>
  <sheetData>
    <row r="2" spans="3:4" x14ac:dyDescent="0.3">
      <c r="C2" s="241" t="s">
        <v>429</v>
      </c>
    </row>
    <row r="3" spans="3:4" ht="13.8" thickBot="1" x14ac:dyDescent="0.35">
      <c r="C3" s="432"/>
      <c r="D3" s="432"/>
    </row>
    <row r="4" spans="3:4" x14ac:dyDescent="0.3">
      <c r="D4" s="243">
        <v>2023</v>
      </c>
    </row>
    <row r="5" spans="3:4" x14ac:dyDescent="0.3">
      <c r="C5" s="433" t="s">
        <v>292</v>
      </c>
      <c r="D5" s="434">
        <v>477.2</v>
      </c>
    </row>
    <row r="6" spans="3:4" x14ac:dyDescent="0.3">
      <c r="C6" s="435" t="s">
        <v>293</v>
      </c>
      <c r="D6" s="436">
        <v>308.73599999999999</v>
      </c>
    </row>
    <row r="7" spans="3:4" x14ac:dyDescent="0.3">
      <c r="C7" s="435" t="s">
        <v>285</v>
      </c>
      <c r="D7" s="436">
        <v>1046.0318539499976</v>
      </c>
    </row>
    <row r="8" spans="3:4" x14ac:dyDescent="0.3">
      <c r="C8" s="435" t="s">
        <v>603</v>
      </c>
      <c r="D8" s="436">
        <v>43.315156000000428</v>
      </c>
    </row>
    <row r="9" spans="3:4" x14ac:dyDescent="0.3">
      <c r="C9" s="435" t="s">
        <v>294</v>
      </c>
      <c r="D9" s="436">
        <v>789.40634683999974</v>
      </c>
    </row>
    <row r="10" spans="3:4" x14ac:dyDescent="0.3">
      <c r="C10" s="435" t="s">
        <v>295</v>
      </c>
      <c r="D10" s="436">
        <v>498.56200000000001</v>
      </c>
    </row>
    <row r="11" spans="3:4" x14ac:dyDescent="0.3">
      <c r="C11" s="435" t="s">
        <v>170</v>
      </c>
      <c r="D11" s="436">
        <f>+D12-SUM(D5:D10)</f>
        <v>38.056176780008627</v>
      </c>
    </row>
    <row r="12" spans="3:4" ht="13.8" thickBot="1" x14ac:dyDescent="0.35">
      <c r="C12" s="432" t="s">
        <v>31</v>
      </c>
      <c r="D12" s="437">
        <v>3201.3075335700064</v>
      </c>
    </row>
    <row r="21" spans="3:4" x14ac:dyDescent="0.3">
      <c r="C21" s="241" t="s">
        <v>430</v>
      </c>
    </row>
    <row r="22" spans="3:4" ht="13.8" thickBot="1" x14ac:dyDescent="0.35">
      <c r="C22" s="432"/>
      <c r="D22" s="432"/>
    </row>
    <row r="23" spans="3:4" x14ac:dyDescent="0.3">
      <c r="D23" s="243">
        <v>2023</v>
      </c>
    </row>
    <row r="24" spans="3:4" x14ac:dyDescent="0.3">
      <c r="C24" s="426" t="s">
        <v>287</v>
      </c>
      <c r="D24" s="434">
        <v>477.2</v>
      </c>
    </row>
    <row r="25" spans="3:4" x14ac:dyDescent="0.3">
      <c r="C25" s="428" t="s">
        <v>288</v>
      </c>
      <c r="D25" s="436">
        <v>308.73599999999999</v>
      </c>
    </row>
    <row r="26" spans="3:4" x14ac:dyDescent="0.3">
      <c r="C26" s="435" t="s">
        <v>289</v>
      </c>
      <c r="D26" s="436">
        <v>1046.0318539499976</v>
      </c>
    </row>
    <row r="27" spans="3:4" x14ac:dyDescent="0.3">
      <c r="C27" s="428" t="s">
        <v>604</v>
      </c>
      <c r="D27" s="436">
        <v>43.315156000000428</v>
      </c>
    </row>
    <row r="28" spans="3:4" x14ac:dyDescent="0.3">
      <c r="C28" s="435" t="s">
        <v>296</v>
      </c>
      <c r="D28" s="436">
        <v>789.40634683999974</v>
      </c>
    </row>
    <row r="29" spans="3:4" x14ac:dyDescent="0.3">
      <c r="C29" s="435" t="s">
        <v>297</v>
      </c>
      <c r="D29" s="436">
        <v>498.56200000000001</v>
      </c>
    </row>
    <row r="30" spans="3:4" x14ac:dyDescent="0.3">
      <c r="C30" s="435" t="s">
        <v>291</v>
      </c>
      <c r="D30" s="436">
        <f>+D31-SUM(D24:D29)</f>
        <v>38.056176780008627</v>
      </c>
    </row>
    <row r="31" spans="3:4" ht="13.8" thickBot="1" x14ac:dyDescent="0.35">
      <c r="C31" s="432" t="s">
        <v>178</v>
      </c>
      <c r="D31" s="437">
        <v>3201.3075335700064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23"/>
  <sheetViews>
    <sheetView showGridLines="0" zoomScale="80" zoomScaleNormal="80" workbookViewId="0"/>
  </sheetViews>
  <sheetFormatPr defaultRowHeight="14.4" x14ac:dyDescent="0.3"/>
  <cols>
    <col min="3" max="3" width="56.44140625" customWidth="1"/>
    <col min="4" max="4" width="66.44140625" bestFit="1" customWidth="1"/>
  </cols>
  <sheetData>
    <row r="4" spans="2:5" x14ac:dyDescent="0.3">
      <c r="C4" s="473" t="s">
        <v>444</v>
      </c>
      <c r="D4" s="473"/>
      <c r="E4" s="473"/>
    </row>
    <row r="5" spans="2:5" x14ac:dyDescent="0.3">
      <c r="C5" s="302" t="s">
        <v>586</v>
      </c>
      <c r="D5" s="261"/>
      <c r="E5" s="261"/>
    </row>
    <row r="6" spans="2:5" x14ac:dyDescent="0.3">
      <c r="C6" s="338"/>
      <c r="D6" s="261"/>
      <c r="E6" s="261"/>
    </row>
    <row r="7" spans="2:5" ht="15" thickBot="1" x14ac:dyDescent="0.35">
      <c r="B7" s="351"/>
      <c r="C7" s="262" t="s">
        <v>431</v>
      </c>
      <c r="D7" s="301" t="s">
        <v>432</v>
      </c>
      <c r="E7" s="209">
        <v>2023</v>
      </c>
    </row>
    <row r="8" spans="2:5" x14ac:dyDescent="0.3">
      <c r="B8" s="248"/>
      <c r="C8" s="263" t="s">
        <v>433</v>
      </c>
      <c r="D8" s="303" t="s">
        <v>445</v>
      </c>
      <c r="E8" s="354">
        <v>-270</v>
      </c>
    </row>
    <row r="9" spans="2:5" x14ac:dyDescent="0.3">
      <c r="B9" s="248"/>
      <c r="C9" s="263" t="s">
        <v>434</v>
      </c>
      <c r="D9" s="303" t="s">
        <v>446</v>
      </c>
      <c r="E9" s="354">
        <v>-221</v>
      </c>
    </row>
    <row r="10" spans="2:5" x14ac:dyDescent="0.3">
      <c r="B10" s="248"/>
      <c r="C10" s="263" t="s">
        <v>435</v>
      </c>
      <c r="D10" s="303" t="s">
        <v>447</v>
      </c>
      <c r="E10" s="354">
        <v>-499</v>
      </c>
    </row>
    <row r="11" spans="2:5" x14ac:dyDescent="0.3">
      <c r="B11" s="248"/>
      <c r="C11" s="263" t="s">
        <v>448</v>
      </c>
      <c r="D11" s="303" t="s">
        <v>449</v>
      </c>
      <c r="E11" s="207">
        <v>-1276</v>
      </c>
    </row>
    <row r="12" spans="2:5" x14ac:dyDescent="0.3">
      <c r="B12" s="248"/>
      <c r="C12" s="263" t="s">
        <v>436</v>
      </c>
      <c r="D12" s="303" t="s">
        <v>450</v>
      </c>
      <c r="E12" s="207">
        <v>-334</v>
      </c>
    </row>
    <row r="13" spans="2:5" x14ac:dyDescent="0.3">
      <c r="B13" s="248"/>
      <c r="C13" s="263" t="s">
        <v>437</v>
      </c>
      <c r="D13" s="303" t="s">
        <v>451</v>
      </c>
      <c r="E13" s="207">
        <v>-412</v>
      </c>
    </row>
    <row r="14" spans="2:5" x14ac:dyDescent="0.3">
      <c r="B14" s="248"/>
      <c r="C14" s="263" t="s">
        <v>438</v>
      </c>
      <c r="D14" s="303" t="s">
        <v>452</v>
      </c>
      <c r="E14" s="207">
        <v>-70</v>
      </c>
    </row>
    <row r="15" spans="2:5" x14ac:dyDescent="0.3">
      <c r="B15" s="248"/>
      <c r="C15" s="263" t="s">
        <v>439</v>
      </c>
      <c r="D15" s="303" t="s">
        <v>453</v>
      </c>
      <c r="E15" s="207">
        <v>650</v>
      </c>
    </row>
    <row r="16" spans="2:5" x14ac:dyDescent="0.3">
      <c r="B16" s="248"/>
      <c r="C16" s="263" t="s">
        <v>440</v>
      </c>
      <c r="D16" s="303" t="s">
        <v>454</v>
      </c>
      <c r="E16" s="207">
        <v>-363</v>
      </c>
    </row>
    <row r="17" spans="2:5" x14ac:dyDescent="0.3">
      <c r="B17" s="248"/>
      <c r="C17" s="263" t="s">
        <v>441</v>
      </c>
      <c r="D17" s="303" t="s">
        <v>455</v>
      </c>
      <c r="E17" s="264">
        <v>594</v>
      </c>
    </row>
    <row r="18" spans="2:5" x14ac:dyDescent="0.3">
      <c r="B18" s="248"/>
      <c r="C18" s="263" t="s">
        <v>323</v>
      </c>
      <c r="D18" s="303" t="s">
        <v>498</v>
      </c>
      <c r="E18" s="264">
        <v>283</v>
      </c>
    </row>
    <row r="19" spans="2:5" x14ac:dyDescent="0.3">
      <c r="B19" s="248"/>
      <c r="C19" s="263" t="s">
        <v>442</v>
      </c>
      <c r="D19" s="303" t="s">
        <v>456</v>
      </c>
      <c r="E19" s="264">
        <v>23</v>
      </c>
    </row>
    <row r="20" spans="2:5" ht="15" thickBot="1" x14ac:dyDescent="0.35">
      <c r="B20" s="353"/>
      <c r="C20" s="265" t="s">
        <v>443</v>
      </c>
      <c r="D20" s="352" t="s">
        <v>457</v>
      </c>
      <c r="E20" s="266">
        <v>150</v>
      </c>
    </row>
    <row r="21" spans="2:5" ht="15" thickBot="1" x14ac:dyDescent="0.35">
      <c r="B21" s="351"/>
      <c r="C21" s="262" t="s">
        <v>31</v>
      </c>
      <c r="D21" s="262" t="s">
        <v>178</v>
      </c>
      <c r="E21" s="208">
        <v>-1745</v>
      </c>
    </row>
    <row r="22" spans="2:5" x14ac:dyDescent="0.3">
      <c r="C22" s="267"/>
      <c r="D22" s="267"/>
      <c r="E22" s="267" t="s">
        <v>477</v>
      </c>
    </row>
    <row r="23" spans="2:5" x14ac:dyDescent="0.3">
      <c r="D23" s="267"/>
      <c r="E23" s="267" t="s">
        <v>478</v>
      </c>
    </row>
  </sheetData>
  <mergeCells count="1">
    <mergeCell ref="C4:E4"/>
  </mergeCells>
  <pageMargins left="0.7" right="0.7" top="0.75" bottom="0.75" header="0.3" footer="0.3"/>
  <pageSetup paperSize="0" orientation="portrait" horizontalDpi="0" verticalDpi="0" copie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V37"/>
  <sheetViews>
    <sheetView showGridLines="0" zoomScale="80" zoomScaleNormal="80" workbookViewId="0"/>
  </sheetViews>
  <sheetFormatPr defaultColWidth="9.21875" defaultRowHeight="13.2" x14ac:dyDescent="0.3"/>
  <cols>
    <col min="1" max="1" width="26" style="32" customWidth="1"/>
    <col min="2" max="7" width="9.21875" style="32"/>
    <col min="8" max="8" width="11.21875" style="32" customWidth="1"/>
    <col min="9" max="20" width="9.21875" style="32"/>
    <col min="21" max="21" width="17.77734375" style="32" bestFit="1" customWidth="1"/>
    <col min="22" max="16384" width="9.21875" style="32"/>
  </cols>
  <sheetData>
    <row r="5" spans="1:18" x14ac:dyDescent="0.3">
      <c r="A5" s="214" t="s">
        <v>404</v>
      </c>
      <c r="B5" s="34"/>
      <c r="C5" s="34"/>
      <c r="D5" s="34"/>
      <c r="E5" s="34"/>
      <c r="F5" s="34"/>
      <c r="G5" s="34"/>
      <c r="H5" s="35"/>
      <c r="I5" s="214" t="s">
        <v>646</v>
      </c>
      <c r="J5" s="34"/>
      <c r="K5" s="34"/>
      <c r="L5" s="34"/>
      <c r="M5" s="34"/>
      <c r="N5" s="34"/>
      <c r="O5" s="34"/>
      <c r="P5" s="34"/>
      <c r="Q5" s="34"/>
      <c r="R5" s="34"/>
    </row>
    <row r="25" spans="1:22" x14ac:dyDescent="0.3">
      <c r="B25" s="124"/>
      <c r="C25" s="124"/>
      <c r="D25" s="124"/>
      <c r="E25" s="124"/>
      <c r="F25" s="316" t="s">
        <v>0</v>
      </c>
      <c r="G25" s="124"/>
      <c r="I25" s="124"/>
      <c r="K25" s="124"/>
      <c r="L25" s="124"/>
      <c r="M25" s="124"/>
      <c r="O25" s="316" t="s">
        <v>220</v>
      </c>
    </row>
    <row r="26" spans="1:22" ht="13.8" thickBot="1" x14ac:dyDescent="0.35">
      <c r="A26" s="163"/>
      <c r="B26" s="163"/>
      <c r="C26" s="163"/>
      <c r="D26" s="163"/>
      <c r="E26" s="163"/>
      <c r="F26" s="163"/>
      <c r="G26" s="163"/>
      <c r="H26" s="163"/>
      <c r="I26" s="163"/>
      <c r="J26" s="163"/>
      <c r="K26" s="163"/>
      <c r="L26" s="163"/>
      <c r="M26" s="163"/>
      <c r="N26" s="163"/>
      <c r="O26" s="163"/>
      <c r="P26" s="163"/>
      <c r="Q26" s="163"/>
      <c r="R26" s="163"/>
      <c r="S26" s="163"/>
      <c r="T26" s="163"/>
      <c r="U26" s="163"/>
      <c r="V26" s="163"/>
    </row>
    <row r="27" spans="1:22" x14ac:dyDescent="0.3">
      <c r="A27" s="35"/>
      <c r="B27" s="412">
        <v>2008</v>
      </c>
      <c r="C27" s="412">
        <v>2009</v>
      </c>
      <c r="D27" s="412">
        <v>2010</v>
      </c>
      <c r="E27" s="412">
        <v>2011</v>
      </c>
      <c r="F27" s="412">
        <v>2012</v>
      </c>
      <c r="G27" s="412">
        <v>2013</v>
      </c>
      <c r="H27" s="412">
        <v>2014</v>
      </c>
      <c r="I27" s="412">
        <v>2015</v>
      </c>
      <c r="J27" s="412">
        <v>2016</v>
      </c>
      <c r="K27" s="412">
        <v>2017</v>
      </c>
      <c r="L27" s="412">
        <v>2018</v>
      </c>
      <c r="M27" s="412">
        <v>2019</v>
      </c>
      <c r="N27" s="412">
        <v>2020</v>
      </c>
      <c r="O27" s="412">
        <v>2021</v>
      </c>
      <c r="P27" s="412">
        <v>2022</v>
      </c>
      <c r="Q27" s="412">
        <v>2023</v>
      </c>
      <c r="R27" s="412">
        <v>2024</v>
      </c>
      <c r="S27" s="412">
        <v>2025</v>
      </c>
      <c r="T27" s="412">
        <v>2026</v>
      </c>
    </row>
    <row r="28" spans="1:22" x14ac:dyDescent="0.3">
      <c r="A28" s="438" t="s">
        <v>177</v>
      </c>
      <c r="B28" s="439">
        <v>28.598844266178187</v>
      </c>
      <c r="C28" s="439">
        <v>36.360888192511553</v>
      </c>
      <c r="D28" s="439">
        <v>40.614878973148919</v>
      </c>
      <c r="E28" s="439">
        <v>43.156000418244005</v>
      </c>
      <c r="F28" s="439">
        <v>51.72910298334714</v>
      </c>
      <c r="G28" s="439">
        <v>54.692539182951563</v>
      </c>
      <c r="H28" s="439">
        <v>53.492573668588385</v>
      </c>
      <c r="I28" s="439">
        <v>51.685314618287428</v>
      </c>
      <c r="J28" s="439">
        <v>52.274899425888307</v>
      </c>
      <c r="K28" s="439">
        <v>51.46157115593779</v>
      </c>
      <c r="L28" s="439">
        <v>49.408050829169454</v>
      </c>
      <c r="M28" s="439">
        <v>47.978556203494129</v>
      </c>
      <c r="N28" s="439">
        <v>58.851127416332439</v>
      </c>
      <c r="O28" s="439">
        <v>61.081165632433098</v>
      </c>
      <c r="P28" s="439">
        <v>57.802773885954991</v>
      </c>
      <c r="Q28" s="439">
        <v>57.060000811440013</v>
      </c>
      <c r="R28" s="439">
        <v>59.964624034582755</v>
      </c>
      <c r="S28" s="439">
        <v>62.646360009987347</v>
      </c>
      <c r="T28" s="439">
        <v>67.404741701425181</v>
      </c>
      <c r="U28" s="438" t="s">
        <v>235</v>
      </c>
      <c r="V28" s="438"/>
    </row>
    <row r="29" spans="1:22" x14ac:dyDescent="0.3">
      <c r="A29" s="35" t="s">
        <v>230</v>
      </c>
      <c r="B29" s="440">
        <v>22.598307807313471</v>
      </c>
      <c r="C29" s="440">
        <v>31.683494130065476</v>
      </c>
      <c r="D29" s="440">
        <v>36.706492335404548</v>
      </c>
      <c r="E29" s="440">
        <v>40.601875751384192</v>
      </c>
      <c r="F29" s="440">
        <v>45.035349100670494</v>
      </c>
      <c r="G29" s="440">
        <v>47.792677071458442</v>
      </c>
      <c r="H29" s="440">
        <v>49.479844835389187</v>
      </c>
      <c r="I29" s="440">
        <v>47.266027646839639</v>
      </c>
      <c r="J29" s="440">
        <v>46.928453271330902</v>
      </c>
      <c r="K29" s="440">
        <v>45.741709297628958</v>
      </c>
      <c r="L29" s="440">
        <v>43.330589179314366</v>
      </c>
      <c r="M29" s="440">
        <v>43.084864561833882</v>
      </c>
      <c r="N29" s="440">
        <v>48.882600351765404</v>
      </c>
      <c r="O29" s="440">
        <v>49.640621506277924</v>
      </c>
      <c r="P29" s="440">
        <v>47.683610070826276</v>
      </c>
      <c r="Q29" s="440">
        <v>49.656197887839113</v>
      </c>
      <c r="R29" s="440">
        <v>53.491061063670841</v>
      </c>
      <c r="S29" s="440">
        <v>57.195505049152032</v>
      </c>
      <c r="T29" s="440">
        <v>61.916217163365239</v>
      </c>
      <c r="U29" s="35" t="s">
        <v>181</v>
      </c>
      <c r="V29" s="35"/>
    </row>
    <row r="30" spans="1:22" x14ac:dyDescent="0.3">
      <c r="A30" s="35" t="s">
        <v>377</v>
      </c>
      <c r="B30" s="440">
        <v>6.0005364588647181</v>
      </c>
      <c r="C30" s="440">
        <v>4.6773940624460817</v>
      </c>
      <c r="D30" s="440">
        <v>3.9083866377443726</v>
      </c>
      <c r="E30" s="440">
        <v>2.5541246668598148</v>
      </c>
      <c r="F30" s="440">
        <v>6.6937538826766438</v>
      </c>
      <c r="G30" s="440">
        <v>6.8998621114931211</v>
      </c>
      <c r="H30" s="440">
        <v>4.0127288331991959</v>
      </c>
      <c r="I30" s="440">
        <v>4.4192869714477867</v>
      </c>
      <c r="J30" s="440">
        <v>5.3464461545574054</v>
      </c>
      <c r="K30" s="440">
        <v>5.7198618583088301</v>
      </c>
      <c r="L30" s="440">
        <v>6.0774616498550937</v>
      </c>
      <c r="M30" s="440">
        <v>4.8936916416602427</v>
      </c>
      <c r="N30" s="440">
        <v>9.9685270645670307</v>
      </c>
      <c r="O30" s="440">
        <v>11.440544126155155</v>
      </c>
      <c r="P30" s="440">
        <v>10.11991552679596</v>
      </c>
      <c r="Q30" s="440">
        <v>7.403802923600912</v>
      </c>
      <c r="R30" s="440">
        <v>6.4735629709119156</v>
      </c>
      <c r="S30" s="440">
        <v>5.4508549608353212</v>
      </c>
      <c r="T30" s="440">
        <v>5.4885245380599272</v>
      </c>
      <c r="U30" s="35" t="s">
        <v>242</v>
      </c>
      <c r="V30" s="35"/>
    </row>
    <row r="31" spans="1:22" x14ac:dyDescent="0.3">
      <c r="A31" s="35" t="s">
        <v>231</v>
      </c>
      <c r="B31" s="35"/>
      <c r="C31" s="35"/>
      <c r="D31" s="35"/>
      <c r="E31" s="35"/>
      <c r="F31" s="392">
        <f>G31</f>
        <v>60</v>
      </c>
      <c r="G31" s="392">
        <f t="shared" ref="F31:J32" si="0">H31</f>
        <v>60</v>
      </c>
      <c r="H31" s="392">
        <f t="shared" si="0"/>
        <v>60</v>
      </c>
      <c r="I31" s="392">
        <f t="shared" si="0"/>
        <v>60</v>
      </c>
      <c r="J31" s="392">
        <f>K31</f>
        <v>60</v>
      </c>
      <c r="K31" s="392">
        <f>L31+1</f>
        <v>60</v>
      </c>
      <c r="L31" s="392">
        <f>M31+1</f>
        <v>59</v>
      </c>
      <c r="M31" s="392">
        <v>58</v>
      </c>
      <c r="N31" s="392">
        <f>M31-1</f>
        <v>57</v>
      </c>
      <c r="O31" s="392">
        <f t="shared" ref="O31:T31" si="1">N31-1</f>
        <v>56</v>
      </c>
      <c r="P31" s="392">
        <f t="shared" si="1"/>
        <v>55</v>
      </c>
      <c r="Q31" s="392">
        <f t="shared" si="1"/>
        <v>54</v>
      </c>
      <c r="R31" s="392">
        <f t="shared" si="1"/>
        <v>53</v>
      </c>
      <c r="S31" s="392">
        <f t="shared" si="1"/>
        <v>52</v>
      </c>
      <c r="T31" s="392">
        <f t="shared" si="1"/>
        <v>51</v>
      </c>
      <c r="U31" s="35" t="s">
        <v>243</v>
      </c>
      <c r="V31" s="35"/>
    </row>
    <row r="32" spans="1:22" ht="13.8" thickBot="1" x14ac:dyDescent="0.35">
      <c r="A32" s="163" t="s">
        <v>231</v>
      </c>
      <c r="B32" s="163"/>
      <c r="C32" s="163"/>
      <c r="D32" s="163"/>
      <c r="E32" s="163"/>
      <c r="F32" s="441">
        <f t="shared" si="0"/>
        <v>50</v>
      </c>
      <c r="G32" s="441">
        <f t="shared" si="0"/>
        <v>50</v>
      </c>
      <c r="H32" s="441">
        <f t="shared" si="0"/>
        <v>50</v>
      </c>
      <c r="I32" s="441">
        <f t="shared" si="0"/>
        <v>50</v>
      </c>
      <c r="J32" s="441">
        <f t="shared" si="0"/>
        <v>50</v>
      </c>
      <c r="K32" s="441">
        <f t="shared" ref="K32:L32" si="2">L32+1</f>
        <v>50</v>
      </c>
      <c r="L32" s="441">
        <f t="shared" si="2"/>
        <v>49</v>
      </c>
      <c r="M32" s="441">
        <v>48</v>
      </c>
      <c r="N32" s="441">
        <f t="shared" ref="N32:T32" si="3">M32-1</f>
        <v>47</v>
      </c>
      <c r="O32" s="441">
        <f t="shared" si="3"/>
        <v>46</v>
      </c>
      <c r="P32" s="441">
        <f t="shared" si="3"/>
        <v>45</v>
      </c>
      <c r="Q32" s="441">
        <f t="shared" si="3"/>
        <v>44</v>
      </c>
      <c r="R32" s="441">
        <f t="shared" si="3"/>
        <v>43</v>
      </c>
      <c r="S32" s="441">
        <f t="shared" si="3"/>
        <v>42</v>
      </c>
      <c r="T32" s="441">
        <f t="shared" si="3"/>
        <v>41</v>
      </c>
      <c r="U32" s="163" t="s">
        <v>243</v>
      </c>
      <c r="V32" s="163"/>
    </row>
    <row r="33" spans="1:20" x14ac:dyDescent="0.3">
      <c r="P33" s="42"/>
      <c r="Q33" s="42"/>
      <c r="R33" s="42"/>
      <c r="S33" s="42"/>
      <c r="T33" s="42"/>
    </row>
    <row r="34" spans="1:20" x14ac:dyDescent="0.3">
      <c r="P34" s="42"/>
      <c r="Q34" s="42"/>
      <c r="R34" s="42"/>
      <c r="S34" s="42"/>
      <c r="T34" s="42"/>
    </row>
    <row r="37" spans="1:20" ht="14.4" x14ac:dyDescent="0.3">
      <c r="A37"/>
      <c r="B37"/>
      <c r="C37"/>
      <c r="D37"/>
      <c r="E37"/>
      <c r="F37"/>
      <c r="G37"/>
      <c r="H37" s="35"/>
      <c r="I37" s="35"/>
      <c r="J37" s="35"/>
      <c r="K37" s="35"/>
      <c r="L37" s="35"/>
      <c r="M37" s="3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zoomScale="80" zoomScaleNormal="80" workbookViewId="0"/>
  </sheetViews>
  <sheetFormatPr defaultRowHeight="14.4" x14ac:dyDescent="0.3"/>
  <cols>
    <col min="1" max="1" width="34.77734375" bestFit="1" customWidth="1"/>
    <col min="11" max="11" width="11.44140625" customWidth="1"/>
    <col min="24" max="24" width="10.77734375" customWidth="1"/>
  </cols>
  <sheetData>
    <row r="1" spans="1:13" x14ac:dyDescent="0.3">
      <c r="A1" s="219"/>
    </row>
    <row r="2" spans="1:13" x14ac:dyDescent="0.3">
      <c r="A2" s="219"/>
    </row>
    <row r="3" spans="1:13" x14ac:dyDescent="0.3">
      <c r="A3" s="219"/>
    </row>
    <row r="4" spans="1:13" ht="15" thickBot="1" x14ac:dyDescent="0.35">
      <c r="A4" s="178"/>
      <c r="B4" s="351"/>
      <c r="C4" s="351"/>
      <c r="D4" s="351"/>
      <c r="E4" s="351"/>
      <c r="F4" s="351"/>
      <c r="G4" s="351"/>
      <c r="H4" s="351"/>
      <c r="I4" s="351"/>
      <c r="J4" s="351"/>
      <c r="K4" s="351"/>
    </row>
    <row r="5" spans="1:13" x14ac:dyDescent="0.3">
      <c r="B5" s="218"/>
      <c r="C5" s="218">
        <v>2022</v>
      </c>
      <c r="D5" s="218">
        <v>2023</v>
      </c>
      <c r="E5" s="218">
        <v>2024</v>
      </c>
      <c r="F5" s="218">
        <v>2025</v>
      </c>
      <c r="G5" s="218">
        <v>2026</v>
      </c>
      <c r="L5" s="317"/>
    </row>
    <row r="6" spans="1:13" x14ac:dyDescent="0.3">
      <c r="A6" s="442" t="s">
        <v>244</v>
      </c>
      <c r="B6" s="443"/>
      <c r="C6" s="443">
        <v>-3.2776400348108368</v>
      </c>
      <c r="D6" s="443">
        <v>-0.74352478618222761</v>
      </c>
      <c r="E6" s="443">
        <v>2.9046232231427425</v>
      </c>
      <c r="F6" s="443">
        <v>2.6817359754045924</v>
      </c>
      <c r="G6" s="443">
        <v>4.7583816914378332</v>
      </c>
      <c r="H6" s="444" t="s">
        <v>247</v>
      </c>
      <c r="I6" s="410"/>
      <c r="J6" s="410"/>
      <c r="K6" s="410"/>
      <c r="L6" s="215"/>
    </row>
    <row r="7" spans="1:13" x14ac:dyDescent="0.3">
      <c r="A7" s="445" t="s">
        <v>24</v>
      </c>
      <c r="B7" s="446"/>
      <c r="C7" s="446"/>
      <c r="D7" s="446"/>
      <c r="E7" s="446"/>
      <c r="F7" s="446"/>
      <c r="G7" s="446"/>
      <c r="H7" s="411"/>
      <c r="I7" s="411"/>
      <c r="J7" s="411"/>
      <c r="K7" s="411"/>
      <c r="L7" s="41"/>
    </row>
    <row r="8" spans="1:13" x14ac:dyDescent="0.3">
      <c r="A8" s="217" t="s">
        <v>25</v>
      </c>
      <c r="B8" s="447"/>
      <c r="C8" s="447">
        <v>0.98659326432431538</v>
      </c>
      <c r="D8" s="447">
        <v>5.3086353813187941</v>
      </c>
      <c r="E8" s="447">
        <v>5.4533543488370295</v>
      </c>
      <c r="F8" s="447">
        <v>5.5388185415963189</v>
      </c>
      <c r="G8" s="447">
        <v>4.9937973807413307</v>
      </c>
      <c r="H8" s="35" t="s">
        <v>179</v>
      </c>
      <c r="I8" s="411"/>
      <c r="J8" s="411"/>
      <c r="K8" s="411"/>
      <c r="L8" s="216"/>
    </row>
    <row r="9" spans="1:13" x14ac:dyDescent="0.3">
      <c r="A9" s="217" t="s">
        <v>26</v>
      </c>
      <c r="B9" s="447"/>
      <c r="C9" s="447">
        <v>1.0340727778796011</v>
      </c>
      <c r="D9" s="447">
        <v>0.89169154413672835</v>
      </c>
      <c r="E9" s="447">
        <v>1.0551780816103462</v>
      </c>
      <c r="F9" s="447">
        <v>1.3635417329030468</v>
      </c>
      <c r="G9" s="447">
        <v>1.6056278308920793</v>
      </c>
      <c r="H9" s="35" t="s">
        <v>248</v>
      </c>
      <c r="I9" s="411"/>
      <c r="J9" s="411"/>
      <c r="K9" s="411"/>
      <c r="L9" s="216"/>
    </row>
    <row r="10" spans="1:13" x14ac:dyDescent="0.3">
      <c r="A10" s="217" t="s">
        <v>27</v>
      </c>
      <c r="B10" s="448"/>
      <c r="C10" s="448">
        <v>-0.93255097872108539</v>
      </c>
      <c r="D10" s="448">
        <v>-0.64836262915580711</v>
      </c>
      <c r="E10" s="448">
        <v>-0.66377034453276007</v>
      </c>
      <c r="F10" s="448">
        <v>-1.7815872144961509</v>
      </c>
      <c r="G10" s="448">
        <v>-1.2762408555071858</v>
      </c>
      <c r="H10" s="35" t="s">
        <v>180</v>
      </c>
      <c r="I10" s="411"/>
      <c r="J10" s="411"/>
      <c r="K10" s="411"/>
      <c r="L10" s="216"/>
    </row>
    <row r="11" spans="1:13" x14ac:dyDescent="0.3">
      <c r="A11" s="217" t="s">
        <v>28</v>
      </c>
      <c r="B11" s="447"/>
      <c r="C11" s="447">
        <v>-4.2981333411903258</v>
      </c>
      <c r="D11" s="447">
        <v>-5.1067490415523418</v>
      </c>
      <c r="E11" s="447">
        <v>-3.4315958919340641</v>
      </c>
      <c r="F11" s="447">
        <v>-1.6070201463007263</v>
      </c>
      <c r="G11" s="447">
        <v>-1.442599347620839</v>
      </c>
      <c r="H11" s="35" t="s">
        <v>251</v>
      </c>
      <c r="I11" s="411"/>
      <c r="J11" s="411"/>
      <c r="K11" s="411"/>
      <c r="L11" s="216"/>
    </row>
    <row r="12" spans="1:13" x14ac:dyDescent="0.3">
      <c r="A12" s="217" t="s">
        <v>245</v>
      </c>
      <c r="B12" s="447"/>
      <c r="C12" s="447">
        <v>-0.31813435599688539</v>
      </c>
      <c r="D12" s="447">
        <v>-1.7085400831334037</v>
      </c>
      <c r="E12" s="447">
        <v>-0.39960924716805374</v>
      </c>
      <c r="F12" s="447">
        <v>-0.65688626955900042</v>
      </c>
      <c r="G12" s="447">
        <v>0.27354765855815472</v>
      </c>
      <c r="H12" s="35" t="s">
        <v>250</v>
      </c>
      <c r="I12" s="411"/>
      <c r="J12" s="411"/>
      <c r="K12" s="411"/>
      <c r="L12" s="216"/>
    </row>
    <row r="13" spans="1:13" ht="15" thickBot="1" x14ac:dyDescent="0.35">
      <c r="A13" s="449" t="s">
        <v>246</v>
      </c>
      <c r="B13" s="450"/>
      <c r="C13" s="450">
        <v>0.25051259889354366</v>
      </c>
      <c r="D13" s="450">
        <v>0.51980004220380249</v>
      </c>
      <c r="E13" s="450">
        <v>0.8910662763302446</v>
      </c>
      <c r="F13" s="450">
        <v>-0.17513066873889571</v>
      </c>
      <c r="G13" s="450">
        <v>0.60424902437429329</v>
      </c>
      <c r="H13" s="163" t="s">
        <v>249</v>
      </c>
      <c r="I13" s="351"/>
      <c r="J13" s="351"/>
      <c r="K13" s="351"/>
      <c r="L13" s="216"/>
    </row>
    <row r="14" spans="1:13" x14ac:dyDescent="0.3">
      <c r="B14" s="218"/>
      <c r="C14" s="218"/>
      <c r="D14" s="218"/>
      <c r="E14" s="218"/>
      <c r="F14" s="218"/>
      <c r="G14" s="218"/>
      <c r="L14" s="218"/>
    </row>
    <row r="15" spans="1:13" x14ac:dyDescent="0.3">
      <c r="M15" s="219"/>
    </row>
    <row r="16" spans="1:13" x14ac:dyDescent="0.3">
      <c r="A16" s="219" t="s">
        <v>645</v>
      </c>
      <c r="F16" s="219" t="s">
        <v>647</v>
      </c>
    </row>
    <row r="32" spans="4:11" x14ac:dyDescent="0.3">
      <c r="D32" s="316" t="s">
        <v>0</v>
      </c>
      <c r="K32" s="316" t="s">
        <v>220</v>
      </c>
    </row>
    <row r="38" spans="24:24" x14ac:dyDescent="0.3">
      <c r="X38" s="220"/>
    </row>
    <row r="65" spans="12:12" x14ac:dyDescent="0.3">
      <c r="L65" s="315" t="s">
        <v>220</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C39"/>
  <sheetViews>
    <sheetView showGridLines="0" zoomScale="80" zoomScaleNormal="80" workbookViewId="0"/>
  </sheetViews>
  <sheetFormatPr defaultColWidth="9.21875" defaultRowHeight="13.2" x14ac:dyDescent="0.3"/>
  <cols>
    <col min="1" max="1" width="22.21875" style="32" bestFit="1" customWidth="1"/>
    <col min="2" max="11" width="9.21875" style="32"/>
    <col min="12" max="12" width="11.77734375" style="32" customWidth="1"/>
    <col min="13" max="25" width="9.21875" style="32"/>
    <col min="26" max="26" width="11.5546875" style="32" customWidth="1"/>
    <col min="27" max="28" width="9.21875" style="32"/>
    <col min="29" max="29" width="11.77734375" style="32" customWidth="1"/>
    <col min="30" max="16384" width="9.21875" style="32"/>
  </cols>
  <sheetData>
    <row r="4" spans="1:29" ht="13.8" thickBot="1" x14ac:dyDescent="0.3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row>
    <row r="5" spans="1:29" s="124" customFormat="1" x14ac:dyDescent="0.3">
      <c r="B5" s="124">
        <v>2016</v>
      </c>
      <c r="C5" s="124">
        <v>2017</v>
      </c>
      <c r="D5" s="124">
        <v>2018</v>
      </c>
      <c r="E5" s="124">
        <v>2019</v>
      </c>
      <c r="F5" s="124">
        <v>2020</v>
      </c>
      <c r="G5" s="124">
        <v>2021</v>
      </c>
      <c r="H5" s="124">
        <v>2022</v>
      </c>
      <c r="I5" s="124">
        <v>2023</v>
      </c>
      <c r="J5" s="124">
        <v>2024</v>
      </c>
      <c r="K5" s="124">
        <v>2025</v>
      </c>
      <c r="L5" s="124">
        <v>2026</v>
      </c>
      <c r="M5" s="124">
        <v>2027</v>
      </c>
      <c r="N5" s="124">
        <v>2028</v>
      </c>
      <c r="O5" s="124">
        <v>2029</v>
      </c>
      <c r="P5" s="124">
        <v>2030</v>
      </c>
      <c r="Q5" s="124">
        <v>2031</v>
      </c>
      <c r="R5" s="124">
        <v>2032</v>
      </c>
      <c r="S5" s="124">
        <v>2033</v>
      </c>
      <c r="T5" s="124">
        <v>2034</v>
      </c>
      <c r="U5" s="124">
        <v>2035</v>
      </c>
      <c r="V5" s="124">
        <v>2036</v>
      </c>
      <c r="W5" s="124">
        <v>2037</v>
      </c>
      <c r="X5" s="124">
        <v>2038</v>
      </c>
      <c r="Y5" s="124">
        <v>2039</v>
      </c>
      <c r="Z5" s="124">
        <v>2040</v>
      </c>
    </row>
    <row r="6" spans="1:29" x14ac:dyDescent="0.3">
      <c r="A6" s="438" t="s">
        <v>252</v>
      </c>
      <c r="B6" s="439">
        <v>52.274899425888307</v>
      </c>
      <c r="C6" s="439">
        <v>51.46157115593779</v>
      </c>
      <c r="D6" s="439">
        <v>49.408050829169454</v>
      </c>
      <c r="E6" s="439">
        <v>47.978556203494129</v>
      </c>
      <c r="F6" s="439">
        <v>58.851127416332439</v>
      </c>
      <c r="G6" s="439">
        <v>61.081165632433077</v>
      </c>
      <c r="H6" s="439">
        <v>57.80352559762224</v>
      </c>
      <c r="I6" s="439">
        <v>57.060000811440013</v>
      </c>
      <c r="J6" s="439">
        <v>59.964624034582755</v>
      </c>
      <c r="K6" s="439">
        <v>62.646360009987347</v>
      </c>
      <c r="L6" s="439">
        <v>67.404741701425181</v>
      </c>
      <c r="M6" s="439">
        <v>71.383483824817702</v>
      </c>
      <c r="N6" s="439">
        <v>74.335618748174497</v>
      </c>
      <c r="O6" s="439">
        <v>78.607455671308458</v>
      </c>
      <c r="P6" s="439">
        <v>83.074420240477835</v>
      </c>
      <c r="Q6" s="439">
        <v>87.484246982590491</v>
      </c>
      <c r="R6" s="439">
        <v>92.294709998335364</v>
      </c>
      <c r="S6" s="439">
        <v>97.028726232444683</v>
      </c>
      <c r="T6" s="439">
        <v>101.76230714838405</v>
      </c>
      <c r="U6" s="439">
        <v>106.56072748711071</v>
      </c>
      <c r="V6" s="439">
        <v>111.53195090140655</v>
      </c>
      <c r="W6" s="439">
        <v>116.70959709593778</v>
      </c>
      <c r="X6" s="439">
        <v>121.98477639738965</v>
      </c>
      <c r="Y6" s="439">
        <v>127.31552022250112</v>
      </c>
      <c r="Z6" s="439">
        <v>132.70476510338247</v>
      </c>
      <c r="AA6" s="438" t="s">
        <v>258</v>
      </c>
      <c r="AB6" s="438"/>
      <c r="AC6" s="438"/>
    </row>
    <row r="7" spans="1:29" x14ac:dyDescent="0.3">
      <c r="A7" s="35" t="s">
        <v>253</v>
      </c>
      <c r="B7" s="440">
        <v>46.928453271330902</v>
      </c>
      <c r="C7" s="440">
        <v>45.741709297628958</v>
      </c>
      <c r="D7" s="440">
        <v>43.330589179314366</v>
      </c>
      <c r="E7" s="440">
        <v>43.084864561833882</v>
      </c>
      <c r="F7" s="440">
        <v>48.882600351765404</v>
      </c>
      <c r="G7" s="440">
        <v>49.640621506277924</v>
      </c>
      <c r="H7" s="440">
        <v>47.683610070826276</v>
      </c>
      <c r="I7" s="440">
        <v>49.656198709066842</v>
      </c>
      <c r="J7" s="440">
        <v>53.479306616958326</v>
      </c>
      <c r="K7" s="440">
        <v>57.173323926616781</v>
      </c>
      <c r="L7" s="440">
        <v>61.884389120363402</v>
      </c>
      <c r="M7" s="440">
        <v>65.383483824817716</v>
      </c>
      <c r="N7" s="440">
        <v>69.335618748174497</v>
      </c>
      <c r="O7" s="440">
        <v>74.607455671308458</v>
      </c>
      <c r="P7" s="440">
        <v>79.574420240477821</v>
      </c>
      <c r="Q7" s="440">
        <v>84.484246982590477</v>
      </c>
      <c r="R7" s="440">
        <v>89.294709998335364</v>
      </c>
      <c r="S7" s="440">
        <v>94.028726232444683</v>
      </c>
      <c r="T7" s="440">
        <v>98.762307148384068</v>
      </c>
      <c r="U7" s="440">
        <v>103.56072748711071</v>
      </c>
      <c r="V7" s="440">
        <v>108.53195090140655</v>
      </c>
      <c r="W7" s="440">
        <v>113.70959709593778</v>
      </c>
      <c r="X7" s="440">
        <v>118.98477639738967</v>
      </c>
      <c r="Y7" s="440">
        <v>124.31552022250114</v>
      </c>
      <c r="Z7" s="440">
        <v>129.70476510338247</v>
      </c>
      <c r="AA7" s="35" t="s">
        <v>259</v>
      </c>
      <c r="AB7" s="35"/>
      <c r="AC7" s="35"/>
    </row>
    <row r="8" spans="1:29" ht="13.8" thickBot="1" x14ac:dyDescent="0.35">
      <c r="A8" s="163" t="s">
        <v>254</v>
      </c>
      <c r="B8" s="451">
        <f>B6-B7</f>
        <v>5.3464461545574054</v>
      </c>
      <c r="C8" s="451">
        <f t="shared" ref="C8:Z8" si="0">C6-C7</f>
        <v>5.7198618583088319</v>
      </c>
      <c r="D8" s="451">
        <f t="shared" si="0"/>
        <v>6.0774616498550884</v>
      </c>
      <c r="E8" s="451">
        <f t="shared" si="0"/>
        <v>4.8936916416602472</v>
      </c>
      <c r="F8" s="451">
        <f t="shared" si="0"/>
        <v>9.9685270645670343</v>
      </c>
      <c r="G8" s="451">
        <f t="shared" si="0"/>
        <v>11.440544126155153</v>
      </c>
      <c r="H8" s="451">
        <f t="shared" si="0"/>
        <v>10.119915526795964</v>
      </c>
      <c r="I8" s="451">
        <f t="shared" si="0"/>
        <v>7.4038021023731702</v>
      </c>
      <c r="J8" s="451">
        <f t="shared" si="0"/>
        <v>6.4853174176244295</v>
      </c>
      <c r="K8" s="451">
        <f t="shared" si="0"/>
        <v>5.473036083370566</v>
      </c>
      <c r="L8" s="451">
        <f t="shared" si="0"/>
        <v>5.5203525810617791</v>
      </c>
      <c r="M8" s="451">
        <f t="shared" si="0"/>
        <v>5.9999999999999858</v>
      </c>
      <c r="N8" s="451">
        <f t="shared" si="0"/>
        <v>5</v>
      </c>
      <c r="O8" s="451">
        <f t="shared" si="0"/>
        <v>4</v>
      </c>
      <c r="P8" s="451">
        <f t="shared" si="0"/>
        <v>3.5000000000000142</v>
      </c>
      <c r="Q8" s="451">
        <f t="shared" si="0"/>
        <v>3.0000000000000142</v>
      </c>
      <c r="R8" s="451">
        <f t="shared" si="0"/>
        <v>3</v>
      </c>
      <c r="S8" s="451">
        <f t="shared" si="0"/>
        <v>3</v>
      </c>
      <c r="T8" s="451">
        <f t="shared" si="0"/>
        <v>2.9999999999999858</v>
      </c>
      <c r="U8" s="451">
        <f t="shared" si="0"/>
        <v>3</v>
      </c>
      <c r="V8" s="451">
        <f t="shared" si="0"/>
        <v>3</v>
      </c>
      <c r="W8" s="451">
        <f t="shared" si="0"/>
        <v>3</v>
      </c>
      <c r="X8" s="451">
        <f t="shared" si="0"/>
        <v>2.9999999999999858</v>
      </c>
      <c r="Y8" s="451">
        <f t="shared" si="0"/>
        <v>2.9999999999999858</v>
      </c>
      <c r="Z8" s="451">
        <f t="shared" si="0"/>
        <v>3</v>
      </c>
      <c r="AA8" s="163" t="s">
        <v>260</v>
      </c>
      <c r="AB8" s="163"/>
      <c r="AC8" s="163"/>
    </row>
    <row r="10" spans="1:29" s="132" customFormat="1" ht="13.8" thickBot="1" x14ac:dyDescent="0.35">
      <c r="A10" s="453" t="s">
        <v>255</v>
      </c>
      <c r="B10" s="252"/>
      <c r="C10" s="252"/>
      <c r="D10" s="252"/>
      <c r="E10" s="252"/>
      <c r="F10" s="252"/>
      <c r="G10" s="252"/>
      <c r="H10" s="252"/>
      <c r="I10" s="252"/>
      <c r="J10" s="454"/>
      <c r="K10" s="252"/>
      <c r="L10" s="252"/>
      <c r="M10" s="252"/>
      <c r="N10" s="252"/>
      <c r="O10" s="252"/>
      <c r="P10" s="252"/>
      <c r="Q10" s="252"/>
      <c r="R10" s="252"/>
      <c r="S10" s="252"/>
      <c r="T10" s="252"/>
      <c r="U10" s="252"/>
      <c r="V10" s="252"/>
      <c r="W10" s="252"/>
      <c r="X10" s="252"/>
      <c r="Y10" s="252"/>
      <c r="Z10" s="252"/>
      <c r="AA10" s="252"/>
      <c r="AB10" s="252"/>
      <c r="AC10" s="252"/>
    </row>
    <row r="11" spans="1:29" s="132" customFormat="1" x14ac:dyDescent="0.3">
      <c r="A11" s="162"/>
      <c r="B11" s="162">
        <v>2016</v>
      </c>
      <c r="C11" s="162">
        <v>2017</v>
      </c>
      <c r="D11" s="162">
        <v>2018</v>
      </c>
      <c r="E11" s="162">
        <v>2019</v>
      </c>
      <c r="F11" s="162">
        <v>2020</v>
      </c>
      <c r="G11" s="162">
        <v>2021</v>
      </c>
      <c r="H11" s="162">
        <v>2022</v>
      </c>
      <c r="I11" s="162">
        <v>2023</v>
      </c>
      <c r="J11" s="162">
        <v>2024</v>
      </c>
      <c r="K11" s="162">
        <v>2025</v>
      </c>
      <c r="L11" s="162">
        <v>2026</v>
      </c>
      <c r="M11" s="162">
        <v>2027</v>
      </c>
      <c r="N11" s="162">
        <v>2028</v>
      </c>
      <c r="O11" s="162">
        <v>2029</v>
      </c>
      <c r="P11" s="162">
        <v>2030</v>
      </c>
      <c r="Q11" s="162">
        <v>2031</v>
      </c>
      <c r="R11" s="162">
        <v>2032</v>
      </c>
      <c r="S11" s="162">
        <v>2033</v>
      </c>
      <c r="T11" s="162">
        <v>2034</v>
      </c>
      <c r="U11" s="162">
        <v>2035</v>
      </c>
      <c r="V11" s="162">
        <v>2036</v>
      </c>
      <c r="W11" s="162">
        <v>2037</v>
      </c>
      <c r="X11" s="162">
        <v>2038</v>
      </c>
      <c r="Y11" s="162">
        <v>2039</v>
      </c>
      <c r="Z11" s="162">
        <v>2040</v>
      </c>
    </row>
    <row r="12" spans="1:29" s="132" customFormat="1" x14ac:dyDescent="0.3">
      <c r="A12" s="452" t="s">
        <v>256</v>
      </c>
      <c r="B12" s="452">
        <v>60</v>
      </c>
      <c r="C12" s="452">
        <v>60</v>
      </c>
      <c r="D12" s="452">
        <f>C12-1</f>
        <v>59</v>
      </c>
      <c r="E12" s="452">
        <f t="shared" ref="E12:M12" si="1">D12-1</f>
        <v>58</v>
      </c>
      <c r="F12" s="452">
        <f t="shared" si="1"/>
        <v>57</v>
      </c>
      <c r="G12" s="452">
        <f t="shared" si="1"/>
        <v>56</v>
      </c>
      <c r="H12" s="452">
        <f t="shared" si="1"/>
        <v>55</v>
      </c>
      <c r="I12" s="452">
        <f t="shared" si="1"/>
        <v>54</v>
      </c>
      <c r="J12" s="452">
        <f t="shared" si="1"/>
        <v>53</v>
      </c>
      <c r="K12" s="452">
        <f t="shared" si="1"/>
        <v>52</v>
      </c>
      <c r="L12" s="452">
        <f t="shared" si="1"/>
        <v>51</v>
      </c>
      <c r="M12" s="452">
        <f t="shared" si="1"/>
        <v>50</v>
      </c>
      <c r="N12" s="452">
        <v>50</v>
      </c>
      <c r="O12" s="452">
        <v>50</v>
      </c>
      <c r="P12" s="452">
        <v>50</v>
      </c>
      <c r="Q12" s="452">
        <v>50</v>
      </c>
      <c r="R12" s="452">
        <v>50</v>
      </c>
      <c r="S12" s="452">
        <v>50</v>
      </c>
      <c r="T12" s="452">
        <v>50</v>
      </c>
      <c r="U12" s="452">
        <v>50</v>
      </c>
      <c r="V12" s="452">
        <v>50</v>
      </c>
      <c r="W12" s="452">
        <v>50</v>
      </c>
      <c r="X12" s="452">
        <v>50</v>
      </c>
      <c r="Y12" s="452">
        <v>50</v>
      </c>
      <c r="Z12" s="452">
        <v>50</v>
      </c>
      <c r="AA12" s="452" t="s">
        <v>261</v>
      </c>
      <c r="AB12" s="452"/>
      <c r="AC12" s="452"/>
    </row>
    <row r="13" spans="1:29" s="132" customFormat="1" ht="13.8" thickBot="1" x14ac:dyDescent="0.35">
      <c r="A13" s="252" t="s">
        <v>257</v>
      </c>
      <c r="B13" s="252">
        <v>50</v>
      </c>
      <c r="C13" s="252">
        <v>50</v>
      </c>
      <c r="D13" s="252">
        <f t="shared" ref="D13:M13" si="2">C13-1</f>
        <v>49</v>
      </c>
      <c r="E13" s="252">
        <f t="shared" si="2"/>
        <v>48</v>
      </c>
      <c r="F13" s="252">
        <f t="shared" si="2"/>
        <v>47</v>
      </c>
      <c r="G13" s="252">
        <f t="shared" si="2"/>
        <v>46</v>
      </c>
      <c r="H13" s="252">
        <f t="shared" si="2"/>
        <v>45</v>
      </c>
      <c r="I13" s="252">
        <f t="shared" si="2"/>
        <v>44</v>
      </c>
      <c r="J13" s="252">
        <f t="shared" si="2"/>
        <v>43</v>
      </c>
      <c r="K13" s="252">
        <f t="shared" si="2"/>
        <v>42</v>
      </c>
      <c r="L13" s="252">
        <f t="shared" si="2"/>
        <v>41</v>
      </c>
      <c r="M13" s="252">
        <f t="shared" si="2"/>
        <v>40</v>
      </c>
      <c r="N13" s="252">
        <v>40</v>
      </c>
      <c r="O13" s="252">
        <v>40</v>
      </c>
      <c r="P13" s="252">
        <v>40</v>
      </c>
      <c r="Q13" s="252">
        <v>40</v>
      </c>
      <c r="R13" s="252">
        <v>40</v>
      </c>
      <c r="S13" s="252">
        <v>40</v>
      </c>
      <c r="T13" s="252">
        <v>40</v>
      </c>
      <c r="U13" s="252">
        <v>40</v>
      </c>
      <c r="V13" s="252">
        <v>40</v>
      </c>
      <c r="W13" s="252">
        <v>40</v>
      </c>
      <c r="X13" s="252">
        <v>40</v>
      </c>
      <c r="Y13" s="252">
        <v>40</v>
      </c>
      <c r="Z13" s="252">
        <v>40</v>
      </c>
      <c r="AA13" s="252"/>
      <c r="AB13" s="252"/>
      <c r="AC13" s="252"/>
    </row>
    <row r="15" spans="1:29" x14ac:dyDescent="0.3">
      <c r="A15" s="219" t="s">
        <v>408</v>
      </c>
      <c r="N15" s="219" t="s">
        <v>409</v>
      </c>
    </row>
    <row r="39" spans="12:26" x14ac:dyDescent="0.3">
      <c r="L39" s="220" t="s">
        <v>0</v>
      </c>
      <c r="Z39" s="220" t="s">
        <v>220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5"/>
  <sheetViews>
    <sheetView showGridLines="0" zoomScale="80" zoomScaleNormal="80" workbookViewId="0"/>
  </sheetViews>
  <sheetFormatPr defaultRowHeight="14.4" x14ac:dyDescent="0.3"/>
  <cols>
    <col min="18" max="18" width="11" customWidth="1"/>
  </cols>
  <sheetData>
    <row r="2" spans="4:12" x14ac:dyDescent="0.3">
      <c r="D2" s="241" t="s">
        <v>459</v>
      </c>
      <c r="L2" s="241" t="s">
        <v>461</v>
      </c>
    </row>
    <row r="19" spans="1:18" ht="26.4" x14ac:dyDescent="0.3">
      <c r="J19" s="220" t="s">
        <v>0</v>
      </c>
      <c r="R19" s="363" t="s">
        <v>220</v>
      </c>
    </row>
    <row r="20" spans="1:18" ht="15" thickBot="1" x14ac:dyDescent="0.35">
      <c r="A20" s="351"/>
      <c r="B20" s="351"/>
      <c r="C20" s="351"/>
      <c r="D20" s="351"/>
      <c r="E20" s="351"/>
      <c r="F20" s="351"/>
      <c r="G20" s="351"/>
      <c r="H20" s="351"/>
      <c r="I20" s="351"/>
    </row>
    <row r="21" spans="1:18" x14ac:dyDescent="0.3">
      <c r="B21" s="32">
        <v>2022</v>
      </c>
      <c r="C21" s="32">
        <v>2023</v>
      </c>
      <c r="D21" s="32">
        <v>2024</v>
      </c>
      <c r="E21" s="32">
        <v>2025</v>
      </c>
      <c r="F21" s="32">
        <v>2026</v>
      </c>
    </row>
    <row r="22" spans="1:18" x14ac:dyDescent="0.3">
      <c r="A22" s="438" t="s">
        <v>177</v>
      </c>
      <c r="B22" s="439">
        <v>57.80352559762224</v>
      </c>
      <c r="C22" s="439">
        <v>57.060000811440013</v>
      </c>
      <c r="D22" s="439">
        <v>57.496037767796736</v>
      </c>
      <c r="E22" s="439">
        <v>55.75029712885781</v>
      </c>
      <c r="F22" s="439">
        <v>55.854399798086263</v>
      </c>
      <c r="G22" s="438" t="s">
        <v>235</v>
      </c>
      <c r="H22" s="410"/>
      <c r="I22" s="410"/>
    </row>
    <row r="23" spans="1:18" x14ac:dyDescent="0.3">
      <c r="A23" s="35" t="s">
        <v>482</v>
      </c>
      <c r="B23" s="440">
        <v>10.11991552679596</v>
      </c>
      <c r="C23" s="440">
        <v>7.403802923600912</v>
      </c>
      <c r="D23" s="440">
        <v>6.3877496534578349</v>
      </c>
      <c r="E23" s="440">
        <v>5.4303594848333967</v>
      </c>
      <c r="F23" s="440">
        <v>5.6585400179184964</v>
      </c>
      <c r="G23" s="35" t="s">
        <v>242</v>
      </c>
      <c r="H23" s="411"/>
      <c r="I23" s="411"/>
    </row>
    <row r="24" spans="1:18" ht="15" thickBot="1" x14ac:dyDescent="0.35">
      <c r="A24" s="163" t="s">
        <v>230</v>
      </c>
      <c r="B24" s="451">
        <f>B22-B23</f>
        <v>47.683610070826276</v>
      </c>
      <c r="C24" s="451">
        <f t="shared" ref="C24:F24" si="0">C22-C23</f>
        <v>49.656197887839099</v>
      </c>
      <c r="D24" s="451">
        <f t="shared" si="0"/>
        <v>51.108288114338905</v>
      </c>
      <c r="E24" s="451">
        <f t="shared" si="0"/>
        <v>50.319937644024414</v>
      </c>
      <c r="F24" s="451">
        <f t="shared" si="0"/>
        <v>50.195859780167766</v>
      </c>
      <c r="G24" s="163" t="s">
        <v>181</v>
      </c>
      <c r="H24" s="351"/>
      <c r="I24" s="351"/>
    </row>
    <row r="45" ht="23.1" customHeight="1" x14ac:dyDescent="0.3"/>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showGridLines="0" zoomScale="80" zoomScaleNormal="80" workbookViewId="0"/>
  </sheetViews>
  <sheetFormatPr defaultRowHeight="14.4" x14ac:dyDescent="0.3"/>
  <cols>
    <col min="14" max="14" width="10.5546875" customWidth="1"/>
  </cols>
  <sheetData>
    <row r="2" spans="4:11" x14ac:dyDescent="0.3">
      <c r="D2" s="241" t="s">
        <v>460</v>
      </c>
      <c r="K2" s="241" t="s">
        <v>486</v>
      </c>
    </row>
    <row r="19" spans="1:14" x14ac:dyDescent="0.3">
      <c r="H19" s="316" t="s">
        <v>0</v>
      </c>
      <c r="N19" s="459" t="s">
        <v>220</v>
      </c>
    </row>
    <row r="20" spans="1:14" ht="15" thickBot="1" x14ac:dyDescent="0.35">
      <c r="D20" s="351"/>
      <c r="E20" s="351"/>
      <c r="F20" s="351"/>
      <c r="G20" s="351"/>
      <c r="H20" s="351"/>
      <c r="I20" s="351"/>
      <c r="J20" s="351"/>
      <c r="K20" s="351"/>
      <c r="L20" s="351"/>
    </row>
    <row r="21" spans="1:14" x14ac:dyDescent="0.3">
      <c r="B21" s="32"/>
      <c r="H21" s="364" t="s">
        <v>485</v>
      </c>
    </row>
    <row r="22" spans="1:14" x14ac:dyDescent="0.3">
      <c r="A22" s="32"/>
      <c r="B22" s="42"/>
      <c r="D22" s="438" t="s">
        <v>25</v>
      </c>
      <c r="E22" s="438"/>
      <c r="F22" s="438"/>
      <c r="G22" s="438"/>
      <c r="H22" s="455">
        <v>5.275652354594528</v>
      </c>
      <c r="I22" s="438" t="s">
        <v>179</v>
      </c>
      <c r="J22" s="410"/>
      <c r="K22" s="410"/>
      <c r="L22" s="410"/>
    </row>
    <row r="23" spans="1:14" x14ac:dyDescent="0.3">
      <c r="A23" s="32"/>
      <c r="B23" s="42"/>
      <c r="D23" s="35" t="s">
        <v>26</v>
      </c>
      <c r="E23" s="35"/>
      <c r="F23" s="35"/>
      <c r="G23" s="35"/>
      <c r="H23" s="456">
        <v>4.0243476454054719</v>
      </c>
      <c r="I23" s="35" t="s">
        <v>248</v>
      </c>
      <c r="J23" s="411"/>
      <c r="K23" s="411"/>
      <c r="L23" s="411"/>
    </row>
    <row r="24" spans="1:14" x14ac:dyDescent="0.3">
      <c r="A24" s="32"/>
      <c r="B24" s="42"/>
      <c r="D24" s="35" t="s">
        <v>27</v>
      </c>
      <c r="E24" s="35"/>
      <c r="F24" s="35"/>
      <c r="G24" s="35"/>
      <c r="H24" s="456">
        <v>-3.5077675357625431</v>
      </c>
      <c r="I24" s="35" t="s">
        <v>180</v>
      </c>
      <c r="J24" s="411"/>
      <c r="K24" s="411"/>
      <c r="L24" s="411"/>
    </row>
    <row r="25" spans="1:14" x14ac:dyDescent="0.3">
      <c r="D25" s="35" t="s">
        <v>28</v>
      </c>
      <c r="E25" s="35"/>
      <c r="F25" s="35"/>
      <c r="G25" s="35"/>
      <c r="H25" s="456">
        <v>-6.256258361130854</v>
      </c>
      <c r="I25" s="35" t="s">
        <v>251</v>
      </c>
      <c r="J25" s="411"/>
      <c r="K25" s="411"/>
      <c r="L25" s="411"/>
    </row>
    <row r="26" spans="1:14" x14ac:dyDescent="0.3">
      <c r="D26" s="35" t="s">
        <v>483</v>
      </c>
      <c r="E26" s="35"/>
      <c r="F26" s="35"/>
      <c r="G26" s="35"/>
      <c r="H26" s="456">
        <v>-0.12290391854986121</v>
      </c>
      <c r="I26" s="35" t="s">
        <v>249</v>
      </c>
      <c r="J26" s="411"/>
      <c r="K26" s="411"/>
      <c r="L26" s="411"/>
    </row>
    <row r="27" spans="1:14" x14ac:dyDescent="0.3">
      <c r="D27" s="35" t="s">
        <v>245</v>
      </c>
      <c r="E27" s="411"/>
      <c r="F27" s="411"/>
      <c r="G27" s="411"/>
      <c r="H27" s="456">
        <v>-0.61867119791049174</v>
      </c>
      <c r="I27" s="35" t="s">
        <v>250</v>
      </c>
      <c r="J27" s="411"/>
      <c r="K27" s="411"/>
      <c r="L27" s="411"/>
    </row>
    <row r="28" spans="1:14" ht="15" thickBot="1" x14ac:dyDescent="0.35">
      <c r="D28" s="365" t="s">
        <v>484</v>
      </c>
      <c r="E28" s="457"/>
      <c r="F28" s="457"/>
      <c r="G28" s="457"/>
      <c r="H28" s="458">
        <v>-1.2056010133537498</v>
      </c>
      <c r="I28" s="365" t="s">
        <v>247</v>
      </c>
      <c r="J28" s="351"/>
      <c r="K28" s="351"/>
      <c r="L28" s="351"/>
    </row>
    <row r="45" ht="23.1" customHeight="1" x14ac:dyDescent="0.3"/>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3"/>
  <dimension ref="A1:M42"/>
  <sheetViews>
    <sheetView showGridLines="0" zoomScale="80" zoomScaleNormal="80" workbookViewId="0"/>
  </sheetViews>
  <sheetFormatPr defaultColWidth="9.21875" defaultRowHeight="13.2" x14ac:dyDescent="0.3"/>
  <cols>
    <col min="1" max="1" width="14.21875" style="32" bestFit="1" customWidth="1"/>
    <col min="2" max="2" width="72.5546875" style="32" bestFit="1" customWidth="1"/>
    <col min="3" max="3" width="11.5546875" style="32" customWidth="1"/>
    <col min="4" max="7" width="7.21875" style="32" customWidth="1"/>
    <col min="8" max="8" width="9.21875" style="32"/>
    <col min="9" max="9" width="72.5546875" style="32" bestFit="1" customWidth="1"/>
    <col min="10" max="10" width="10" style="32" bestFit="1" customWidth="1"/>
    <col min="11" max="13" width="7.21875" style="32" customWidth="1"/>
    <col min="14" max="16384" width="9.21875" style="32"/>
  </cols>
  <sheetData>
    <row r="1" spans="1:13" ht="14.4" x14ac:dyDescent="0.3">
      <c r="A1" s="1"/>
    </row>
    <row r="3" spans="1:13" x14ac:dyDescent="0.3">
      <c r="A3" s="132"/>
      <c r="C3" s="132"/>
      <c r="D3" s="132"/>
      <c r="E3" s="132"/>
      <c r="F3" s="132"/>
      <c r="G3" s="132"/>
    </row>
    <row r="4" spans="1:13" ht="16.5" customHeight="1" x14ac:dyDescent="0.3">
      <c r="A4" s="132"/>
      <c r="B4" s="474" t="s">
        <v>588</v>
      </c>
      <c r="C4" s="474"/>
      <c r="D4" s="474"/>
      <c r="E4" s="474"/>
      <c r="F4" s="474"/>
      <c r="G4" s="340"/>
      <c r="H4" s="133"/>
      <c r="I4" s="474" t="s">
        <v>585</v>
      </c>
      <c r="J4" s="474"/>
      <c r="K4" s="474"/>
      <c r="L4" s="474"/>
      <c r="M4" s="474"/>
    </row>
    <row r="5" spans="1:13" ht="16.5" customHeight="1" thickBot="1" x14ac:dyDescent="0.35">
      <c r="A5" s="132"/>
      <c r="B5" s="229"/>
      <c r="C5" s="230" t="s">
        <v>20</v>
      </c>
      <c r="D5" s="230">
        <v>2024</v>
      </c>
      <c r="E5" s="230">
        <v>2025</v>
      </c>
      <c r="F5" s="230">
        <v>2026</v>
      </c>
      <c r="G5" s="134"/>
      <c r="H5" s="132"/>
      <c r="I5" s="229"/>
      <c r="J5" s="230" t="s">
        <v>20</v>
      </c>
      <c r="K5" s="230">
        <f>D5</f>
        <v>2024</v>
      </c>
      <c r="L5" s="230">
        <f t="shared" ref="L5" si="0">E5</f>
        <v>2025</v>
      </c>
      <c r="M5" s="230">
        <f t="shared" ref="M5" si="1">F5</f>
        <v>2026</v>
      </c>
    </row>
    <row r="6" spans="1:13" ht="16.5" customHeight="1" x14ac:dyDescent="0.3">
      <c r="A6" s="132"/>
      <c r="B6" s="227" t="s">
        <v>267</v>
      </c>
      <c r="C6" s="134"/>
      <c r="D6" s="233">
        <v>-19</v>
      </c>
      <c r="E6" s="233">
        <v>-24</v>
      </c>
      <c r="F6" s="233">
        <v>-24</v>
      </c>
      <c r="G6" s="233"/>
      <c r="H6" s="132"/>
      <c r="I6" s="227" t="s">
        <v>468</v>
      </c>
      <c r="J6" s="134"/>
      <c r="K6" s="233">
        <f>D6</f>
        <v>-19</v>
      </c>
      <c r="L6" s="233">
        <f t="shared" ref="L6:L14" si="2">E6</f>
        <v>-24</v>
      </c>
      <c r="M6" s="233">
        <f t="shared" ref="M6:M14" si="3">F6</f>
        <v>-24</v>
      </c>
    </row>
    <row r="7" spans="1:13" ht="16.5" customHeight="1" x14ac:dyDescent="0.3">
      <c r="A7" s="132"/>
      <c r="B7" s="333" t="s">
        <v>388</v>
      </c>
      <c r="C7" s="228" t="s">
        <v>389</v>
      </c>
      <c r="D7" s="234">
        <v>-17</v>
      </c>
      <c r="E7" s="234">
        <v>-21</v>
      </c>
      <c r="F7" s="234">
        <v>-22</v>
      </c>
      <c r="G7" s="234"/>
      <c r="H7" s="132"/>
      <c r="I7" s="333" t="s">
        <v>469</v>
      </c>
      <c r="J7" s="228" t="s">
        <v>389</v>
      </c>
      <c r="K7" s="234">
        <f t="shared" ref="K7:K14" si="4">D7</f>
        <v>-17</v>
      </c>
      <c r="L7" s="234">
        <f t="shared" si="2"/>
        <v>-21</v>
      </c>
      <c r="M7" s="234">
        <f t="shared" si="3"/>
        <v>-22</v>
      </c>
    </row>
    <row r="8" spans="1:13" ht="16.5" customHeight="1" x14ac:dyDescent="0.3">
      <c r="A8" s="132"/>
      <c r="B8" s="333" t="s">
        <v>387</v>
      </c>
      <c r="C8" s="228" t="s">
        <v>11</v>
      </c>
      <c r="D8" s="234">
        <v>74</v>
      </c>
      <c r="E8" s="234">
        <v>74</v>
      </c>
      <c r="F8" s="234">
        <v>76</v>
      </c>
      <c r="G8" s="234"/>
      <c r="H8" s="132"/>
      <c r="I8" s="333" t="s">
        <v>470</v>
      </c>
      <c r="J8" s="228" t="s">
        <v>11</v>
      </c>
      <c r="K8" s="234">
        <f t="shared" si="4"/>
        <v>74</v>
      </c>
      <c r="L8" s="234">
        <f t="shared" si="2"/>
        <v>74</v>
      </c>
      <c r="M8" s="234">
        <f t="shared" si="3"/>
        <v>76</v>
      </c>
    </row>
    <row r="9" spans="1:13" ht="16.5" customHeight="1" thickBot="1" x14ac:dyDescent="0.35">
      <c r="A9" s="132"/>
      <c r="B9" s="299" t="s">
        <v>386</v>
      </c>
      <c r="C9" s="231" t="s">
        <v>9</v>
      </c>
      <c r="D9" s="235">
        <v>-76</v>
      </c>
      <c r="E9" s="235">
        <v>-77</v>
      </c>
      <c r="F9" s="235">
        <v>-78</v>
      </c>
      <c r="G9" s="234"/>
      <c r="H9" s="132"/>
      <c r="I9" s="299" t="s">
        <v>471</v>
      </c>
      <c r="J9" s="231" t="s">
        <v>9</v>
      </c>
      <c r="K9" s="235">
        <f t="shared" si="4"/>
        <v>-76</v>
      </c>
      <c r="L9" s="235">
        <f t="shared" si="2"/>
        <v>-77</v>
      </c>
      <c r="M9" s="235">
        <f t="shared" si="3"/>
        <v>-78</v>
      </c>
    </row>
    <row r="10" spans="1:13" ht="16.5" customHeight="1" x14ac:dyDescent="0.3">
      <c r="A10" s="132"/>
      <c r="B10" s="135" t="s">
        <v>390</v>
      </c>
      <c r="C10" s="134"/>
      <c r="D10" s="236">
        <v>-348</v>
      </c>
      <c r="E10" s="236">
        <v>-623</v>
      </c>
      <c r="F10" s="236">
        <v>-834</v>
      </c>
      <c r="G10" s="236"/>
      <c r="H10" s="132"/>
      <c r="I10" s="135" t="s">
        <v>472</v>
      </c>
      <c r="J10" s="134"/>
      <c r="K10" s="236">
        <f t="shared" si="4"/>
        <v>-348</v>
      </c>
      <c r="L10" s="236">
        <f t="shared" si="2"/>
        <v>-623</v>
      </c>
      <c r="M10" s="236">
        <f t="shared" si="3"/>
        <v>-834</v>
      </c>
    </row>
    <row r="11" spans="1:13" ht="16.5" customHeight="1" x14ac:dyDescent="0.3">
      <c r="A11" s="132"/>
      <c r="B11" s="336" t="s">
        <v>391</v>
      </c>
      <c r="C11" s="232" t="s">
        <v>397</v>
      </c>
      <c r="D11" s="237">
        <v>-116</v>
      </c>
      <c r="E11" s="237">
        <v>-232</v>
      </c>
      <c r="F11" s="237">
        <v>-282</v>
      </c>
      <c r="G11" s="237"/>
      <c r="H11" s="132"/>
      <c r="I11" s="336" t="s">
        <v>605</v>
      </c>
      <c r="J11" s="232" t="s">
        <v>397</v>
      </c>
      <c r="K11" s="237">
        <f t="shared" si="4"/>
        <v>-116</v>
      </c>
      <c r="L11" s="237">
        <f t="shared" si="2"/>
        <v>-232</v>
      </c>
      <c r="M11" s="237">
        <f t="shared" si="3"/>
        <v>-282</v>
      </c>
    </row>
    <row r="12" spans="1:13" ht="16.5" customHeight="1" x14ac:dyDescent="0.3">
      <c r="A12" s="132"/>
      <c r="B12" s="336" t="s">
        <v>392</v>
      </c>
      <c r="C12" s="134" t="s">
        <v>269</v>
      </c>
      <c r="D12" s="237">
        <v>-136</v>
      </c>
      <c r="E12" s="237">
        <v>-143</v>
      </c>
      <c r="F12" s="237">
        <v>-150</v>
      </c>
      <c r="G12" s="237"/>
      <c r="H12" s="132"/>
      <c r="I12" s="336" t="s">
        <v>606</v>
      </c>
      <c r="J12" s="134" t="s">
        <v>269</v>
      </c>
      <c r="K12" s="237">
        <f t="shared" si="4"/>
        <v>-136</v>
      </c>
      <c r="L12" s="237">
        <f t="shared" si="2"/>
        <v>-143</v>
      </c>
      <c r="M12" s="237">
        <f t="shared" si="3"/>
        <v>-150</v>
      </c>
    </row>
    <row r="13" spans="1:13" ht="16.5" customHeight="1" x14ac:dyDescent="0.3">
      <c r="A13" s="132"/>
      <c r="B13" s="337" t="s">
        <v>393</v>
      </c>
      <c r="C13" s="134" t="s">
        <v>399</v>
      </c>
      <c r="D13" s="238">
        <v>-49</v>
      </c>
      <c r="E13" s="238">
        <v>-180</v>
      </c>
      <c r="F13" s="238">
        <v>-314</v>
      </c>
      <c r="G13" s="238"/>
      <c r="H13" s="132"/>
      <c r="I13" s="337" t="s">
        <v>607</v>
      </c>
      <c r="J13" s="134" t="s">
        <v>399</v>
      </c>
      <c r="K13" s="238">
        <f t="shared" si="4"/>
        <v>-49</v>
      </c>
      <c r="L13" s="238">
        <f t="shared" si="2"/>
        <v>-180</v>
      </c>
      <c r="M13" s="238">
        <f t="shared" si="3"/>
        <v>-314</v>
      </c>
    </row>
    <row r="14" spans="1:13" ht="16.5" customHeight="1" x14ac:dyDescent="0.3">
      <c r="A14" s="132"/>
      <c r="B14" s="337" t="s">
        <v>394</v>
      </c>
      <c r="C14" s="134" t="s">
        <v>399</v>
      </c>
      <c r="D14" s="234">
        <v>-47</v>
      </c>
      <c r="E14" s="234">
        <v>-68</v>
      </c>
      <c r="F14" s="234">
        <v>-88</v>
      </c>
      <c r="G14" s="234"/>
      <c r="H14" s="132"/>
      <c r="I14" s="337" t="s">
        <v>608</v>
      </c>
      <c r="J14" s="134" t="s">
        <v>399</v>
      </c>
      <c r="K14" s="234">
        <f t="shared" si="4"/>
        <v>-47</v>
      </c>
      <c r="L14" s="234">
        <f t="shared" si="2"/>
        <v>-68</v>
      </c>
      <c r="M14" s="234">
        <f t="shared" si="3"/>
        <v>-88</v>
      </c>
    </row>
    <row r="15" spans="1:13" ht="16.5" customHeight="1" x14ac:dyDescent="0.3">
      <c r="A15" s="132"/>
      <c r="B15" s="135" t="s">
        <v>398</v>
      </c>
      <c r="D15" s="233">
        <f>SUM(D16:D20)</f>
        <v>-468</v>
      </c>
      <c r="E15" s="233">
        <f t="shared" ref="E15:F15" si="5">SUM(E16:E20)</f>
        <v>-259</v>
      </c>
      <c r="F15" s="233">
        <f t="shared" si="5"/>
        <v>-257</v>
      </c>
      <c r="G15" s="233"/>
      <c r="H15" s="132"/>
      <c r="I15" s="135" t="s">
        <v>617</v>
      </c>
      <c r="K15" s="233">
        <f>SUM(K16:K20)</f>
        <v>-468</v>
      </c>
      <c r="L15" s="233">
        <f t="shared" ref="L15:M15" si="6">SUM(L16:L20)</f>
        <v>-259</v>
      </c>
      <c r="M15" s="233">
        <f t="shared" si="6"/>
        <v>-257</v>
      </c>
    </row>
    <row r="16" spans="1:13" ht="16.5" customHeight="1" x14ac:dyDescent="0.3">
      <c r="A16" s="132"/>
      <c r="B16" s="337" t="s">
        <v>395</v>
      </c>
      <c r="C16" s="134" t="s">
        <v>269</v>
      </c>
      <c r="D16" s="234">
        <v>-150</v>
      </c>
      <c r="E16" s="234">
        <v>-158</v>
      </c>
      <c r="F16" s="234">
        <v>-163</v>
      </c>
      <c r="G16" s="234"/>
      <c r="H16" s="132"/>
      <c r="I16" s="337" t="s">
        <v>618</v>
      </c>
      <c r="J16" s="134" t="s">
        <v>269</v>
      </c>
      <c r="K16" s="234">
        <f t="shared" ref="K16:K21" si="7">D16</f>
        <v>-150</v>
      </c>
      <c r="L16" s="234">
        <f t="shared" ref="L16:L21" si="8">E16</f>
        <v>-158</v>
      </c>
      <c r="M16" s="234">
        <f t="shared" ref="M16:M21" si="9">F16</f>
        <v>-163</v>
      </c>
    </row>
    <row r="17" spans="1:13" ht="16.5" customHeight="1" x14ac:dyDescent="0.3">
      <c r="A17" s="132" t="s">
        <v>403</v>
      </c>
      <c r="B17" s="337" t="s">
        <v>396</v>
      </c>
      <c r="C17" s="134" t="s">
        <v>269</v>
      </c>
      <c r="D17" s="234">
        <v>-68</v>
      </c>
      <c r="E17" s="234">
        <v>-68</v>
      </c>
      <c r="F17" s="234">
        <v>-67</v>
      </c>
      <c r="G17" s="234"/>
      <c r="H17" s="132"/>
      <c r="I17" s="337" t="s">
        <v>572</v>
      </c>
      <c r="J17" s="134" t="s">
        <v>269</v>
      </c>
      <c r="K17" s="234">
        <f t="shared" si="7"/>
        <v>-68</v>
      </c>
      <c r="L17" s="234">
        <f t="shared" si="8"/>
        <v>-68</v>
      </c>
      <c r="M17" s="234">
        <f t="shared" si="9"/>
        <v>-67</v>
      </c>
    </row>
    <row r="18" spans="1:13" ht="16.5" customHeight="1" x14ac:dyDescent="0.3">
      <c r="A18" s="132" t="s">
        <v>403</v>
      </c>
      <c r="B18" s="337" t="s">
        <v>400</v>
      </c>
      <c r="C18" s="134" t="s">
        <v>269</v>
      </c>
      <c r="D18" s="234">
        <v>-43</v>
      </c>
      <c r="E18" s="234">
        <v>-71</v>
      </c>
      <c r="F18" s="234">
        <v>-62</v>
      </c>
      <c r="G18" s="234"/>
      <c r="H18" s="132"/>
      <c r="I18" s="337" t="s">
        <v>619</v>
      </c>
      <c r="J18" s="134" t="s">
        <v>269</v>
      </c>
      <c r="K18" s="234">
        <f t="shared" si="7"/>
        <v>-43</v>
      </c>
      <c r="L18" s="234">
        <f t="shared" si="8"/>
        <v>-71</v>
      </c>
      <c r="M18" s="234">
        <f t="shared" si="9"/>
        <v>-62</v>
      </c>
    </row>
    <row r="19" spans="1:13" ht="16.5" customHeight="1" x14ac:dyDescent="0.3">
      <c r="A19" s="132"/>
      <c r="B19" s="337" t="s">
        <v>401</v>
      </c>
      <c r="C19" s="134" t="s">
        <v>399</v>
      </c>
      <c r="D19" s="234">
        <v>-207</v>
      </c>
      <c r="E19" s="234">
        <v>-203</v>
      </c>
      <c r="F19" s="234">
        <v>-206</v>
      </c>
      <c r="G19" s="234"/>
      <c r="H19" s="132"/>
      <c r="I19" s="337" t="s">
        <v>620</v>
      </c>
      <c r="J19" s="134" t="s">
        <v>399</v>
      </c>
      <c r="K19" s="234">
        <f t="shared" si="7"/>
        <v>-207</v>
      </c>
      <c r="L19" s="234">
        <f t="shared" si="8"/>
        <v>-203</v>
      </c>
      <c r="M19" s="234">
        <f t="shared" si="9"/>
        <v>-206</v>
      </c>
    </row>
    <row r="20" spans="1:13" ht="16.5" customHeight="1" x14ac:dyDescent="0.3">
      <c r="A20" s="132"/>
      <c r="B20" s="337" t="s">
        <v>467</v>
      </c>
      <c r="C20" s="134" t="s">
        <v>269</v>
      </c>
      <c r="D20" s="234">
        <v>0</v>
      </c>
      <c r="E20" s="234">
        <v>241</v>
      </c>
      <c r="F20" s="234">
        <v>241</v>
      </c>
      <c r="G20" s="234"/>
      <c r="H20" s="132"/>
      <c r="I20" s="337" t="s">
        <v>621</v>
      </c>
      <c r="J20" s="134" t="s">
        <v>269</v>
      </c>
      <c r="K20" s="234">
        <f t="shared" si="7"/>
        <v>0</v>
      </c>
      <c r="L20" s="234">
        <f t="shared" si="8"/>
        <v>241</v>
      </c>
      <c r="M20" s="234">
        <f t="shared" si="9"/>
        <v>241</v>
      </c>
    </row>
    <row r="21" spans="1:13" ht="16.5" customHeight="1" thickBot="1" x14ac:dyDescent="0.35">
      <c r="A21" s="132"/>
      <c r="B21" s="334" t="s">
        <v>282</v>
      </c>
      <c r="C21" s="231" t="s">
        <v>399</v>
      </c>
      <c r="D21" s="335">
        <v>-700</v>
      </c>
      <c r="E21" s="335">
        <v>0</v>
      </c>
      <c r="F21" s="335">
        <v>0</v>
      </c>
      <c r="G21" s="233"/>
      <c r="H21" s="132"/>
      <c r="I21" s="334" t="s">
        <v>622</v>
      </c>
      <c r="J21" s="231" t="s">
        <v>399</v>
      </c>
      <c r="K21" s="335">
        <f t="shared" si="7"/>
        <v>-700</v>
      </c>
      <c r="L21" s="335">
        <f t="shared" si="8"/>
        <v>0</v>
      </c>
      <c r="M21" s="335">
        <f t="shared" si="9"/>
        <v>0</v>
      </c>
    </row>
    <row r="22" spans="1:13" ht="16.5" customHeight="1" x14ac:dyDescent="0.3">
      <c r="A22" s="132"/>
      <c r="B22" s="357"/>
      <c r="C22" s="136"/>
      <c r="D22" s="38"/>
      <c r="E22" s="38"/>
      <c r="F22" s="357" t="s">
        <v>0</v>
      </c>
      <c r="G22" s="357"/>
      <c r="H22" s="132"/>
      <c r="I22" s="357"/>
      <c r="J22" s="136"/>
      <c r="K22" s="38"/>
      <c r="L22" s="38"/>
      <c r="M22" s="357" t="s">
        <v>220</v>
      </c>
    </row>
    <row r="23" spans="1:13" ht="16.5" customHeight="1" x14ac:dyDescent="0.3">
      <c r="A23" s="132"/>
    </row>
    <row r="24" spans="1:13" ht="16.5" customHeight="1" x14ac:dyDescent="0.3">
      <c r="A24" s="132"/>
    </row>
    <row r="25" spans="1:13" ht="16.5" customHeight="1" x14ac:dyDescent="0.3">
      <c r="A25" s="132"/>
    </row>
    <row r="26" spans="1:13" ht="16.5" customHeight="1" x14ac:dyDescent="0.3">
      <c r="A26" s="132"/>
    </row>
    <row r="27" spans="1:13" ht="16.5" customHeight="1" x14ac:dyDescent="0.3">
      <c r="A27" s="132"/>
    </row>
    <row r="28" spans="1:13" ht="16.5" customHeight="1" x14ac:dyDescent="0.3">
      <c r="A28" s="132"/>
    </row>
    <row r="29" spans="1:13" ht="16.5" customHeight="1" x14ac:dyDescent="0.3">
      <c r="A29" s="132"/>
    </row>
    <row r="30" spans="1:13" ht="16.5" customHeight="1" x14ac:dyDescent="0.3">
      <c r="A30" s="132"/>
    </row>
    <row r="31" spans="1:13" ht="16.5" customHeight="1" x14ac:dyDescent="0.3">
      <c r="A31" s="132"/>
    </row>
    <row r="32" spans="1:13" ht="16.5" customHeight="1" x14ac:dyDescent="0.3">
      <c r="A32" s="132"/>
    </row>
    <row r="33" spans="1:1" ht="16.5" customHeight="1" x14ac:dyDescent="0.3">
      <c r="A33" s="132"/>
    </row>
    <row r="34" spans="1:1" ht="16.5" customHeight="1" x14ac:dyDescent="0.3">
      <c r="A34" s="132"/>
    </row>
    <row r="35" spans="1:1" ht="16.5" customHeight="1" x14ac:dyDescent="0.3">
      <c r="A35" s="132"/>
    </row>
    <row r="36" spans="1:1" ht="16.5" customHeight="1" x14ac:dyDescent="0.3">
      <c r="A36" s="132"/>
    </row>
    <row r="37" spans="1:1" ht="16.5" customHeight="1" x14ac:dyDescent="0.3">
      <c r="A37" s="132"/>
    </row>
    <row r="38" spans="1:1" ht="16.5" customHeight="1" x14ac:dyDescent="0.3">
      <c r="A38" s="132"/>
    </row>
    <row r="39" spans="1:1" ht="16.5" customHeight="1" x14ac:dyDescent="0.3">
      <c r="A39" s="132"/>
    </row>
    <row r="40" spans="1:1" ht="16.5" customHeight="1" x14ac:dyDescent="0.3">
      <c r="A40" s="132"/>
    </row>
    <row r="41" spans="1:1" ht="16.5" customHeight="1" x14ac:dyDescent="0.3">
      <c r="A41" s="132"/>
    </row>
    <row r="42" spans="1:1" ht="16.5" customHeight="1" x14ac:dyDescent="0.3">
      <c r="A42" s="132"/>
    </row>
  </sheetData>
  <mergeCells count="2">
    <mergeCell ref="B4:F4"/>
    <mergeCell ref="I4:M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dimension ref="A4:J52"/>
  <sheetViews>
    <sheetView showGridLines="0" zoomScale="80" zoomScaleNormal="80" workbookViewId="0"/>
  </sheetViews>
  <sheetFormatPr defaultColWidth="9.21875" defaultRowHeight="13.2" x14ac:dyDescent="0.3"/>
  <cols>
    <col min="1" max="1" width="14.21875" style="32" bestFit="1" customWidth="1"/>
    <col min="2" max="2" width="54.5546875" style="32" bestFit="1" customWidth="1"/>
    <col min="3" max="9" width="10.21875" style="32" customWidth="1"/>
    <col min="10" max="16384" width="9.21875" style="32"/>
  </cols>
  <sheetData>
    <row r="4" spans="1:9" ht="14.4" x14ac:dyDescent="0.3">
      <c r="A4" s="1"/>
    </row>
    <row r="5" spans="1:9" x14ac:dyDescent="0.3">
      <c r="B5" s="478" t="s">
        <v>487</v>
      </c>
      <c r="C5" s="478"/>
      <c r="D5" s="478"/>
      <c r="E5" s="478"/>
      <c r="F5" s="478"/>
      <c r="G5" s="478"/>
      <c r="H5" s="478"/>
    </row>
    <row r="6" spans="1:9" ht="13.8" thickBot="1" x14ac:dyDescent="0.35">
      <c r="B6" s="39"/>
      <c r="C6" s="222">
        <v>2020</v>
      </c>
      <c r="D6" s="222">
        <v>2021</v>
      </c>
      <c r="E6" s="222">
        <v>2022</v>
      </c>
      <c r="F6" s="222" t="s">
        <v>411</v>
      </c>
      <c r="G6" s="222" t="s">
        <v>228</v>
      </c>
      <c r="H6" s="222" t="s">
        <v>268</v>
      </c>
      <c r="I6" s="222" t="s">
        <v>479</v>
      </c>
    </row>
    <row r="7" spans="1:9" ht="13.8" thickBot="1" x14ac:dyDescent="0.35">
      <c r="B7" s="142" t="s">
        <v>3</v>
      </c>
      <c r="C7" s="223">
        <v>45306</v>
      </c>
      <c r="D7" s="223">
        <v>54993</v>
      </c>
      <c r="E7" s="223">
        <v>61237</v>
      </c>
      <c r="F7" s="223">
        <v>63378</v>
      </c>
      <c r="G7" s="223">
        <v>69481</v>
      </c>
      <c r="H7" s="223">
        <v>78664</v>
      </c>
      <c r="I7" s="223">
        <v>87105</v>
      </c>
    </row>
    <row r="8" spans="1:9" x14ac:dyDescent="0.3">
      <c r="B8" s="143" t="s">
        <v>4</v>
      </c>
      <c r="C8" s="327">
        <v>9687</v>
      </c>
      <c r="D8" s="327">
        <v>6244</v>
      </c>
      <c r="E8" s="327">
        <v>2141</v>
      </c>
      <c r="F8" s="327">
        <v>6103</v>
      </c>
      <c r="G8" s="327">
        <v>9183</v>
      </c>
      <c r="H8" s="327">
        <v>8440</v>
      </c>
      <c r="I8" s="327">
        <v>10868</v>
      </c>
    </row>
    <row r="9" spans="1:9" x14ac:dyDescent="0.3">
      <c r="B9" s="30" t="s">
        <v>162</v>
      </c>
      <c r="C9" s="224">
        <v>7758</v>
      </c>
      <c r="D9" s="224">
        <v>7014</v>
      </c>
      <c r="E9" s="224">
        <v>4525</v>
      </c>
      <c r="F9" s="224">
        <v>7568</v>
      </c>
      <c r="G9" s="224">
        <v>8364</v>
      </c>
      <c r="H9" s="224">
        <v>8668</v>
      </c>
      <c r="I9" s="224">
        <v>10269</v>
      </c>
    </row>
    <row r="10" spans="1:9" x14ac:dyDescent="0.3">
      <c r="B10" s="30" t="s">
        <v>163</v>
      </c>
      <c r="C10" s="319">
        <v>1767</v>
      </c>
      <c r="D10" s="319">
        <v>-2365</v>
      </c>
      <c r="E10" s="319">
        <v>-954</v>
      </c>
      <c r="F10" s="319">
        <v>-1753</v>
      </c>
      <c r="G10" s="319">
        <v>-488</v>
      </c>
      <c r="H10" s="319">
        <v>-1221</v>
      </c>
      <c r="I10" s="319">
        <v>-619</v>
      </c>
    </row>
    <row r="11" spans="1:9" x14ac:dyDescent="0.3">
      <c r="B11" s="30" t="s">
        <v>164</v>
      </c>
      <c r="C11" s="319">
        <v>49</v>
      </c>
      <c r="D11" s="319">
        <v>-153</v>
      </c>
      <c r="E11" s="319">
        <v>117</v>
      </c>
      <c r="F11" s="319">
        <v>62</v>
      </c>
      <c r="G11" s="319">
        <v>229</v>
      </c>
      <c r="H11" s="319">
        <v>144</v>
      </c>
      <c r="I11" s="319">
        <v>170</v>
      </c>
    </row>
    <row r="12" spans="1:9" x14ac:dyDescent="0.3">
      <c r="B12" s="144" t="s">
        <v>30</v>
      </c>
      <c r="C12" s="319">
        <v>26</v>
      </c>
      <c r="D12" s="319">
        <v>-140</v>
      </c>
      <c r="E12" s="319">
        <v>-62</v>
      </c>
      <c r="F12" s="319">
        <v>17</v>
      </c>
      <c r="G12" s="319">
        <v>66</v>
      </c>
      <c r="H12" s="319">
        <v>67</v>
      </c>
      <c r="I12" s="319">
        <v>100</v>
      </c>
    </row>
    <row r="13" spans="1:9" x14ac:dyDescent="0.3">
      <c r="B13" s="144" t="s">
        <v>5</v>
      </c>
      <c r="C13" s="319">
        <v>-30</v>
      </c>
      <c r="D13" s="319">
        <v>-43</v>
      </c>
      <c r="E13" s="319">
        <v>-29</v>
      </c>
      <c r="F13" s="319">
        <v>0</v>
      </c>
      <c r="G13" s="319">
        <v>0</v>
      </c>
      <c r="H13" s="319">
        <v>0</v>
      </c>
      <c r="I13" s="319">
        <v>0</v>
      </c>
    </row>
    <row r="14" spans="1:9" x14ac:dyDescent="0.3">
      <c r="B14" s="144" t="s">
        <v>22</v>
      </c>
      <c r="C14" s="319">
        <v>10</v>
      </c>
      <c r="D14" s="319">
        <v>-6</v>
      </c>
      <c r="E14" s="319">
        <v>44</v>
      </c>
      <c r="F14" s="319">
        <v>35</v>
      </c>
      <c r="G14" s="319">
        <v>13</v>
      </c>
      <c r="H14" s="319">
        <v>10</v>
      </c>
      <c r="I14" s="319">
        <v>3</v>
      </c>
    </row>
    <row r="15" spans="1:9" x14ac:dyDescent="0.3">
      <c r="B15" s="144" t="s">
        <v>165</v>
      </c>
      <c r="C15" s="319">
        <v>-3</v>
      </c>
      <c r="D15" s="319">
        <v>18</v>
      </c>
      <c r="E15" s="319">
        <v>149</v>
      </c>
      <c r="F15" s="319">
        <v>-3</v>
      </c>
      <c r="G15" s="319">
        <v>42</v>
      </c>
      <c r="H15" s="319">
        <v>33</v>
      </c>
      <c r="I15" s="319">
        <v>32</v>
      </c>
    </row>
    <row r="16" spans="1:9" x14ac:dyDescent="0.3">
      <c r="B16" s="30" t="s">
        <v>172</v>
      </c>
      <c r="C16" s="319">
        <v>0</v>
      </c>
      <c r="D16" s="319">
        <v>0</v>
      </c>
      <c r="E16" s="319">
        <v>0</v>
      </c>
      <c r="F16" s="319">
        <v>0</v>
      </c>
      <c r="G16" s="319">
        <v>0</v>
      </c>
      <c r="H16" s="319">
        <v>0</v>
      </c>
      <c r="I16" s="319">
        <v>0</v>
      </c>
    </row>
    <row r="17" spans="2:10" x14ac:dyDescent="0.3">
      <c r="B17" s="30" t="s">
        <v>166</v>
      </c>
      <c r="C17" s="319">
        <v>28</v>
      </c>
      <c r="D17" s="319">
        <v>18</v>
      </c>
      <c r="E17" s="319">
        <v>542</v>
      </c>
      <c r="F17" s="319">
        <v>422</v>
      </c>
      <c r="G17" s="319">
        <v>1094</v>
      </c>
      <c r="H17" s="319">
        <v>903</v>
      </c>
      <c r="I17" s="319">
        <v>1081</v>
      </c>
    </row>
    <row r="18" spans="2:10" x14ac:dyDescent="0.3">
      <c r="B18" s="30" t="s">
        <v>167</v>
      </c>
      <c r="C18" s="319">
        <v>-16</v>
      </c>
      <c r="D18" s="319">
        <v>-2</v>
      </c>
      <c r="E18" s="319">
        <v>-11</v>
      </c>
      <c r="F18" s="319">
        <v>-49</v>
      </c>
      <c r="G18" s="319">
        <v>-15</v>
      </c>
      <c r="H18" s="319">
        <v>-53</v>
      </c>
      <c r="I18" s="319">
        <v>-33</v>
      </c>
    </row>
    <row r="19" spans="2:10" ht="13.8" thickBot="1" x14ac:dyDescent="0.35">
      <c r="B19" s="39" t="s">
        <v>475</v>
      </c>
      <c r="C19" s="320">
        <v>101</v>
      </c>
      <c r="D19" s="320" t="s">
        <v>480</v>
      </c>
      <c r="E19" s="320" t="s">
        <v>481</v>
      </c>
      <c r="F19" s="320">
        <v>-147</v>
      </c>
      <c r="G19" s="320">
        <v>0</v>
      </c>
      <c r="H19" s="320">
        <v>0</v>
      </c>
      <c r="I19" s="320">
        <v>0</v>
      </c>
    </row>
    <row r="20" spans="2:10" x14ac:dyDescent="0.3">
      <c r="B20" s="143" t="s">
        <v>6</v>
      </c>
      <c r="C20" s="225">
        <v>54993</v>
      </c>
      <c r="D20" s="225">
        <v>61237</v>
      </c>
      <c r="E20" s="225">
        <v>63378</v>
      </c>
      <c r="F20" s="225">
        <v>69481</v>
      </c>
      <c r="G20" s="225">
        <v>78664</v>
      </c>
      <c r="H20" s="225">
        <v>87105</v>
      </c>
      <c r="I20" s="225">
        <v>97973</v>
      </c>
    </row>
    <row r="21" spans="2:10" ht="13.8" thickBot="1" x14ac:dyDescent="0.35">
      <c r="B21" s="145" t="s">
        <v>1</v>
      </c>
      <c r="C21" s="321">
        <v>58.9</v>
      </c>
      <c r="D21" s="321">
        <v>61.1</v>
      </c>
      <c r="E21" s="321">
        <v>57.8</v>
      </c>
      <c r="F21" s="321">
        <v>57.1</v>
      </c>
      <c r="G21" s="321">
        <v>60</v>
      </c>
      <c r="H21" s="321">
        <v>62.6</v>
      </c>
      <c r="I21" s="321">
        <v>67.400000000000006</v>
      </c>
      <c r="J21" s="42"/>
    </row>
    <row r="22" spans="2:10" x14ac:dyDescent="0.3">
      <c r="B22" s="143" t="s">
        <v>382</v>
      </c>
      <c r="C22" s="323">
        <v>0</v>
      </c>
      <c r="D22" s="323">
        <v>0</v>
      </c>
      <c r="E22" s="323">
        <v>0</v>
      </c>
      <c r="F22" s="323">
        <v>-1.6</v>
      </c>
      <c r="G22" s="323">
        <v>0.6</v>
      </c>
      <c r="H22" s="323">
        <v>2.8</v>
      </c>
      <c r="I22" s="323">
        <v>4.3</v>
      </c>
    </row>
    <row r="23" spans="2:10" x14ac:dyDescent="0.3">
      <c r="B23" s="30" t="s">
        <v>168</v>
      </c>
      <c r="C23" s="318">
        <v>0</v>
      </c>
      <c r="D23" s="318">
        <v>0</v>
      </c>
      <c r="E23" s="318">
        <v>0</v>
      </c>
      <c r="F23" s="318">
        <v>-1</v>
      </c>
      <c r="G23" s="318">
        <v>-1.2</v>
      </c>
      <c r="H23" s="318">
        <v>-0.8</v>
      </c>
      <c r="I23" s="318">
        <v>-0.9</v>
      </c>
    </row>
    <row r="24" spans="2:10" ht="13.8" thickBot="1" x14ac:dyDescent="0.35">
      <c r="B24" s="146" t="s">
        <v>169</v>
      </c>
      <c r="C24" s="322">
        <v>0</v>
      </c>
      <c r="D24" s="322">
        <v>0</v>
      </c>
      <c r="E24" s="322">
        <v>0</v>
      </c>
      <c r="F24" s="322">
        <v>-0.6</v>
      </c>
      <c r="G24" s="322">
        <v>1.9</v>
      </c>
      <c r="H24" s="322">
        <v>3.6</v>
      </c>
      <c r="I24" s="322">
        <v>5.2</v>
      </c>
    </row>
    <row r="25" spans="2:10" ht="13.8" thickBot="1" x14ac:dyDescent="0.35">
      <c r="B25" s="325" t="s">
        <v>174</v>
      </c>
      <c r="C25" s="324">
        <v>134</v>
      </c>
      <c r="D25" s="324">
        <v>0</v>
      </c>
      <c r="E25" s="324">
        <v>0</v>
      </c>
      <c r="F25" s="324">
        <v>-1</v>
      </c>
      <c r="G25" s="324">
        <v>0</v>
      </c>
      <c r="H25" s="324">
        <v>0</v>
      </c>
      <c r="I25" s="324">
        <v>0</v>
      </c>
    </row>
    <row r="26" spans="2:10" x14ac:dyDescent="0.3">
      <c r="B26" s="475" t="s">
        <v>473</v>
      </c>
      <c r="C26" s="476"/>
      <c r="D26" s="476"/>
      <c r="E26" s="476"/>
      <c r="F26" s="476"/>
      <c r="G26" s="476"/>
      <c r="H26" s="147"/>
      <c r="I26" s="202" t="s">
        <v>0</v>
      </c>
    </row>
    <row r="27" spans="2:10" x14ac:dyDescent="0.3">
      <c r="B27" s="477" t="s">
        <v>262</v>
      </c>
      <c r="C27" s="477"/>
      <c r="D27" s="477"/>
      <c r="E27" s="477"/>
      <c r="F27" s="477"/>
      <c r="G27" s="477"/>
      <c r="H27" s="148"/>
    </row>
    <row r="30" spans="2:10" x14ac:dyDescent="0.3">
      <c r="B30" s="140" t="s">
        <v>488</v>
      </c>
    </row>
    <row r="31" spans="2:10" ht="13.8" thickBot="1" x14ac:dyDescent="0.35">
      <c r="B31" s="39"/>
      <c r="C31" s="222">
        <f>C6</f>
        <v>2020</v>
      </c>
      <c r="D31" s="222">
        <f t="shared" ref="D31:I31" si="0">D6</f>
        <v>2021</v>
      </c>
      <c r="E31" s="222">
        <f t="shared" si="0"/>
        <v>2022</v>
      </c>
      <c r="F31" s="222" t="str">
        <f t="shared" si="0"/>
        <v>2023 OS</v>
      </c>
      <c r="G31" s="222" t="str">
        <f t="shared" si="0"/>
        <v>2024 N</v>
      </c>
      <c r="H31" s="222" t="str">
        <f t="shared" si="0"/>
        <v>2025 N</v>
      </c>
      <c r="I31" s="222" t="str">
        <f t="shared" si="0"/>
        <v>2026 N</v>
      </c>
    </row>
    <row r="32" spans="2:10" ht="13.8" thickBot="1" x14ac:dyDescent="0.35">
      <c r="B32" s="142" t="s">
        <v>184</v>
      </c>
      <c r="C32" s="223">
        <v>43572</v>
      </c>
      <c r="D32" s="223">
        <v>44384</v>
      </c>
      <c r="E32" s="223">
        <v>45277</v>
      </c>
      <c r="F32" s="223">
        <v>55010</v>
      </c>
      <c r="G32" s="223">
        <v>59963</v>
      </c>
      <c r="H32" s="223">
        <v>64884</v>
      </c>
      <c r="I32" s="223">
        <v>66746</v>
      </c>
    </row>
    <row r="33" spans="2:9" x14ac:dyDescent="0.3">
      <c r="B33" s="326" t="s">
        <v>185</v>
      </c>
      <c r="C33" s="327">
        <f>C8</f>
        <v>9687</v>
      </c>
      <c r="D33" s="327">
        <f t="shared" ref="D33:I33" si="1">D8</f>
        <v>6244</v>
      </c>
      <c r="E33" s="327">
        <f t="shared" si="1"/>
        <v>2141</v>
      </c>
      <c r="F33" s="327">
        <f t="shared" si="1"/>
        <v>6103</v>
      </c>
      <c r="G33" s="327">
        <f t="shared" si="1"/>
        <v>9183</v>
      </c>
      <c r="H33" s="327">
        <f t="shared" si="1"/>
        <v>8440</v>
      </c>
      <c r="I33" s="327">
        <f t="shared" si="1"/>
        <v>10868</v>
      </c>
    </row>
    <row r="34" spans="2:9" x14ac:dyDescent="0.3">
      <c r="B34" s="30" t="s">
        <v>186</v>
      </c>
      <c r="C34" s="224">
        <f t="shared" ref="C34:I34" si="2">C9</f>
        <v>7758</v>
      </c>
      <c r="D34" s="224">
        <f t="shared" si="2"/>
        <v>7014</v>
      </c>
      <c r="E34" s="224">
        <f t="shared" si="2"/>
        <v>4525</v>
      </c>
      <c r="F34" s="224">
        <f t="shared" si="2"/>
        <v>7568</v>
      </c>
      <c r="G34" s="224">
        <f t="shared" si="2"/>
        <v>8364</v>
      </c>
      <c r="H34" s="224">
        <f t="shared" si="2"/>
        <v>8668</v>
      </c>
      <c r="I34" s="224">
        <f t="shared" si="2"/>
        <v>10269</v>
      </c>
    </row>
    <row r="35" spans="2:9" x14ac:dyDescent="0.3">
      <c r="B35" s="30" t="s">
        <v>187</v>
      </c>
      <c r="C35" s="319">
        <f t="shared" ref="C35:I35" si="3">C10</f>
        <v>1767</v>
      </c>
      <c r="D35" s="319">
        <f t="shared" si="3"/>
        <v>-2365</v>
      </c>
      <c r="E35" s="319">
        <f t="shared" si="3"/>
        <v>-954</v>
      </c>
      <c r="F35" s="319">
        <f t="shared" si="3"/>
        <v>-1753</v>
      </c>
      <c r="G35" s="319">
        <f t="shared" si="3"/>
        <v>-488</v>
      </c>
      <c r="H35" s="319">
        <f t="shared" si="3"/>
        <v>-1221</v>
      </c>
      <c r="I35" s="319">
        <f t="shared" si="3"/>
        <v>-619</v>
      </c>
    </row>
    <row r="36" spans="2:9" x14ac:dyDescent="0.3">
      <c r="B36" s="30" t="s">
        <v>188</v>
      </c>
      <c r="C36" s="319">
        <f t="shared" ref="C36:I36" si="4">C11</f>
        <v>49</v>
      </c>
      <c r="D36" s="319">
        <f t="shared" si="4"/>
        <v>-153</v>
      </c>
      <c r="E36" s="319">
        <f t="shared" si="4"/>
        <v>117</v>
      </c>
      <c r="F36" s="319">
        <f t="shared" si="4"/>
        <v>62</v>
      </c>
      <c r="G36" s="319">
        <f t="shared" si="4"/>
        <v>229</v>
      </c>
      <c r="H36" s="319">
        <f t="shared" si="4"/>
        <v>144</v>
      </c>
      <c r="I36" s="319">
        <f t="shared" si="4"/>
        <v>170</v>
      </c>
    </row>
    <row r="37" spans="2:9" x14ac:dyDescent="0.3">
      <c r="B37" s="30" t="s">
        <v>189</v>
      </c>
      <c r="C37" s="319">
        <f t="shared" ref="C37:I37" si="5">C12</f>
        <v>26</v>
      </c>
      <c r="D37" s="319">
        <f t="shared" si="5"/>
        <v>-140</v>
      </c>
      <c r="E37" s="319">
        <f t="shared" si="5"/>
        <v>-62</v>
      </c>
      <c r="F37" s="319">
        <f t="shared" si="5"/>
        <v>17</v>
      </c>
      <c r="G37" s="319">
        <f t="shared" si="5"/>
        <v>66</v>
      </c>
      <c r="H37" s="319">
        <f t="shared" si="5"/>
        <v>67</v>
      </c>
      <c r="I37" s="319">
        <f t="shared" si="5"/>
        <v>100</v>
      </c>
    </row>
    <row r="38" spans="2:9" x14ac:dyDescent="0.3">
      <c r="B38" s="30" t="s">
        <v>190</v>
      </c>
      <c r="C38" s="319">
        <f t="shared" ref="C38:I38" si="6">C13</f>
        <v>-30</v>
      </c>
      <c r="D38" s="319">
        <f t="shared" si="6"/>
        <v>-43</v>
      </c>
      <c r="E38" s="319">
        <f t="shared" si="6"/>
        <v>-29</v>
      </c>
      <c r="F38" s="319">
        <f t="shared" si="6"/>
        <v>0</v>
      </c>
      <c r="G38" s="319">
        <f t="shared" si="6"/>
        <v>0</v>
      </c>
      <c r="H38" s="319">
        <f t="shared" si="6"/>
        <v>0</v>
      </c>
      <c r="I38" s="319">
        <f t="shared" si="6"/>
        <v>0</v>
      </c>
    </row>
    <row r="39" spans="2:9" x14ac:dyDescent="0.3">
      <c r="B39" s="30" t="s">
        <v>191</v>
      </c>
      <c r="C39" s="319">
        <f t="shared" ref="C39:I39" si="7">C14</f>
        <v>10</v>
      </c>
      <c r="D39" s="319">
        <f t="shared" si="7"/>
        <v>-6</v>
      </c>
      <c r="E39" s="319">
        <f t="shared" si="7"/>
        <v>44</v>
      </c>
      <c r="F39" s="319">
        <f t="shared" si="7"/>
        <v>35</v>
      </c>
      <c r="G39" s="319">
        <f t="shared" si="7"/>
        <v>13</v>
      </c>
      <c r="H39" s="319">
        <f t="shared" si="7"/>
        <v>10</v>
      </c>
      <c r="I39" s="319">
        <f t="shared" si="7"/>
        <v>3</v>
      </c>
    </row>
    <row r="40" spans="2:9" x14ac:dyDescent="0.3">
      <c r="B40" s="144" t="s">
        <v>192</v>
      </c>
      <c r="C40" s="319">
        <f t="shared" ref="C40:I40" si="8">C15</f>
        <v>-3</v>
      </c>
      <c r="D40" s="319">
        <f t="shared" si="8"/>
        <v>18</v>
      </c>
      <c r="E40" s="319">
        <f t="shared" si="8"/>
        <v>149</v>
      </c>
      <c r="F40" s="319">
        <f t="shared" si="8"/>
        <v>-3</v>
      </c>
      <c r="G40" s="319">
        <f t="shared" si="8"/>
        <v>42</v>
      </c>
      <c r="H40" s="319">
        <f t="shared" si="8"/>
        <v>33</v>
      </c>
      <c r="I40" s="319">
        <f t="shared" si="8"/>
        <v>32</v>
      </c>
    </row>
    <row r="41" spans="2:9" x14ac:dyDescent="0.3">
      <c r="B41" s="144" t="s">
        <v>193</v>
      </c>
      <c r="C41" s="319">
        <f t="shared" ref="C41:I41" si="9">C16</f>
        <v>0</v>
      </c>
      <c r="D41" s="319">
        <f t="shared" si="9"/>
        <v>0</v>
      </c>
      <c r="E41" s="319">
        <f t="shared" si="9"/>
        <v>0</v>
      </c>
      <c r="F41" s="319">
        <f t="shared" si="9"/>
        <v>0</v>
      </c>
      <c r="G41" s="319">
        <f t="shared" si="9"/>
        <v>0</v>
      </c>
      <c r="H41" s="319">
        <f t="shared" si="9"/>
        <v>0</v>
      </c>
      <c r="I41" s="319">
        <f t="shared" si="9"/>
        <v>0</v>
      </c>
    </row>
    <row r="42" spans="2:9" x14ac:dyDescent="0.3">
      <c r="B42" s="144" t="s">
        <v>194</v>
      </c>
      <c r="C42" s="319">
        <f t="shared" ref="C42:I42" si="10">C17</f>
        <v>28</v>
      </c>
      <c r="D42" s="319">
        <f t="shared" si="10"/>
        <v>18</v>
      </c>
      <c r="E42" s="319">
        <f t="shared" si="10"/>
        <v>542</v>
      </c>
      <c r="F42" s="319">
        <f t="shared" si="10"/>
        <v>422</v>
      </c>
      <c r="G42" s="319">
        <f t="shared" si="10"/>
        <v>1094</v>
      </c>
      <c r="H42" s="319">
        <f t="shared" si="10"/>
        <v>903</v>
      </c>
      <c r="I42" s="319">
        <f t="shared" si="10"/>
        <v>1081</v>
      </c>
    </row>
    <row r="43" spans="2:9" x14ac:dyDescent="0.3">
      <c r="B43" s="144" t="s">
        <v>195</v>
      </c>
      <c r="C43" s="319">
        <f t="shared" ref="C43:I43" si="11">C18</f>
        <v>-16</v>
      </c>
      <c r="D43" s="319">
        <f t="shared" si="11"/>
        <v>-2</v>
      </c>
      <c r="E43" s="319">
        <f t="shared" si="11"/>
        <v>-11</v>
      </c>
      <c r="F43" s="319">
        <f t="shared" si="11"/>
        <v>-49</v>
      </c>
      <c r="G43" s="319">
        <f t="shared" si="11"/>
        <v>-15</v>
      </c>
      <c r="H43" s="319">
        <f t="shared" si="11"/>
        <v>-53</v>
      </c>
      <c r="I43" s="319">
        <f t="shared" si="11"/>
        <v>-33</v>
      </c>
    </row>
    <row r="44" spans="2:9" ht="13.8" thickBot="1" x14ac:dyDescent="0.35">
      <c r="B44" s="30" t="s">
        <v>474</v>
      </c>
      <c r="C44" s="320">
        <f t="shared" ref="C44:I44" si="12">C19</f>
        <v>101</v>
      </c>
      <c r="D44" s="320" t="str">
        <f t="shared" si="12"/>
        <v>1 732</v>
      </c>
      <c r="E44" s="320" t="str">
        <f t="shared" si="12"/>
        <v>-2 078</v>
      </c>
      <c r="F44" s="320">
        <f t="shared" si="12"/>
        <v>-147</v>
      </c>
      <c r="G44" s="320">
        <f t="shared" si="12"/>
        <v>0</v>
      </c>
      <c r="H44" s="320">
        <f t="shared" si="12"/>
        <v>0</v>
      </c>
      <c r="I44" s="320">
        <f t="shared" si="12"/>
        <v>0</v>
      </c>
    </row>
    <row r="45" spans="2:9" x14ac:dyDescent="0.3">
      <c r="B45" s="150" t="s">
        <v>196</v>
      </c>
      <c r="C45" s="225">
        <f t="shared" ref="C45:C50" si="13">C20</f>
        <v>54993</v>
      </c>
      <c r="D45" s="225">
        <f t="shared" ref="D45:I45" si="14">D20</f>
        <v>61237</v>
      </c>
      <c r="E45" s="225">
        <f t="shared" si="14"/>
        <v>63378</v>
      </c>
      <c r="F45" s="225">
        <f t="shared" si="14"/>
        <v>69481</v>
      </c>
      <c r="G45" s="225">
        <f t="shared" si="14"/>
        <v>78664</v>
      </c>
      <c r="H45" s="225">
        <f t="shared" si="14"/>
        <v>87105</v>
      </c>
      <c r="I45" s="225">
        <f t="shared" si="14"/>
        <v>97973</v>
      </c>
    </row>
    <row r="46" spans="2:9" ht="13.8" thickBot="1" x14ac:dyDescent="0.35">
      <c r="B46" s="149" t="s">
        <v>197</v>
      </c>
      <c r="C46" s="321">
        <f t="shared" si="13"/>
        <v>58.9</v>
      </c>
      <c r="D46" s="321">
        <f t="shared" ref="D46:I46" si="15">D21</f>
        <v>61.1</v>
      </c>
      <c r="E46" s="321">
        <f t="shared" si="15"/>
        <v>57.8</v>
      </c>
      <c r="F46" s="321">
        <f t="shared" si="15"/>
        <v>57.1</v>
      </c>
      <c r="G46" s="321">
        <f t="shared" si="15"/>
        <v>60</v>
      </c>
      <c r="H46" s="321">
        <f t="shared" si="15"/>
        <v>62.6</v>
      </c>
      <c r="I46" s="321">
        <f t="shared" si="15"/>
        <v>67.400000000000006</v>
      </c>
    </row>
    <row r="47" spans="2:9" ht="26.4" x14ac:dyDescent="0.3">
      <c r="B47" s="328" t="s">
        <v>198</v>
      </c>
      <c r="C47" s="323">
        <f t="shared" si="13"/>
        <v>0</v>
      </c>
      <c r="D47" s="323">
        <f t="shared" ref="D47:I47" si="16">D22</f>
        <v>0</v>
      </c>
      <c r="E47" s="323">
        <f t="shared" si="16"/>
        <v>0</v>
      </c>
      <c r="F47" s="323">
        <f t="shared" si="16"/>
        <v>-1.6</v>
      </c>
      <c r="G47" s="323">
        <f t="shared" si="16"/>
        <v>0.6</v>
      </c>
      <c r="H47" s="323">
        <f t="shared" si="16"/>
        <v>2.8</v>
      </c>
      <c r="I47" s="323">
        <f t="shared" si="16"/>
        <v>4.3</v>
      </c>
    </row>
    <row r="48" spans="2:9" x14ac:dyDescent="0.3">
      <c r="B48" s="144" t="s">
        <v>199</v>
      </c>
      <c r="C48" s="318">
        <f t="shared" si="13"/>
        <v>0</v>
      </c>
      <c r="D48" s="318">
        <f t="shared" ref="D48:I48" si="17">D23</f>
        <v>0</v>
      </c>
      <c r="E48" s="318">
        <f t="shared" si="17"/>
        <v>0</v>
      </c>
      <c r="F48" s="318">
        <f t="shared" si="17"/>
        <v>-1</v>
      </c>
      <c r="G48" s="318">
        <f t="shared" si="17"/>
        <v>-1.2</v>
      </c>
      <c r="H48" s="318">
        <f t="shared" si="17"/>
        <v>-0.8</v>
      </c>
      <c r="I48" s="318">
        <f t="shared" si="17"/>
        <v>-0.9</v>
      </c>
    </row>
    <row r="49" spans="2:9" ht="13.8" thickBot="1" x14ac:dyDescent="0.35">
      <c r="B49" s="151" t="s">
        <v>200</v>
      </c>
      <c r="C49" s="322">
        <f t="shared" si="13"/>
        <v>0</v>
      </c>
      <c r="D49" s="322">
        <f t="shared" ref="D49:I49" si="18">D24</f>
        <v>0</v>
      </c>
      <c r="E49" s="322">
        <f t="shared" si="18"/>
        <v>0</v>
      </c>
      <c r="F49" s="322">
        <f t="shared" si="18"/>
        <v>-0.6</v>
      </c>
      <c r="G49" s="322">
        <f t="shared" si="18"/>
        <v>1.9</v>
      </c>
      <c r="H49" s="322">
        <f t="shared" si="18"/>
        <v>3.6</v>
      </c>
      <c r="I49" s="322">
        <f t="shared" si="18"/>
        <v>5.2</v>
      </c>
    </row>
    <row r="50" spans="2:9" ht="13.8" thickBot="1" x14ac:dyDescent="0.35">
      <c r="B50" s="329" t="s">
        <v>221</v>
      </c>
      <c r="C50" s="324">
        <f t="shared" si="13"/>
        <v>134</v>
      </c>
      <c r="D50" s="324">
        <f t="shared" ref="D50:I50" si="19">D25</f>
        <v>0</v>
      </c>
      <c r="E50" s="324">
        <f t="shared" si="19"/>
        <v>0</v>
      </c>
      <c r="F50" s="324">
        <f t="shared" si="19"/>
        <v>-1</v>
      </c>
      <c r="G50" s="324">
        <f t="shared" si="19"/>
        <v>0</v>
      </c>
      <c r="H50" s="324">
        <f t="shared" si="19"/>
        <v>0</v>
      </c>
      <c r="I50" s="324">
        <f t="shared" si="19"/>
        <v>0</v>
      </c>
    </row>
    <row r="51" spans="2:9" ht="27.75" customHeight="1" x14ac:dyDescent="0.3">
      <c r="B51" s="479" t="s">
        <v>476</v>
      </c>
      <c r="C51" s="479"/>
      <c r="D51" s="479"/>
      <c r="E51" s="479"/>
      <c r="F51" s="479"/>
      <c r="G51" s="479"/>
      <c r="H51" s="479"/>
      <c r="I51" s="358" t="s">
        <v>220</v>
      </c>
    </row>
    <row r="52" spans="2:9" x14ac:dyDescent="0.3">
      <c r="B52" s="315" t="s">
        <v>263</v>
      </c>
    </row>
  </sheetData>
  <mergeCells count="4">
    <mergeCell ref="B26:G26"/>
    <mergeCell ref="B27:G27"/>
    <mergeCell ref="B5:H5"/>
    <mergeCell ref="B51:H5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0"/>
  <dimension ref="A4:I32"/>
  <sheetViews>
    <sheetView showGridLines="0" zoomScale="80" zoomScaleNormal="80" workbookViewId="0"/>
  </sheetViews>
  <sheetFormatPr defaultColWidth="9.21875" defaultRowHeight="13.2" x14ac:dyDescent="0.3"/>
  <cols>
    <col min="1" max="1" width="7.5546875" style="32" customWidth="1"/>
    <col min="2" max="2" width="56.77734375" style="32" customWidth="1"/>
    <col min="3" max="3" width="60.5546875" style="32" bestFit="1" customWidth="1"/>
    <col min="4" max="8" width="9.21875" style="32"/>
    <col min="9" max="9" width="9.5546875" style="32" customWidth="1"/>
    <col min="10" max="16384" width="9.21875" style="32"/>
  </cols>
  <sheetData>
    <row r="4" spans="1:9" ht="14.4" x14ac:dyDescent="0.3">
      <c r="A4" s="1"/>
    </row>
    <row r="5" spans="1:9" x14ac:dyDescent="0.3">
      <c r="B5" s="480" t="s">
        <v>590</v>
      </c>
      <c r="C5" s="480"/>
      <c r="D5" s="480"/>
      <c r="E5" s="480"/>
      <c r="F5" s="480"/>
      <c r="G5" s="480"/>
      <c r="H5" s="480"/>
    </row>
    <row r="6" spans="1:9" x14ac:dyDescent="0.3">
      <c r="B6" s="480" t="s">
        <v>591</v>
      </c>
      <c r="C6" s="480"/>
      <c r="D6" s="480"/>
      <c r="E6" s="480"/>
      <c r="F6" s="480"/>
      <c r="G6" s="480"/>
      <c r="H6" s="480"/>
    </row>
    <row r="7" spans="1:9" ht="13.8" thickBot="1" x14ac:dyDescent="0.35">
      <c r="B7" s="163"/>
      <c r="C7" s="163"/>
      <c r="D7" s="164">
        <v>2022</v>
      </c>
      <c r="E7" s="164">
        <v>2023</v>
      </c>
      <c r="F7" s="164">
        <v>2024</v>
      </c>
      <c r="G7" s="164">
        <v>2025</v>
      </c>
      <c r="H7" s="164">
        <v>2026</v>
      </c>
    </row>
    <row r="8" spans="1:9" x14ac:dyDescent="0.3">
      <c r="A8" s="4"/>
      <c r="B8" s="165" t="s">
        <v>489</v>
      </c>
      <c r="C8" s="165" t="s">
        <v>500</v>
      </c>
      <c r="D8" s="177">
        <v>-894</v>
      </c>
      <c r="E8" s="36">
        <v>-155</v>
      </c>
      <c r="F8" s="2" t="s">
        <v>218</v>
      </c>
      <c r="G8" s="2" t="s">
        <v>218</v>
      </c>
      <c r="H8" s="2" t="s">
        <v>218</v>
      </c>
    </row>
    <row r="9" spans="1:9" x14ac:dyDescent="0.3">
      <c r="A9" s="4"/>
      <c r="B9" s="165" t="s">
        <v>342</v>
      </c>
      <c r="C9" s="165" t="s">
        <v>354</v>
      </c>
      <c r="D9" s="2">
        <v>196</v>
      </c>
      <c r="E9" s="2" t="s">
        <v>218</v>
      </c>
      <c r="F9" s="2" t="s">
        <v>218</v>
      </c>
      <c r="G9" s="2" t="s">
        <v>218</v>
      </c>
      <c r="H9" s="2" t="s">
        <v>218</v>
      </c>
      <c r="I9" s="3"/>
    </row>
    <row r="10" spans="1:9" x14ac:dyDescent="0.3">
      <c r="A10" s="4"/>
      <c r="B10" s="165" t="s">
        <v>343</v>
      </c>
      <c r="C10" s="165" t="s">
        <v>355</v>
      </c>
      <c r="D10" s="2">
        <v>-194</v>
      </c>
      <c r="E10" s="2">
        <v>-143</v>
      </c>
      <c r="F10" s="2">
        <v>-10</v>
      </c>
      <c r="G10" s="2" t="s">
        <v>218</v>
      </c>
      <c r="H10" s="2" t="s">
        <v>218</v>
      </c>
      <c r="I10" s="3"/>
    </row>
    <row r="11" spans="1:9" x14ac:dyDescent="0.3">
      <c r="A11" s="4"/>
      <c r="B11" s="165" t="s">
        <v>490</v>
      </c>
      <c r="C11" s="165" t="s">
        <v>499</v>
      </c>
      <c r="D11" s="2">
        <v>41</v>
      </c>
      <c r="E11" s="2">
        <v>42</v>
      </c>
      <c r="F11" s="2" t="s">
        <v>218</v>
      </c>
      <c r="G11" s="2" t="s">
        <v>218</v>
      </c>
      <c r="H11" s="2" t="s">
        <v>218</v>
      </c>
      <c r="I11" s="3"/>
    </row>
    <row r="12" spans="1:9" x14ac:dyDescent="0.3">
      <c r="A12" s="4"/>
      <c r="B12" s="166" t="s">
        <v>344</v>
      </c>
      <c r="C12" s="166" t="s">
        <v>357</v>
      </c>
      <c r="D12" s="2">
        <v>-112</v>
      </c>
      <c r="E12" s="2" t="s">
        <v>218</v>
      </c>
      <c r="F12" s="2" t="s">
        <v>218</v>
      </c>
      <c r="G12" s="2" t="s">
        <v>218</v>
      </c>
      <c r="H12" s="2" t="s">
        <v>218</v>
      </c>
    </row>
    <row r="13" spans="1:9" x14ac:dyDescent="0.3">
      <c r="A13" s="31"/>
      <c r="B13" s="167" t="s">
        <v>345</v>
      </c>
      <c r="C13" s="167" t="s">
        <v>356</v>
      </c>
      <c r="D13" s="2">
        <v>-208</v>
      </c>
      <c r="E13" s="2" t="s">
        <v>218</v>
      </c>
      <c r="F13" s="2" t="s">
        <v>218</v>
      </c>
      <c r="G13" s="2" t="s">
        <v>218</v>
      </c>
      <c r="H13" s="2" t="s">
        <v>218</v>
      </c>
    </row>
    <row r="14" spans="1:9" x14ac:dyDescent="0.3">
      <c r="A14" s="4"/>
      <c r="B14" s="168" t="s">
        <v>491</v>
      </c>
      <c r="C14" s="168" t="s">
        <v>501</v>
      </c>
      <c r="D14" s="177">
        <v>-20</v>
      </c>
      <c r="E14" s="2" t="s">
        <v>218</v>
      </c>
      <c r="F14" s="2" t="s">
        <v>218</v>
      </c>
      <c r="G14" s="2" t="s">
        <v>218</v>
      </c>
      <c r="H14" s="2" t="s">
        <v>218</v>
      </c>
    </row>
    <row r="15" spans="1:9" x14ac:dyDescent="0.3">
      <c r="A15" s="4"/>
      <c r="B15" s="168" t="s">
        <v>433</v>
      </c>
      <c r="C15" s="168" t="s">
        <v>445</v>
      </c>
      <c r="D15" s="177">
        <v>-76</v>
      </c>
      <c r="E15" s="2">
        <v>-270</v>
      </c>
      <c r="F15" s="2" t="s">
        <v>218</v>
      </c>
      <c r="G15" s="2" t="s">
        <v>218</v>
      </c>
      <c r="H15" s="2" t="s">
        <v>218</v>
      </c>
    </row>
    <row r="16" spans="1:9" x14ac:dyDescent="0.3">
      <c r="A16" s="4"/>
      <c r="B16" s="168" t="s">
        <v>434</v>
      </c>
      <c r="C16" s="168" t="s">
        <v>446</v>
      </c>
      <c r="D16" s="177" t="s">
        <v>497</v>
      </c>
      <c r="E16" s="2">
        <v>-221</v>
      </c>
      <c r="F16" s="2" t="s">
        <v>218</v>
      </c>
      <c r="G16" s="2" t="s">
        <v>218</v>
      </c>
      <c r="H16" s="2" t="s">
        <v>218</v>
      </c>
    </row>
    <row r="17" spans="1:9" x14ac:dyDescent="0.3">
      <c r="A17" s="4"/>
      <c r="B17" s="168" t="s">
        <v>435</v>
      </c>
      <c r="C17" s="132" t="s">
        <v>447</v>
      </c>
      <c r="D17" s="177" t="s">
        <v>218</v>
      </c>
      <c r="E17" s="2">
        <v>-499</v>
      </c>
      <c r="F17" s="2"/>
      <c r="G17" s="2"/>
      <c r="H17" s="2"/>
    </row>
    <row r="18" spans="1:9" ht="14.4" x14ac:dyDescent="0.3">
      <c r="A18" s="4"/>
      <c r="B18" s="137" t="s">
        <v>492</v>
      </c>
      <c r="C18" s="132" t="s">
        <v>503</v>
      </c>
      <c r="D18" s="177">
        <v>-40</v>
      </c>
      <c r="E18" s="300" t="s">
        <v>218</v>
      </c>
      <c r="F18" s="300" t="s">
        <v>218</v>
      </c>
      <c r="G18" s="300" t="s">
        <v>218</v>
      </c>
      <c r="H18" s="300" t="s">
        <v>218</v>
      </c>
    </row>
    <row r="19" spans="1:9" x14ac:dyDescent="0.3">
      <c r="A19" s="4"/>
      <c r="B19" s="168" t="s">
        <v>493</v>
      </c>
      <c r="C19" s="169" t="s">
        <v>504</v>
      </c>
      <c r="D19" s="177">
        <v>-11</v>
      </c>
      <c r="E19" s="177" t="s">
        <v>218</v>
      </c>
      <c r="F19" s="2" t="s">
        <v>218</v>
      </c>
      <c r="G19" s="2" t="s">
        <v>218</v>
      </c>
      <c r="H19" s="2" t="s">
        <v>218</v>
      </c>
    </row>
    <row r="20" spans="1:9" x14ac:dyDescent="0.3">
      <c r="A20" s="4"/>
      <c r="B20" s="168" t="s">
        <v>494</v>
      </c>
      <c r="C20" s="169" t="s">
        <v>449</v>
      </c>
      <c r="D20" s="177" t="s">
        <v>218</v>
      </c>
      <c r="E20" s="177">
        <v>-1276</v>
      </c>
      <c r="F20" s="2" t="s">
        <v>218</v>
      </c>
      <c r="G20" s="2" t="s">
        <v>218</v>
      </c>
      <c r="H20" s="2" t="s">
        <v>218</v>
      </c>
      <c r="I20" s="33"/>
    </row>
    <row r="21" spans="1:9" x14ac:dyDescent="0.3">
      <c r="A21" s="4"/>
      <c r="B21" s="166" t="s">
        <v>436</v>
      </c>
      <c r="C21" s="166" t="s">
        <v>450</v>
      </c>
      <c r="D21" s="2" t="s">
        <v>218</v>
      </c>
      <c r="E21" s="2">
        <v>-334</v>
      </c>
      <c r="F21" s="2" t="s">
        <v>218</v>
      </c>
      <c r="G21" s="2" t="s">
        <v>218</v>
      </c>
      <c r="H21" s="2" t="s">
        <v>218</v>
      </c>
    </row>
    <row r="22" spans="1:9" x14ac:dyDescent="0.3">
      <c r="A22" s="4"/>
      <c r="B22" s="166" t="s">
        <v>437</v>
      </c>
      <c r="C22" s="166" t="s">
        <v>451</v>
      </c>
      <c r="D22" s="177" t="s">
        <v>218</v>
      </c>
      <c r="E22" s="2">
        <v>-412</v>
      </c>
      <c r="F22" s="2" t="s">
        <v>218</v>
      </c>
      <c r="G22" s="2" t="s">
        <v>218</v>
      </c>
      <c r="H22" s="2" t="s">
        <v>218</v>
      </c>
    </row>
    <row r="23" spans="1:9" x14ac:dyDescent="0.3">
      <c r="A23" s="4"/>
      <c r="B23" s="165" t="s">
        <v>438</v>
      </c>
      <c r="C23" s="133" t="s">
        <v>452</v>
      </c>
      <c r="D23" s="177" t="s">
        <v>218</v>
      </c>
      <c r="E23" s="2">
        <v>-70</v>
      </c>
      <c r="F23" s="2" t="s">
        <v>218</v>
      </c>
      <c r="G23" s="2" t="s">
        <v>218</v>
      </c>
      <c r="H23" s="2" t="s">
        <v>218</v>
      </c>
    </row>
    <row r="24" spans="1:9" x14ac:dyDescent="0.3">
      <c r="A24" s="4"/>
      <c r="B24" s="165" t="s">
        <v>495</v>
      </c>
      <c r="C24" s="133" t="s">
        <v>453</v>
      </c>
      <c r="D24" s="177" t="s">
        <v>218</v>
      </c>
      <c r="E24" s="2">
        <v>650</v>
      </c>
      <c r="F24" s="2" t="s">
        <v>218</v>
      </c>
      <c r="G24" s="2" t="s">
        <v>218</v>
      </c>
      <c r="H24" s="2" t="s">
        <v>218</v>
      </c>
    </row>
    <row r="25" spans="1:9" x14ac:dyDescent="0.3">
      <c r="A25" s="31"/>
      <c r="B25" s="167" t="s">
        <v>496</v>
      </c>
      <c r="C25" s="133" t="s">
        <v>502</v>
      </c>
      <c r="D25" s="177" t="s">
        <v>218</v>
      </c>
      <c r="E25" s="2" t="s">
        <v>218</v>
      </c>
      <c r="F25" s="2">
        <v>-700</v>
      </c>
      <c r="G25" s="2" t="s">
        <v>218</v>
      </c>
      <c r="H25" s="2" t="s">
        <v>218</v>
      </c>
      <c r="I25" s="35"/>
    </row>
    <row r="26" spans="1:9" x14ac:dyDescent="0.3">
      <c r="A26" s="4"/>
      <c r="B26" s="166" t="s">
        <v>441</v>
      </c>
      <c r="C26" s="133" t="s">
        <v>455</v>
      </c>
      <c r="D26" s="177" t="s">
        <v>218</v>
      </c>
      <c r="E26" s="2">
        <v>594</v>
      </c>
      <c r="F26" s="2" t="s">
        <v>218</v>
      </c>
      <c r="G26" s="2" t="s">
        <v>218</v>
      </c>
      <c r="H26" s="2" t="s">
        <v>218</v>
      </c>
      <c r="I26" s="35"/>
    </row>
    <row r="27" spans="1:9" x14ac:dyDescent="0.3">
      <c r="A27" s="31"/>
      <c r="B27" s="167" t="s">
        <v>323</v>
      </c>
      <c r="C27" s="133" t="s">
        <v>498</v>
      </c>
      <c r="D27" s="177">
        <v>412</v>
      </c>
      <c r="E27" s="2">
        <v>283</v>
      </c>
      <c r="F27" s="2" t="s">
        <v>218</v>
      </c>
      <c r="G27" s="2" t="s">
        <v>218</v>
      </c>
      <c r="H27" s="2" t="s">
        <v>218</v>
      </c>
      <c r="I27" s="35"/>
    </row>
    <row r="28" spans="1:9" x14ac:dyDescent="0.3">
      <c r="A28" s="31"/>
      <c r="B28" s="167" t="s">
        <v>442</v>
      </c>
      <c r="C28" s="133" t="s">
        <v>456</v>
      </c>
      <c r="D28" s="2" t="s">
        <v>218</v>
      </c>
      <c r="E28" s="2">
        <v>23</v>
      </c>
      <c r="F28" s="2">
        <v>1</v>
      </c>
      <c r="G28" s="2" t="s">
        <v>218</v>
      </c>
      <c r="H28" s="2" t="s">
        <v>218</v>
      </c>
      <c r="I28" s="35"/>
    </row>
    <row r="29" spans="1:9" ht="13.8" thickBot="1" x14ac:dyDescent="0.35">
      <c r="A29" s="31"/>
      <c r="B29" s="386" t="s">
        <v>443</v>
      </c>
      <c r="C29" s="252" t="s">
        <v>457</v>
      </c>
      <c r="D29" s="180" t="s">
        <v>218</v>
      </c>
      <c r="E29" s="180">
        <v>150</v>
      </c>
      <c r="F29" s="180">
        <v>160</v>
      </c>
      <c r="G29" s="180" t="s">
        <v>218</v>
      </c>
      <c r="H29" s="180" t="s">
        <v>218</v>
      </c>
    </row>
    <row r="30" spans="1:9" ht="13.8" thickBot="1" x14ac:dyDescent="0.35">
      <c r="B30" s="365" t="s">
        <v>226</v>
      </c>
      <c r="C30" s="365" t="s">
        <v>178</v>
      </c>
      <c r="D30" s="201">
        <f>SUM(D8:D29)</f>
        <v>-906</v>
      </c>
      <c r="E30" s="201">
        <f t="shared" ref="E30:H30" si="0">SUM(E8:E29)</f>
        <v>-1638</v>
      </c>
      <c r="F30" s="201">
        <f t="shared" si="0"/>
        <v>-549</v>
      </c>
      <c r="G30" s="201">
        <f t="shared" si="0"/>
        <v>0</v>
      </c>
      <c r="H30" s="201">
        <f t="shared" si="0"/>
        <v>0</v>
      </c>
    </row>
    <row r="31" spans="1:9" x14ac:dyDescent="0.3">
      <c r="H31" s="387" t="s">
        <v>0</v>
      </c>
    </row>
    <row r="32" spans="1:9" x14ac:dyDescent="0.3">
      <c r="H32" s="388" t="s">
        <v>220</v>
      </c>
    </row>
  </sheetData>
  <mergeCells count="2">
    <mergeCell ref="B6:H6"/>
    <mergeCell ref="B5:H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4:N81"/>
  <sheetViews>
    <sheetView showGridLines="0" zoomScale="80" zoomScaleNormal="80" workbookViewId="0">
      <selection activeCell="D11" sqref="D11"/>
    </sheetView>
  </sheetViews>
  <sheetFormatPr defaultColWidth="9.21875" defaultRowHeight="13.2" x14ac:dyDescent="0.3"/>
  <cols>
    <col min="1" max="1" width="7.21875" style="32" customWidth="1"/>
    <col min="2" max="2" width="75.77734375" style="32" customWidth="1"/>
    <col min="3" max="3" width="69.5546875" style="32" customWidth="1"/>
    <col min="4" max="9" width="9.21875" style="32"/>
    <col min="10" max="10" width="10.5546875" style="32" bestFit="1" customWidth="1"/>
    <col min="11" max="11" width="10" style="32" bestFit="1" customWidth="1"/>
    <col min="12" max="12" width="10.5546875" style="32" bestFit="1" customWidth="1"/>
    <col min="13" max="13" width="9.5546875" style="32" bestFit="1" customWidth="1"/>
    <col min="14" max="14" width="10.5546875" style="32" bestFit="1" customWidth="1"/>
    <col min="15" max="16384" width="9.21875" style="32"/>
  </cols>
  <sheetData>
    <row r="4" spans="1:8" ht="14.4" x14ac:dyDescent="0.3">
      <c r="B4" s="1"/>
      <c r="C4" s="1"/>
    </row>
    <row r="5" spans="1:8" ht="13.8" thickBot="1" x14ac:dyDescent="0.35">
      <c r="B5" s="40" t="s">
        <v>592</v>
      </c>
      <c r="C5" s="40"/>
    </row>
    <row r="6" spans="1:8" ht="13.8" thickBot="1" x14ac:dyDescent="0.35">
      <c r="B6" s="460" t="s">
        <v>171</v>
      </c>
      <c r="C6" s="361"/>
      <c r="D6" s="361">
        <v>2022</v>
      </c>
      <c r="E6" s="361">
        <v>2023</v>
      </c>
      <c r="F6" s="361">
        <v>2024</v>
      </c>
      <c r="G6" s="361">
        <v>2025</v>
      </c>
      <c r="H6" s="361">
        <v>2026</v>
      </c>
    </row>
    <row r="7" spans="1:8" ht="13.35" customHeight="1" x14ac:dyDescent="0.3">
      <c r="A7" s="258"/>
      <c r="B7" s="371" t="s">
        <v>176</v>
      </c>
      <c r="C7" s="132" t="s">
        <v>238</v>
      </c>
      <c r="D7" s="389">
        <v>-209.36942180411052</v>
      </c>
      <c r="E7" s="389">
        <v>0</v>
      </c>
      <c r="F7" s="389">
        <v>0</v>
      </c>
      <c r="G7" s="389">
        <v>0</v>
      </c>
      <c r="H7" s="389">
        <v>0</v>
      </c>
    </row>
    <row r="8" spans="1:8" ht="13.35" customHeight="1" x14ac:dyDescent="0.3">
      <c r="A8" s="258"/>
      <c r="B8" s="371" t="s">
        <v>175</v>
      </c>
      <c r="C8" s="132" t="s">
        <v>239</v>
      </c>
      <c r="D8" s="389">
        <v>75.607000000000014</v>
      </c>
      <c r="E8" s="389">
        <v>52.514199999999974</v>
      </c>
      <c r="F8" s="389">
        <v>0</v>
      </c>
      <c r="G8" s="389">
        <v>0</v>
      </c>
      <c r="H8" s="389">
        <v>0</v>
      </c>
    </row>
    <row r="9" spans="1:8" ht="13.35" customHeight="1" x14ac:dyDescent="0.3">
      <c r="A9" s="258"/>
      <c r="B9" s="371" t="s">
        <v>505</v>
      </c>
      <c r="C9" s="132" t="s">
        <v>506</v>
      </c>
      <c r="D9" s="389">
        <v>-90.240464285714268</v>
      </c>
      <c r="E9" s="389">
        <v>0</v>
      </c>
      <c r="F9" s="389">
        <v>0</v>
      </c>
      <c r="G9" s="389">
        <v>0.97926988859302355</v>
      </c>
      <c r="H9" s="389">
        <v>0</v>
      </c>
    </row>
    <row r="10" spans="1:8" ht="13.35" customHeight="1" x14ac:dyDescent="0.3">
      <c r="A10" s="258"/>
      <c r="B10" s="371" t="s">
        <v>507</v>
      </c>
      <c r="C10" s="132" t="s">
        <v>520</v>
      </c>
      <c r="D10" s="389">
        <v>0</v>
      </c>
      <c r="E10" s="389">
        <v>-9.7060114689137933</v>
      </c>
      <c r="F10" s="389">
        <v>-22.845963048274161</v>
      </c>
      <c r="G10" s="389">
        <v>0</v>
      </c>
      <c r="H10" s="389">
        <v>0</v>
      </c>
    </row>
    <row r="11" spans="1:8" ht="13.35" customHeight="1" x14ac:dyDescent="0.3">
      <c r="A11" s="258"/>
      <c r="B11" s="371" t="s">
        <v>237</v>
      </c>
      <c r="C11" s="132" t="s">
        <v>624</v>
      </c>
      <c r="D11" s="389">
        <v>2.2740000000000009</v>
      </c>
      <c r="E11" s="389">
        <v>34.341999999999985</v>
      </c>
      <c r="F11" s="389">
        <v>0</v>
      </c>
      <c r="G11" s="389">
        <v>0</v>
      </c>
      <c r="H11" s="389">
        <v>0</v>
      </c>
    </row>
    <row r="12" spans="1:8" ht="13.35" customHeight="1" x14ac:dyDescent="0.3">
      <c r="A12" s="258"/>
      <c r="B12" s="371" t="s">
        <v>346</v>
      </c>
      <c r="C12" s="132" t="s">
        <v>240</v>
      </c>
      <c r="D12" s="389">
        <v>27.165663584523891</v>
      </c>
      <c r="E12" s="389">
        <v>4.2727463317636136</v>
      </c>
      <c r="F12" s="389">
        <v>-0.93795475938271444</v>
      </c>
      <c r="G12" s="389">
        <v>-4.6288045552380961</v>
      </c>
      <c r="H12" s="389">
        <v>0</v>
      </c>
    </row>
    <row r="13" spans="1:8" ht="13.35" customHeight="1" x14ac:dyDescent="0.3">
      <c r="A13" s="258"/>
      <c r="B13" s="371" t="s">
        <v>347</v>
      </c>
      <c r="C13" s="132" t="s">
        <v>241</v>
      </c>
      <c r="D13" s="389">
        <v>10</v>
      </c>
      <c r="E13" s="389">
        <v>0</v>
      </c>
      <c r="F13" s="389">
        <v>0</v>
      </c>
      <c r="G13" s="389">
        <v>0</v>
      </c>
      <c r="H13" s="389">
        <v>0</v>
      </c>
    </row>
    <row r="14" spans="1:8" ht="13.35" customHeight="1" x14ac:dyDescent="0.3">
      <c r="A14" s="258"/>
      <c r="B14" s="371" t="s">
        <v>201</v>
      </c>
      <c r="C14" s="132" t="s">
        <v>521</v>
      </c>
      <c r="D14" s="389">
        <v>12</v>
      </c>
      <c r="E14" s="389">
        <v>0</v>
      </c>
      <c r="F14" s="389">
        <v>0</v>
      </c>
      <c r="G14" s="389">
        <v>0</v>
      </c>
      <c r="H14" s="389">
        <v>0</v>
      </c>
    </row>
    <row r="15" spans="1:8" ht="13.35" customHeight="1" x14ac:dyDescent="0.3">
      <c r="A15" s="258"/>
      <c r="B15" s="371" t="s">
        <v>348</v>
      </c>
      <c r="C15" s="132" t="s">
        <v>353</v>
      </c>
      <c r="D15" s="389">
        <v>14.767999999999999</v>
      </c>
      <c r="E15" s="389">
        <v>-14.877999999999998</v>
      </c>
      <c r="F15" s="389">
        <v>0</v>
      </c>
      <c r="G15" s="389">
        <v>0</v>
      </c>
      <c r="H15" s="389">
        <v>0</v>
      </c>
    </row>
    <row r="16" spans="1:8" ht="13.35" customHeight="1" x14ac:dyDescent="0.3">
      <c r="A16" s="258"/>
      <c r="B16" s="371" t="s">
        <v>349</v>
      </c>
      <c r="C16" s="132" t="s">
        <v>351</v>
      </c>
      <c r="D16" s="389">
        <v>0</v>
      </c>
      <c r="E16" s="389">
        <v>23.1525</v>
      </c>
      <c r="F16" s="389">
        <v>0</v>
      </c>
      <c r="G16" s="389">
        <v>0</v>
      </c>
      <c r="H16" s="389">
        <v>0</v>
      </c>
    </row>
    <row r="17" spans="1:8" ht="13.35" customHeight="1" x14ac:dyDescent="0.3">
      <c r="A17" s="258"/>
      <c r="B17" s="371" t="s">
        <v>350</v>
      </c>
      <c r="C17" s="132" t="s">
        <v>352</v>
      </c>
      <c r="D17" s="389">
        <v>0</v>
      </c>
      <c r="E17" s="389">
        <v>-11.468359407720014</v>
      </c>
      <c r="F17" s="389">
        <v>0</v>
      </c>
      <c r="G17" s="389">
        <v>0</v>
      </c>
      <c r="H17" s="389">
        <v>0</v>
      </c>
    </row>
    <row r="18" spans="1:8" ht="13.35" customHeight="1" x14ac:dyDescent="0.3">
      <c r="A18" s="258"/>
      <c r="B18" s="371" t="s">
        <v>323</v>
      </c>
      <c r="C18" s="132" t="s">
        <v>341</v>
      </c>
      <c r="D18" s="389">
        <v>411.84</v>
      </c>
      <c r="E18" s="389">
        <v>-128.54959999999994</v>
      </c>
      <c r="F18" s="389">
        <v>-283.29040000000003</v>
      </c>
      <c r="G18" s="389">
        <v>0</v>
      </c>
      <c r="H18" s="389">
        <v>0</v>
      </c>
    </row>
    <row r="19" spans="1:8" ht="13.35" customHeight="1" x14ac:dyDescent="0.3">
      <c r="A19" s="258"/>
      <c r="B19" s="371" t="s">
        <v>266</v>
      </c>
      <c r="C19" s="132" t="s">
        <v>522</v>
      </c>
      <c r="D19" s="389">
        <v>0</v>
      </c>
      <c r="E19" s="389">
        <v>150</v>
      </c>
      <c r="F19" s="389">
        <v>10</v>
      </c>
      <c r="G19" s="389">
        <v>0</v>
      </c>
      <c r="H19" s="389">
        <v>0</v>
      </c>
    </row>
    <row r="20" spans="1:8" ht="13.35" customHeight="1" x14ac:dyDescent="0.3">
      <c r="A20" s="258"/>
      <c r="B20" s="371" t="s">
        <v>508</v>
      </c>
      <c r="C20" s="132" t="s">
        <v>523</v>
      </c>
      <c r="D20" s="389">
        <v>0</v>
      </c>
      <c r="E20" s="389">
        <v>23.36597094</v>
      </c>
      <c r="F20" s="389">
        <v>-22.118560940000002</v>
      </c>
      <c r="G20" s="389">
        <v>-1.2474099999999986</v>
      </c>
      <c r="H20" s="389">
        <v>0</v>
      </c>
    </row>
    <row r="21" spans="1:8" ht="13.35" customHeight="1" x14ac:dyDescent="0.3">
      <c r="A21" s="258"/>
      <c r="B21" s="371" t="s">
        <v>509</v>
      </c>
      <c r="C21" s="132" t="s">
        <v>524</v>
      </c>
      <c r="D21" s="389">
        <v>0</v>
      </c>
      <c r="E21" s="389">
        <v>-34.835999999999999</v>
      </c>
      <c r="F21" s="389">
        <v>-41.31</v>
      </c>
      <c r="G21" s="389">
        <v>0</v>
      </c>
      <c r="H21" s="389">
        <v>0</v>
      </c>
    </row>
    <row r="22" spans="1:8" ht="13.35" customHeight="1" x14ac:dyDescent="0.3">
      <c r="A22" s="258"/>
      <c r="B22" s="371" t="s">
        <v>510</v>
      </c>
      <c r="C22" s="132" t="s">
        <v>525</v>
      </c>
      <c r="D22" s="389">
        <v>0</v>
      </c>
      <c r="E22" s="389">
        <v>-205.07293817264133</v>
      </c>
      <c r="F22" s="389">
        <v>0</v>
      </c>
      <c r="G22" s="389">
        <v>0</v>
      </c>
      <c r="H22" s="389">
        <v>0</v>
      </c>
    </row>
    <row r="23" spans="1:8" ht="13.35" customHeight="1" x14ac:dyDescent="0.3">
      <c r="A23" s="258"/>
      <c r="B23" s="371" t="s">
        <v>511</v>
      </c>
      <c r="C23" s="132" t="s">
        <v>526</v>
      </c>
      <c r="D23" s="389">
        <v>0</v>
      </c>
      <c r="E23" s="389">
        <v>33.725999999999999</v>
      </c>
      <c r="F23" s="389">
        <v>40.396799999999999</v>
      </c>
      <c r="G23" s="389">
        <v>0</v>
      </c>
      <c r="H23" s="389">
        <v>0</v>
      </c>
    </row>
    <row r="24" spans="1:8" ht="13.35" customHeight="1" x14ac:dyDescent="0.3">
      <c r="A24" s="258"/>
      <c r="B24" s="371" t="s">
        <v>512</v>
      </c>
      <c r="C24" s="132" t="s">
        <v>527</v>
      </c>
      <c r="D24" s="389">
        <v>0</v>
      </c>
      <c r="E24" s="389">
        <v>19.922000000000001</v>
      </c>
      <c r="F24" s="389">
        <v>0</v>
      </c>
      <c r="G24" s="389">
        <v>0</v>
      </c>
      <c r="H24" s="389">
        <v>0</v>
      </c>
    </row>
    <row r="25" spans="1:8" ht="13.35" customHeight="1" x14ac:dyDescent="0.3">
      <c r="A25" s="258"/>
      <c r="B25" s="371" t="s">
        <v>513</v>
      </c>
      <c r="C25" s="132" t="s">
        <v>528</v>
      </c>
      <c r="D25" s="389">
        <v>0</v>
      </c>
      <c r="E25" s="389">
        <v>20.650731897102915</v>
      </c>
      <c r="F25" s="389">
        <v>0</v>
      </c>
      <c r="G25" s="389">
        <v>0</v>
      </c>
      <c r="H25" s="389">
        <v>0</v>
      </c>
    </row>
    <row r="26" spans="1:8" ht="13.35" customHeight="1" x14ac:dyDescent="0.3">
      <c r="A26" s="258"/>
      <c r="B26" s="371" t="s">
        <v>514</v>
      </c>
      <c r="C26" s="132" t="s">
        <v>529</v>
      </c>
      <c r="D26" s="389">
        <v>0</v>
      </c>
      <c r="E26" s="389">
        <v>20.192</v>
      </c>
      <c r="F26" s="389">
        <v>0</v>
      </c>
      <c r="G26" s="389">
        <v>0</v>
      </c>
      <c r="H26" s="389">
        <v>0</v>
      </c>
    </row>
    <row r="27" spans="1:8" ht="13.35" customHeight="1" x14ac:dyDescent="0.3">
      <c r="A27" s="258"/>
      <c r="B27" s="371" t="s">
        <v>515</v>
      </c>
      <c r="C27" s="132" t="s">
        <v>530</v>
      </c>
      <c r="D27" s="389">
        <v>0</v>
      </c>
      <c r="E27" s="389">
        <v>0</v>
      </c>
      <c r="F27" s="389">
        <v>-15.082000000000001</v>
      </c>
      <c r="G27" s="389">
        <v>0</v>
      </c>
      <c r="H27" s="389">
        <v>0</v>
      </c>
    </row>
    <row r="28" spans="1:8" ht="13.35" customHeight="1" x14ac:dyDescent="0.3">
      <c r="A28" s="258"/>
      <c r="B28" s="371" t="s">
        <v>516</v>
      </c>
      <c r="C28" s="132" t="s">
        <v>623</v>
      </c>
      <c r="D28" s="389">
        <v>0</v>
      </c>
      <c r="E28" s="389">
        <v>36.463000000000001</v>
      </c>
      <c r="F28" s="389">
        <v>0</v>
      </c>
      <c r="G28" s="389">
        <v>0</v>
      </c>
      <c r="H28" s="389">
        <v>0</v>
      </c>
    </row>
    <row r="29" spans="1:8" ht="13.35" customHeight="1" x14ac:dyDescent="0.3">
      <c r="A29" s="258"/>
      <c r="B29" s="371" t="s">
        <v>517</v>
      </c>
      <c r="C29" s="132" t="s">
        <v>580</v>
      </c>
      <c r="D29" s="389">
        <v>0</v>
      </c>
      <c r="E29" s="389">
        <v>-13</v>
      </c>
      <c r="F29" s="389">
        <v>-14</v>
      </c>
      <c r="G29" s="389">
        <v>0</v>
      </c>
      <c r="H29" s="389">
        <v>0</v>
      </c>
    </row>
    <row r="30" spans="1:8" ht="13.35" customHeight="1" x14ac:dyDescent="0.3">
      <c r="A30" s="258"/>
      <c r="B30" s="371" t="s">
        <v>518</v>
      </c>
      <c r="C30" s="132" t="s">
        <v>531</v>
      </c>
      <c r="D30" s="389">
        <v>0</v>
      </c>
      <c r="E30" s="389">
        <v>-24.477704999999997</v>
      </c>
      <c r="F30" s="389">
        <v>24.477704999999997</v>
      </c>
      <c r="G30" s="389">
        <v>0</v>
      </c>
      <c r="H30" s="389">
        <v>0</v>
      </c>
    </row>
    <row r="31" spans="1:8" ht="13.35" customHeight="1" thickBot="1" x14ac:dyDescent="0.35">
      <c r="A31" s="258"/>
      <c r="B31" s="372" t="s">
        <v>519</v>
      </c>
      <c r="C31" s="252" t="s">
        <v>469</v>
      </c>
      <c r="D31" s="390">
        <v>0</v>
      </c>
      <c r="E31" s="390">
        <v>0</v>
      </c>
      <c r="F31" s="390">
        <v>-17.395</v>
      </c>
      <c r="G31" s="390">
        <v>0</v>
      </c>
      <c r="H31" s="390">
        <v>0</v>
      </c>
    </row>
    <row r="32" spans="1:8" ht="13.35" customHeight="1" thickBot="1" x14ac:dyDescent="0.35">
      <c r="B32" s="367" t="s">
        <v>31</v>
      </c>
      <c r="C32" s="367" t="s">
        <v>178</v>
      </c>
      <c r="D32" s="391">
        <f>SUM(D7:D31)</f>
        <v>254.0447774946991</v>
      </c>
      <c r="E32" s="391">
        <f t="shared" ref="E32:H32" si="0">SUM(E7:E31)</f>
        <v>-23.387464880408583</v>
      </c>
      <c r="F32" s="391">
        <f t="shared" si="0"/>
        <v>-342.10537374765693</v>
      </c>
      <c r="G32" s="391">
        <f t="shared" si="0"/>
        <v>-4.8969446666450711</v>
      </c>
      <c r="H32" s="201">
        <f t="shared" si="0"/>
        <v>0</v>
      </c>
    </row>
    <row r="33" spans="2:14" ht="12" customHeight="1" x14ac:dyDescent="0.3">
      <c r="B33" s="378" t="s">
        <v>611</v>
      </c>
      <c r="C33" s="378" t="s">
        <v>613</v>
      </c>
      <c r="D33" s="381"/>
      <c r="E33" s="381"/>
      <c r="F33" s="380"/>
      <c r="G33" s="380"/>
      <c r="H33" s="384" t="s">
        <v>615</v>
      </c>
    </row>
    <row r="34" spans="2:14" ht="20.399999999999999" x14ac:dyDescent="0.3">
      <c r="B34" s="382" t="s">
        <v>612</v>
      </c>
      <c r="C34" s="382" t="s">
        <v>614</v>
      </c>
      <c r="D34" s="381"/>
      <c r="E34" s="381"/>
      <c r="F34" s="380"/>
      <c r="G34" s="380"/>
      <c r="H34" s="383" t="s">
        <v>616</v>
      </c>
    </row>
    <row r="35" spans="2:14" ht="13.35" customHeight="1" x14ac:dyDescent="0.3">
      <c r="B35" s="382" t="s">
        <v>609</v>
      </c>
      <c r="C35" s="382" t="s">
        <v>610</v>
      </c>
      <c r="D35" s="381"/>
      <c r="E35" s="381"/>
      <c r="F35" s="380"/>
      <c r="G35" s="380"/>
      <c r="H35" s="383"/>
    </row>
    <row r="36" spans="2:14" ht="13.35" customHeight="1" x14ac:dyDescent="0.3">
      <c r="B36" s="379"/>
      <c r="C36" s="379"/>
      <c r="D36" s="381"/>
      <c r="E36" s="381"/>
      <c r="F36" s="380"/>
      <c r="G36" s="380"/>
      <c r="H36" s="380"/>
    </row>
    <row r="37" spans="2:14" ht="13.35" customHeight="1" x14ac:dyDescent="0.3"/>
    <row r="38" spans="2:14" ht="13.35" customHeight="1" thickBot="1" x14ac:dyDescent="0.35">
      <c r="B38" s="40" t="s">
        <v>593</v>
      </c>
      <c r="C38" s="40"/>
    </row>
    <row r="39" spans="2:14" ht="13.8" thickBot="1" x14ac:dyDescent="0.35">
      <c r="B39" s="361" t="s">
        <v>171</v>
      </c>
      <c r="C39" s="361"/>
      <c r="D39" s="361">
        <v>2022</v>
      </c>
      <c r="E39" s="361">
        <v>2023</v>
      </c>
      <c r="F39" s="361">
        <v>2024</v>
      </c>
      <c r="G39" s="361">
        <v>2025</v>
      </c>
      <c r="H39" s="361">
        <v>2026</v>
      </c>
    </row>
    <row r="40" spans="2:14" x14ac:dyDescent="0.3">
      <c r="B40" s="32" t="s">
        <v>299</v>
      </c>
      <c r="C40" s="132" t="s">
        <v>309</v>
      </c>
      <c r="D40" s="368">
        <v>2.0157474774726936</v>
      </c>
      <c r="E40" s="368">
        <v>15.716342059099361</v>
      </c>
      <c r="F40" s="368">
        <v>-17.904241662001468</v>
      </c>
      <c r="G40" s="368">
        <v>-1.7426922102604721</v>
      </c>
      <c r="H40" s="368">
        <v>0</v>
      </c>
      <c r="J40" s="125"/>
      <c r="K40" s="125"/>
      <c r="L40" s="125"/>
      <c r="M40" s="125"/>
      <c r="N40" s="125"/>
    </row>
    <row r="41" spans="2:14" x14ac:dyDescent="0.3">
      <c r="B41" s="258" t="s">
        <v>532</v>
      </c>
      <c r="C41" s="132" t="s">
        <v>557</v>
      </c>
      <c r="D41" s="368">
        <v>-17.641372999999994</v>
      </c>
      <c r="E41" s="368">
        <v>0</v>
      </c>
      <c r="F41" s="368">
        <v>0</v>
      </c>
      <c r="G41" s="368">
        <v>0</v>
      </c>
      <c r="H41" s="368">
        <v>0</v>
      </c>
      <c r="J41" s="125"/>
      <c r="K41" s="125"/>
      <c r="L41" s="125"/>
      <c r="M41" s="125"/>
      <c r="N41" s="125"/>
    </row>
    <row r="42" spans="2:14" x14ac:dyDescent="0.3">
      <c r="B42" s="258" t="s">
        <v>533</v>
      </c>
      <c r="C42" s="132" t="s">
        <v>310</v>
      </c>
      <c r="D42" s="368">
        <v>31</v>
      </c>
      <c r="E42" s="368">
        <v>-48</v>
      </c>
      <c r="F42" s="368">
        <v>1</v>
      </c>
      <c r="G42" s="368">
        <v>-7</v>
      </c>
      <c r="H42" s="368">
        <v>-14</v>
      </c>
      <c r="J42" s="125"/>
      <c r="K42" s="125"/>
      <c r="L42" s="125"/>
      <c r="M42" s="125"/>
      <c r="N42" s="125"/>
    </row>
    <row r="43" spans="2:14" x14ac:dyDescent="0.3">
      <c r="B43" s="258" t="s">
        <v>300</v>
      </c>
      <c r="C43" s="132" t="s">
        <v>311</v>
      </c>
      <c r="D43" s="368">
        <v>15.393611059999998</v>
      </c>
      <c r="E43" s="368">
        <v>0</v>
      </c>
      <c r="F43" s="368">
        <v>0</v>
      </c>
      <c r="G43" s="368">
        <v>0</v>
      </c>
      <c r="H43" s="368">
        <v>0</v>
      </c>
      <c r="J43" s="125"/>
      <c r="K43" s="125"/>
      <c r="L43" s="125"/>
      <c r="M43" s="125"/>
      <c r="N43" s="125"/>
    </row>
    <row r="44" spans="2:14" x14ac:dyDescent="0.3">
      <c r="B44" s="258" t="s">
        <v>534</v>
      </c>
      <c r="C44" s="132" t="s">
        <v>312</v>
      </c>
      <c r="D44" s="368">
        <v>-2263.4265549779184</v>
      </c>
      <c r="E44" s="368">
        <v>-541.1790000000002</v>
      </c>
      <c r="F44" s="368">
        <v>-155</v>
      </c>
      <c r="G44" s="368">
        <v>0</v>
      </c>
      <c r="H44" s="368">
        <v>0</v>
      </c>
      <c r="J44" s="125"/>
      <c r="K44" s="125"/>
      <c r="L44" s="125"/>
      <c r="M44" s="125"/>
      <c r="N44" s="125"/>
    </row>
    <row r="45" spans="2:14" x14ac:dyDescent="0.3">
      <c r="B45" s="258" t="s">
        <v>301</v>
      </c>
      <c r="C45" s="132" t="s">
        <v>313</v>
      </c>
      <c r="D45" s="368">
        <v>22.367891250000003</v>
      </c>
      <c r="E45" s="368">
        <v>-14.367891250000003</v>
      </c>
      <c r="F45" s="368">
        <v>0</v>
      </c>
      <c r="G45" s="368">
        <v>0</v>
      </c>
      <c r="H45" s="368">
        <v>0</v>
      </c>
      <c r="J45" s="125"/>
      <c r="K45" s="125"/>
      <c r="L45" s="125"/>
      <c r="M45" s="125"/>
      <c r="N45" s="125"/>
    </row>
    <row r="46" spans="2:14" x14ac:dyDescent="0.3">
      <c r="B46" s="258" t="s">
        <v>535</v>
      </c>
      <c r="C46" s="132" t="s">
        <v>314</v>
      </c>
      <c r="D46" s="368">
        <v>15.967677999999999</v>
      </c>
      <c r="E46" s="368">
        <v>0.34611899999999984</v>
      </c>
      <c r="F46" s="368">
        <v>0</v>
      </c>
      <c r="G46" s="368">
        <v>0</v>
      </c>
      <c r="H46" s="368">
        <v>0</v>
      </c>
      <c r="J46" s="125"/>
      <c r="K46" s="125"/>
      <c r="L46" s="125"/>
      <c r="M46" s="125"/>
      <c r="N46" s="125"/>
    </row>
    <row r="47" spans="2:14" x14ac:dyDescent="0.3">
      <c r="B47" s="258" t="s">
        <v>536</v>
      </c>
      <c r="C47" s="132" t="s">
        <v>558</v>
      </c>
      <c r="D47" s="368">
        <v>0</v>
      </c>
      <c r="E47" s="368">
        <v>0</v>
      </c>
      <c r="F47" s="368">
        <v>327.96099163836806</v>
      </c>
      <c r="G47" s="368">
        <v>0</v>
      </c>
      <c r="H47" s="368">
        <v>0</v>
      </c>
      <c r="J47" s="125"/>
      <c r="K47" s="125"/>
      <c r="L47" s="125"/>
      <c r="M47" s="125"/>
      <c r="N47" s="125"/>
    </row>
    <row r="48" spans="2:14" x14ac:dyDescent="0.3">
      <c r="B48" s="258" t="s">
        <v>537</v>
      </c>
      <c r="C48" s="132" t="s">
        <v>559</v>
      </c>
      <c r="D48" s="368">
        <v>34.430480999999986</v>
      </c>
      <c r="E48" s="368">
        <v>190.75365299999999</v>
      </c>
      <c r="F48" s="368">
        <v>234.93719200000001</v>
      </c>
      <c r="G48" s="368">
        <v>731.08791300000007</v>
      </c>
      <c r="H48" s="368">
        <v>-1003.3667780000001</v>
      </c>
      <c r="J48" s="125"/>
      <c r="K48" s="125"/>
      <c r="L48" s="125"/>
      <c r="M48" s="125"/>
      <c r="N48" s="125"/>
    </row>
    <row r="49" spans="2:14" x14ac:dyDescent="0.3">
      <c r="B49" s="258" t="s">
        <v>302</v>
      </c>
      <c r="C49" s="132" t="s">
        <v>560</v>
      </c>
      <c r="D49" s="368">
        <v>10.903</v>
      </c>
      <c r="E49" s="368">
        <v>14.254</v>
      </c>
      <c r="F49" s="368">
        <v>0</v>
      </c>
      <c r="G49" s="368">
        <v>0</v>
      </c>
      <c r="H49" s="368">
        <v>0</v>
      </c>
      <c r="J49" s="394"/>
      <c r="K49" s="394"/>
      <c r="L49" s="394"/>
      <c r="M49" s="394"/>
      <c r="N49" s="394"/>
    </row>
    <row r="50" spans="2:14" x14ac:dyDescent="0.3">
      <c r="B50" s="258" t="s">
        <v>303</v>
      </c>
      <c r="C50" s="132" t="s">
        <v>316</v>
      </c>
      <c r="D50" s="368">
        <v>153</v>
      </c>
      <c r="E50" s="368">
        <v>-52</v>
      </c>
      <c r="F50" s="368">
        <v>-91</v>
      </c>
      <c r="G50" s="368">
        <v>-10</v>
      </c>
      <c r="H50" s="368">
        <v>0</v>
      </c>
      <c r="J50" s="394"/>
      <c r="K50" s="394"/>
      <c r="L50" s="394"/>
      <c r="M50" s="394"/>
      <c r="N50" s="394"/>
    </row>
    <row r="51" spans="2:14" x14ac:dyDescent="0.3">
      <c r="B51" s="258" t="s">
        <v>538</v>
      </c>
      <c r="C51" s="251" t="s">
        <v>321</v>
      </c>
      <c r="D51" s="368">
        <v>0</v>
      </c>
      <c r="E51" s="368">
        <v>282.37216892466654</v>
      </c>
      <c r="F51" s="368">
        <v>0</v>
      </c>
      <c r="G51" s="368">
        <v>0</v>
      </c>
      <c r="H51" s="368">
        <v>0</v>
      </c>
      <c r="J51" s="125"/>
      <c r="K51" s="125"/>
      <c r="L51" s="125"/>
      <c r="M51" s="125"/>
      <c r="N51" s="125"/>
    </row>
    <row r="52" spans="2:14" x14ac:dyDescent="0.3">
      <c r="B52" s="258" t="s">
        <v>539</v>
      </c>
      <c r="C52" s="251" t="s">
        <v>561</v>
      </c>
      <c r="D52" s="368">
        <v>0</v>
      </c>
      <c r="E52" s="368">
        <v>13</v>
      </c>
      <c r="F52" s="368">
        <v>0</v>
      </c>
      <c r="G52" s="368">
        <v>0</v>
      </c>
      <c r="H52" s="368">
        <v>0</v>
      </c>
      <c r="J52" s="125"/>
      <c r="K52" s="125"/>
      <c r="L52" s="125"/>
      <c r="M52" s="125"/>
      <c r="N52" s="125"/>
    </row>
    <row r="53" spans="2:14" x14ac:dyDescent="0.3">
      <c r="B53" s="258" t="s">
        <v>304</v>
      </c>
      <c r="C53" s="251" t="s">
        <v>318</v>
      </c>
      <c r="D53" s="368">
        <v>23.744679999999999</v>
      </c>
      <c r="E53" s="368">
        <v>373.25531999999998</v>
      </c>
      <c r="F53" s="368">
        <v>0</v>
      </c>
      <c r="G53" s="368">
        <v>0</v>
      </c>
      <c r="H53" s="368">
        <v>0</v>
      </c>
      <c r="J53" s="125"/>
      <c r="K53" s="125"/>
      <c r="L53" s="125"/>
      <c r="M53" s="125"/>
      <c r="N53" s="125"/>
    </row>
    <row r="54" spans="2:14" x14ac:dyDescent="0.3">
      <c r="B54" s="258" t="s">
        <v>298</v>
      </c>
      <c r="C54" s="251" t="s">
        <v>308</v>
      </c>
      <c r="D54" s="368">
        <v>72.622826331856231</v>
      </c>
      <c r="E54" s="368">
        <v>0</v>
      </c>
      <c r="F54" s="368">
        <v>0</v>
      </c>
      <c r="G54" s="368">
        <v>0</v>
      </c>
      <c r="H54" s="368">
        <v>0</v>
      </c>
      <c r="J54" s="125"/>
      <c r="K54" s="125"/>
      <c r="L54" s="125"/>
      <c r="M54" s="125"/>
      <c r="N54" s="125"/>
    </row>
    <row r="55" spans="2:14" x14ac:dyDescent="0.3">
      <c r="B55" s="258" t="s">
        <v>540</v>
      </c>
      <c r="C55" s="251" t="s">
        <v>562</v>
      </c>
      <c r="D55" s="368">
        <v>0</v>
      </c>
      <c r="E55" s="368">
        <v>549.70299999999997</v>
      </c>
      <c r="F55" s="368">
        <v>0</v>
      </c>
      <c r="G55" s="368">
        <v>-241.11300000000006</v>
      </c>
      <c r="H55" s="368">
        <v>0</v>
      </c>
      <c r="J55" s="125"/>
      <c r="K55" s="125"/>
      <c r="L55" s="125"/>
      <c r="M55" s="125"/>
      <c r="N55" s="125"/>
    </row>
    <row r="56" spans="2:14" x14ac:dyDescent="0.3">
      <c r="B56" s="258" t="s">
        <v>305</v>
      </c>
      <c r="C56" s="251" t="s">
        <v>320</v>
      </c>
      <c r="D56" s="368">
        <v>22.894461999999997</v>
      </c>
      <c r="E56" s="368">
        <v>-22.894461999999997</v>
      </c>
      <c r="F56" s="368">
        <v>0</v>
      </c>
      <c r="G56" s="368">
        <v>0</v>
      </c>
      <c r="H56" s="368">
        <v>0</v>
      </c>
      <c r="J56" s="125"/>
      <c r="K56" s="125"/>
      <c r="L56" s="125"/>
      <c r="M56" s="125"/>
      <c r="N56" s="125"/>
    </row>
    <row r="57" spans="2:14" x14ac:dyDescent="0.3">
      <c r="B57" s="258" t="s">
        <v>306</v>
      </c>
      <c r="C57" s="251" t="s">
        <v>319</v>
      </c>
      <c r="D57" s="368">
        <v>83.094939999999994</v>
      </c>
      <c r="E57" s="368">
        <v>-83.094939999999994</v>
      </c>
      <c r="F57" s="368">
        <v>0</v>
      </c>
      <c r="G57" s="368">
        <v>0</v>
      </c>
      <c r="H57" s="368">
        <v>0</v>
      </c>
      <c r="J57" s="125"/>
      <c r="K57" s="125"/>
      <c r="L57" s="125"/>
      <c r="M57" s="125"/>
      <c r="N57" s="125"/>
    </row>
    <row r="58" spans="2:14" x14ac:dyDescent="0.3">
      <c r="B58" s="258" t="s">
        <v>541</v>
      </c>
      <c r="C58" s="251" t="s">
        <v>315</v>
      </c>
      <c r="D58" s="368">
        <v>20</v>
      </c>
      <c r="E58" s="368">
        <v>-20</v>
      </c>
      <c r="F58" s="368">
        <v>0</v>
      </c>
      <c r="G58" s="368">
        <v>0</v>
      </c>
      <c r="H58" s="368">
        <v>0</v>
      </c>
      <c r="J58" s="125"/>
      <c r="K58" s="125"/>
      <c r="L58" s="125"/>
      <c r="M58" s="125"/>
      <c r="N58" s="125"/>
    </row>
    <row r="59" spans="2:14" x14ac:dyDescent="0.3">
      <c r="B59" s="258" t="s">
        <v>307</v>
      </c>
      <c r="C59" s="251" t="s">
        <v>322</v>
      </c>
      <c r="D59" s="368">
        <v>208</v>
      </c>
      <c r="E59" s="368">
        <v>-208</v>
      </c>
      <c r="F59" s="368">
        <v>0</v>
      </c>
      <c r="G59" s="368">
        <v>0</v>
      </c>
      <c r="H59" s="368">
        <v>0</v>
      </c>
      <c r="J59" s="125"/>
      <c r="K59" s="125"/>
      <c r="L59" s="125"/>
      <c r="M59" s="125"/>
      <c r="N59" s="125"/>
    </row>
    <row r="60" spans="2:14" x14ac:dyDescent="0.3">
      <c r="B60" s="258" t="s">
        <v>542</v>
      </c>
      <c r="C60" s="251" t="s">
        <v>563</v>
      </c>
      <c r="D60" s="368">
        <v>127.9</v>
      </c>
      <c r="E60" s="368">
        <v>1710.1</v>
      </c>
      <c r="F60" s="368">
        <v>-1138</v>
      </c>
      <c r="G60" s="368">
        <v>0</v>
      </c>
      <c r="H60" s="368">
        <v>0</v>
      </c>
      <c r="J60" s="125"/>
      <c r="K60" s="125"/>
      <c r="L60" s="125"/>
      <c r="M60" s="125"/>
      <c r="N60" s="125"/>
    </row>
    <row r="61" spans="2:14" x14ac:dyDescent="0.3">
      <c r="B61" s="258" t="s">
        <v>543</v>
      </c>
      <c r="C61" s="251" t="s">
        <v>317</v>
      </c>
      <c r="D61" s="368">
        <v>25.4</v>
      </c>
      <c r="E61" s="368">
        <v>397.69661200000002</v>
      </c>
      <c r="F61" s="368">
        <v>-25.400000000000006</v>
      </c>
      <c r="G61" s="368">
        <v>0</v>
      </c>
      <c r="H61" s="368">
        <v>-39.159999999999997</v>
      </c>
      <c r="J61" s="125"/>
      <c r="K61" s="125"/>
      <c r="L61" s="125"/>
      <c r="M61" s="125"/>
      <c r="N61" s="125"/>
    </row>
    <row r="62" spans="2:14" x14ac:dyDescent="0.3">
      <c r="B62" s="258" t="s">
        <v>544</v>
      </c>
      <c r="C62" s="251" t="s">
        <v>564</v>
      </c>
      <c r="D62" s="368">
        <v>0</v>
      </c>
      <c r="E62" s="368">
        <v>190</v>
      </c>
      <c r="F62" s="368">
        <v>0</v>
      </c>
      <c r="G62" s="368">
        <v>0</v>
      </c>
      <c r="H62" s="368">
        <v>0</v>
      </c>
      <c r="J62" s="125"/>
      <c r="K62" s="125"/>
      <c r="L62" s="125"/>
      <c r="M62" s="125"/>
      <c r="N62" s="125"/>
    </row>
    <row r="63" spans="2:14" x14ac:dyDescent="0.3">
      <c r="B63" s="258" t="s">
        <v>545</v>
      </c>
      <c r="C63" s="251" t="s">
        <v>565</v>
      </c>
      <c r="D63" s="368">
        <v>0</v>
      </c>
      <c r="E63" s="368">
        <v>59.866039999999998</v>
      </c>
      <c r="F63" s="368">
        <v>-59.866039999999998</v>
      </c>
      <c r="G63" s="368">
        <v>0</v>
      </c>
      <c r="H63" s="368">
        <v>0</v>
      </c>
      <c r="J63" s="125"/>
      <c r="K63" s="125"/>
      <c r="L63" s="125"/>
      <c r="M63" s="125"/>
      <c r="N63" s="125"/>
    </row>
    <row r="64" spans="2:14" x14ac:dyDescent="0.3">
      <c r="B64" s="258" t="s">
        <v>546</v>
      </c>
      <c r="C64" s="251" t="s">
        <v>566</v>
      </c>
      <c r="D64" s="368">
        <v>0</v>
      </c>
      <c r="E64" s="368">
        <v>33.017000000000003</v>
      </c>
      <c r="F64" s="368">
        <v>0</v>
      </c>
      <c r="G64" s="368">
        <v>-13.055999999999999</v>
      </c>
      <c r="H64" s="368">
        <v>0</v>
      </c>
      <c r="J64" s="125"/>
      <c r="K64" s="125"/>
      <c r="L64" s="125"/>
      <c r="M64" s="125"/>
      <c r="N64" s="125"/>
    </row>
    <row r="65" spans="2:14" x14ac:dyDescent="0.3">
      <c r="B65" s="258" t="s">
        <v>547</v>
      </c>
      <c r="C65" s="132" t="s">
        <v>567</v>
      </c>
      <c r="D65" s="368">
        <v>0</v>
      </c>
      <c r="E65" s="368">
        <v>68.048207000000005</v>
      </c>
      <c r="F65" s="368">
        <v>2.0599710000000186</v>
      </c>
      <c r="G65" s="368">
        <v>0</v>
      </c>
      <c r="H65" s="368">
        <v>0</v>
      </c>
      <c r="J65" s="125"/>
      <c r="K65" s="125"/>
      <c r="L65" s="125"/>
      <c r="M65" s="125"/>
      <c r="N65" s="125"/>
    </row>
    <row r="66" spans="2:14" x14ac:dyDescent="0.3">
      <c r="B66" s="258" t="s">
        <v>401</v>
      </c>
      <c r="C66" s="132" t="s">
        <v>568</v>
      </c>
      <c r="D66" s="368">
        <v>0</v>
      </c>
      <c r="E66" s="368">
        <v>100.3</v>
      </c>
      <c r="F66" s="368">
        <v>106.7</v>
      </c>
      <c r="G66" s="368">
        <v>0</v>
      </c>
      <c r="H66" s="368">
        <v>0</v>
      </c>
      <c r="J66" s="125"/>
      <c r="K66" s="125"/>
      <c r="L66" s="125"/>
      <c r="M66" s="125"/>
      <c r="N66" s="125"/>
    </row>
    <row r="67" spans="2:14" x14ac:dyDescent="0.3">
      <c r="B67" s="258" t="s">
        <v>548</v>
      </c>
      <c r="C67" s="132" t="s">
        <v>569</v>
      </c>
      <c r="D67" s="368">
        <v>58</v>
      </c>
      <c r="E67" s="368">
        <v>17</v>
      </c>
      <c r="F67" s="368">
        <v>39.399795999999995</v>
      </c>
      <c r="G67" s="368">
        <v>63.510539000000009</v>
      </c>
      <c r="H67" s="368">
        <v>-63.753635000000003</v>
      </c>
      <c r="J67" s="125"/>
      <c r="K67" s="125"/>
      <c r="L67" s="125"/>
      <c r="M67" s="125"/>
      <c r="N67" s="125"/>
    </row>
    <row r="68" spans="2:14" x14ac:dyDescent="0.3">
      <c r="B68" s="258" t="s">
        <v>400</v>
      </c>
      <c r="C68" s="132" t="s">
        <v>570</v>
      </c>
      <c r="D68" s="368">
        <v>0</v>
      </c>
      <c r="E68" s="368">
        <v>4.4968269999999997</v>
      </c>
      <c r="F68" s="368">
        <v>38.503173000000004</v>
      </c>
      <c r="G68" s="368">
        <v>0</v>
      </c>
      <c r="H68" s="368">
        <v>0</v>
      </c>
      <c r="J68" s="125"/>
      <c r="K68" s="125"/>
      <c r="L68" s="125"/>
      <c r="M68" s="125"/>
      <c r="N68" s="125"/>
    </row>
    <row r="69" spans="2:14" x14ac:dyDescent="0.3">
      <c r="B69" s="258" t="s">
        <v>549</v>
      </c>
      <c r="C69" s="133" t="s">
        <v>571</v>
      </c>
      <c r="D69" s="369">
        <v>0</v>
      </c>
      <c r="E69" s="369">
        <v>523.5658115</v>
      </c>
      <c r="F69" s="369">
        <v>150.08305905728415</v>
      </c>
      <c r="G69" s="369">
        <v>0</v>
      </c>
      <c r="H69" s="369">
        <v>0</v>
      </c>
      <c r="J69" s="125"/>
      <c r="K69" s="125"/>
      <c r="L69" s="125"/>
      <c r="M69" s="125"/>
      <c r="N69" s="125"/>
    </row>
    <row r="70" spans="2:14" x14ac:dyDescent="0.3">
      <c r="B70" s="258" t="s">
        <v>396</v>
      </c>
      <c r="C70" s="133" t="s">
        <v>572</v>
      </c>
      <c r="D70" s="369">
        <v>0</v>
      </c>
      <c r="E70" s="369">
        <v>39.110202999999998</v>
      </c>
      <c r="F70" s="369">
        <v>28.889797000000002</v>
      </c>
      <c r="G70" s="369">
        <v>0</v>
      </c>
      <c r="H70" s="369">
        <v>0</v>
      </c>
      <c r="J70" s="125"/>
      <c r="K70" s="125"/>
      <c r="L70" s="125"/>
      <c r="M70" s="125"/>
      <c r="N70" s="125"/>
    </row>
    <row r="71" spans="2:14" x14ac:dyDescent="0.3">
      <c r="B71" s="258" t="s">
        <v>550</v>
      </c>
      <c r="C71" s="133" t="s">
        <v>573</v>
      </c>
      <c r="D71" s="369">
        <v>0</v>
      </c>
      <c r="E71" s="369">
        <v>35.436824999999999</v>
      </c>
      <c r="F71" s="369">
        <v>0</v>
      </c>
      <c r="G71" s="369">
        <v>0</v>
      </c>
      <c r="H71" s="369">
        <v>0</v>
      </c>
      <c r="J71" s="125"/>
      <c r="K71" s="125"/>
      <c r="L71" s="125"/>
      <c r="M71" s="125"/>
      <c r="N71" s="125"/>
    </row>
    <row r="72" spans="2:14" x14ac:dyDescent="0.3">
      <c r="B72" s="258" t="s">
        <v>551</v>
      </c>
      <c r="C72" s="176" t="s">
        <v>574</v>
      </c>
      <c r="D72" s="369">
        <v>0</v>
      </c>
      <c r="E72" s="369">
        <v>22</v>
      </c>
      <c r="F72" s="369">
        <v>113.80000000000001</v>
      </c>
      <c r="G72" s="369">
        <v>0</v>
      </c>
      <c r="H72" s="369">
        <v>0</v>
      </c>
      <c r="I72" s="35"/>
      <c r="J72" s="392"/>
      <c r="K72" s="125"/>
      <c r="L72" s="125"/>
      <c r="M72" s="125"/>
      <c r="N72" s="125"/>
    </row>
    <row r="73" spans="2:14" x14ac:dyDescent="0.3">
      <c r="B73" s="258" t="s">
        <v>552</v>
      </c>
      <c r="C73" s="133" t="s">
        <v>575</v>
      </c>
      <c r="D73" s="249">
        <v>0</v>
      </c>
      <c r="E73" s="249">
        <v>34.855125999999998</v>
      </c>
      <c r="F73" s="249">
        <v>0</v>
      </c>
      <c r="G73" s="249">
        <v>0</v>
      </c>
      <c r="H73" s="249">
        <v>0</v>
      </c>
      <c r="I73" s="35"/>
      <c r="J73" s="392"/>
      <c r="K73" s="125"/>
      <c r="L73" s="125"/>
      <c r="M73" s="125"/>
      <c r="N73" s="125"/>
    </row>
    <row r="74" spans="2:14" x14ac:dyDescent="0.3">
      <c r="B74" s="258" t="s">
        <v>553</v>
      </c>
      <c r="C74" s="133" t="s">
        <v>576</v>
      </c>
      <c r="D74" s="249">
        <v>0</v>
      </c>
      <c r="E74" s="249">
        <v>21.01</v>
      </c>
      <c r="F74" s="249">
        <v>0</v>
      </c>
      <c r="G74" s="249">
        <v>0</v>
      </c>
      <c r="H74" s="249">
        <v>0</v>
      </c>
      <c r="I74" s="35"/>
      <c r="J74" s="392"/>
      <c r="K74" s="125"/>
      <c r="L74" s="125"/>
      <c r="M74" s="125"/>
      <c r="N74" s="125"/>
    </row>
    <row r="75" spans="2:14" x14ac:dyDescent="0.3">
      <c r="B75" s="258" t="s">
        <v>554</v>
      </c>
      <c r="C75" s="133" t="s">
        <v>577</v>
      </c>
      <c r="D75" s="249">
        <v>0</v>
      </c>
      <c r="E75" s="249">
        <v>0</v>
      </c>
      <c r="F75" s="249">
        <v>115.89</v>
      </c>
      <c r="G75" s="249">
        <v>115.80999999999999</v>
      </c>
      <c r="H75" s="249">
        <v>50.300000000000011</v>
      </c>
      <c r="I75" s="35"/>
      <c r="J75" s="392"/>
      <c r="K75" s="125"/>
      <c r="L75" s="125"/>
      <c r="M75" s="125"/>
      <c r="N75" s="125"/>
    </row>
    <row r="76" spans="2:14" x14ac:dyDescent="0.3">
      <c r="B76" s="258" t="s">
        <v>555</v>
      </c>
      <c r="C76" s="133" t="s">
        <v>578</v>
      </c>
      <c r="D76" s="249">
        <v>0</v>
      </c>
      <c r="E76" s="249">
        <v>0</v>
      </c>
      <c r="F76" s="249">
        <v>47.311450000000001</v>
      </c>
      <c r="G76" s="249">
        <v>20.264580000000002</v>
      </c>
      <c r="H76" s="249">
        <v>20.099999999999994</v>
      </c>
      <c r="I76" s="35"/>
      <c r="J76" s="392"/>
      <c r="K76" s="125"/>
      <c r="L76" s="125"/>
      <c r="M76" s="125"/>
      <c r="N76" s="125"/>
    </row>
    <row r="77" spans="2:14" ht="13.8" thickBot="1" x14ac:dyDescent="0.35">
      <c r="B77" s="366" t="s">
        <v>556</v>
      </c>
      <c r="C77" s="252" t="s">
        <v>579</v>
      </c>
      <c r="D77" s="250">
        <v>0</v>
      </c>
      <c r="E77" s="250">
        <v>0</v>
      </c>
      <c r="F77" s="250">
        <v>49.117052000000001</v>
      </c>
      <c r="G77" s="250">
        <v>131.233757</v>
      </c>
      <c r="H77" s="250">
        <v>133.84854099999998</v>
      </c>
      <c r="I77" s="35"/>
      <c r="J77" s="392"/>
      <c r="K77" s="125"/>
      <c r="L77" s="125"/>
      <c r="M77" s="125"/>
      <c r="N77" s="125"/>
    </row>
    <row r="78" spans="2:14" ht="13.8" thickBot="1" x14ac:dyDescent="0.35">
      <c r="B78" s="367" t="s">
        <v>31</v>
      </c>
      <c r="C78" s="367" t="s">
        <v>178</v>
      </c>
      <c r="D78" s="370">
        <f>SUM(D40:D77)</f>
        <v>-1354.3326108585898</v>
      </c>
      <c r="E78" s="393">
        <f t="shared" ref="E78:H78" si="1">SUM(E40:E77)</f>
        <v>3706.3669612337658</v>
      </c>
      <c r="F78" s="393">
        <f t="shared" si="1"/>
        <v>-231.51779996634906</v>
      </c>
      <c r="G78" s="370">
        <f t="shared" si="1"/>
        <v>788.99509678973959</v>
      </c>
      <c r="H78" s="370">
        <f t="shared" si="1"/>
        <v>-916.03187200000036</v>
      </c>
      <c r="I78" s="35"/>
      <c r="J78" s="35"/>
    </row>
    <row r="79" spans="2:14" ht="12" customHeight="1" x14ac:dyDescent="0.3">
      <c r="B79" s="378" t="s">
        <v>611</v>
      </c>
      <c r="C79" s="378" t="s">
        <v>613</v>
      </c>
      <c r="D79" s="381"/>
      <c r="E79" s="381"/>
      <c r="F79" s="380"/>
      <c r="G79" s="380"/>
      <c r="H79" s="384" t="s">
        <v>615</v>
      </c>
      <c r="I79" s="35"/>
      <c r="J79" s="35"/>
    </row>
    <row r="80" spans="2:14" ht="20.399999999999999" x14ac:dyDescent="0.3">
      <c r="B80" s="382" t="s">
        <v>612</v>
      </c>
      <c r="C80" s="382" t="s">
        <v>614</v>
      </c>
      <c r="D80" s="381"/>
      <c r="E80" s="381"/>
      <c r="F80" s="380"/>
      <c r="G80" s="380"/>
      <c r="H80" s="383" t="s">
        <v>616</v>
      </c>
    </row>
    <row r="81" spans="2:8" x14ac:dyDescent="0.3">
      <c r="B81" s="382" t="s">
        <v>609</v>
      </c>
      <c r="C81" s="382" t="s">
        <v>610</v>
      </c>
      <c r="D81" s="381"/>
      <c r="E81" s="381"/>
      <c r="F81" s="380"/>
      <c r="G81" s="380"/>
      <c r="H81" s="38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19</vt:i4>
      </vt:variant>
      <vt:variant>
        <vt:lpstr>Pomenované rozsahy</vt:lpstr>
      </vt:variant>
      <vt:variant>
        <vt:i4>6</vt:i4>
      </vt:variant>
    </vt:vector>
  </HeadingPairs>
  <TitlesOfParts>
    <vt:vector size="25" baseType="lpstr">
      <vt:lpstr>Contents</vt:lpstr>
      <vt:lpstr>MMF_TABULKA</vt:lpstr>
      <vt:lpstr>Zhrnutie</vt:lpstr>
      <vt:lpstr>Tabuľka 1</vt:lpstr>
      <vt:lpstr>Graf 1+2</vt:lpstr>
      <vt:lpstr>Graf 3</vt:lpstr>
      <vt:lpstr>Graf 4+5</vt:lpstr>
      <vt:lpstr>Graf 6</vt:lpstr>
      <vt:lpstr>Graf 7</vt:lpstr>
      <vt:lpstr>Tabuľka 2</vt:lpstr>
      <vt:lpstr>Graf 8</vt:lpstr>
      <vt:lpstr>Graf 9</vt:lpstr>
      <vt:lpstr>Graf 10</vt:lpstr>
      <vt:lpstr>Graf 11</vt:lpstr>
      <vt:lpstr>Graf 12</vt:lpstr>
      <vt:lpstr>Tabuľka 3</vt:lpstr>
      <vt:lpstr>Tabuľka 4</vt:lpstr>
      <vt:lpstr>Tabuľka 5</vt:lpstr>
      <vt:lpstr>DRM &amp; DEM</vt:lpstr>
      <vt:lpstr>'Graf 7'!_Toc116467587</vt:lpstr>
      <vt:lpstr>'Tabuľka 2'!_Toc116561360</vt:lpstr>
      <vt:lpstr>'Graf 4+5'!_Toc116561390</vt:lpstr>
      <vt:lpstr>Zhrnutie!_Toc495423391</vt:lpstr>
      <vt:lpstr>'Tabuľka 4'!_Toc526688278</vt:lpstr>
      <vt:lpstr>'Tabuľka 5'!_Toc53500237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2023-10-27T09:32:44Z</dcterms:modified>
</cp:coreProperties>
</file>