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4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drawings/drawing15.xml" ContentType="application/vnd.openxmlformats-officedocument.drawingml.chartshapes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theme/themeOverride11.xml" ContentType="application/vnd.openxmlformats-officedocument.themeOverride+xml"/>
  <Override PartName="/xl/charts/chart35.xml" ContentType="application/vnd.openxmlformats-officedocument.drawingml.chart+xml"/>
  <Override PartName="/xl/theme/themeOverride12.xml" ContentType="application/vnd.openxmlformats-officedocument.themeOverrid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theme/themeOverride13.xml" ContentType="application/vnd.openxmlformats-officedocument.themeOverride+xml"/>
  <Override PartName="/xl/charts/chart37.xml" ContentType="application/vnd.openxmlformats-officedocument.drawingml.chart+xml"/>
  <Override PartName="/xl/theme/themeOverride14.xml" ContentType="application/vnd.openxmlformats-officedocument.themeOverrid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ml.chartshapes+xml"/>
  <Override PartName="/xl/charts/chart4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ml.chartshapes+xml"/>
  <Override PartName="/xl/charts/chart4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44.xml" ContentType="application/vnd.openxmlformats-officedocument.drawingml.chart+xml"/>
  <Override PartName="/xl/theme/themeOverride15.xml" ContentType="application/vnd.openxmlformats-officedocument.themeOverride+xml"/>
  <Override PartName="/xl/charts/chart45.xml" ContentType="application/vnd.openxmlformats-officedocument.drawingml.chart+xml"/>
  <Override PartName="/xl/theme/themeOverride16.xml" ContentType="application/vnd.openxmlformats-officedocument.themeOverride+xml"/>
  <Override PartName="/xl/charts/chart46.xml" ContentType="application/vnd.openxmlformats-officedocument.drawingml.chart+xml"/>
  <Override PartName="/xl/theme/themeOverride17.xml" ContentType="application/vnd.openxmlformats-officedocument.themeOverride+xml"/>
  <Override PartName="/xl/drawings/drawing34.xml" ContentType="application/vnd.openxmlformats-officedocument.drawingml.chartshapes+xml"/>
  <Override PartName="/xl/charts/chart47.xml" ContentType="application/vnd.openxmlformats-officedocument.drawingml.chart+xml"/>
  <Override PartName="/xl/theme/themeOverride18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48.xml" ContentType="application/vnd.openxmlformats-officedocument.drawingml.chart+xml"/>
  <Override PartName="/xl/theme/themeOverride19.xml" ContentType="application/vnd.openxmlformats-officedocument.themeOverride+xml"/>
  <Override PartName="/xl/charts/chart49.xml" ContentType="application/vnd.openxmlformats-officedocument.drawingml.chart+xml"/>
  <Override PartName="/xl/theme/themeOverride20.xml" ContentType="application/vnd.openxmlformats-officedocument.themeOverride+xml"/>
  <Override PartName="/xl/charts/chart50.xml" ContentType="application/vnd.openxmlformats-officedocument.drawingml.chart+xml"/>
  <Override PartName="/xl/theme/themeOverride21.xml" ContentType="application/vnd.openxmlformats-officedocument.themeOverride+xml"/>
  <Override PartName="/xl/charts/chart51.xml" ContentType="application/vnd.openxmlformats-officedocument.drawingml.chart+xml"/>
  <Override PartName="/xl/theme/themeOverride22.xml" ContentType="application/vnd.openxmlformats-officedocument.themeOverride+xml"/>
  <Override PartName="/xl/drawings/drawing37.xml" ContentType="application/vnd.openxmlformats-officedocument.drawing+xml"/>
  <Override PartName="/xl/charts/chart5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54.xml" ContentType="application/vnd.openxmlformats-officedocument.drawingml.chart+xml"/>
  <Override PartName="/xl/theme/themeOverride24.xml" ContentType="application/vnd.openxmlformats-officedocument.themeOverride+xml"/>
  <Override PartName="/xl/charts/chart55.xml" ContentType="application/vnd.openxmlformats-officedocument.drawingml.chart+xml"/>
  <Override PartName="/xl/theme/themeOverride25.xml" ContentType="application/vnd.openxmlformats-officedocument.themeOverrid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56.xml" ContentType="application/vnd.openxmlformats-officedocument.drawingml.chart+xml"/>
  <Override PartName="/xl/theme/themeOverride26.xml" ContentType="application/vnd.openxmlformats-officedocument.themeOverride+xml"/>
  <Override PartName="/xl/charts/chart57.xml" ContentType="application/vnd.openxmlformats-officedocument.drawingml.chart+xml"/>
  <Override PartName="/xl/theme/themeOverride27.xml" ContentType="application/vnd.openxmlformats-officedocument.themeOverrid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ento_zošit"/>
  <bookViews>
    <workbookView xWindow="0" yWindow="0" windowWidth="25200" windowHeight="11985" tabRatio="792"/>
  </bookViews>
  <sheets>
    <sheet name="Contents" sheetId="250" r:id="rId1"/>
    <sheet name="MMF_TABULKA" sheetId="193" r:id="rId2"/>
    <sheet name="Zhrnutie" sheetId="253" r:id="rId3"/>
    <sheet name="Graf 1+2" sheetId="210" r:id="rId4"/>
    <sheet name="Graf3+4" sheetId="251" r:id="rId5"/>
    <sheet name="Graf 5+6" sheetId="212" r:id="rId6"/>
    <sheet name="Tabuľka 1" sheetId="217" r:id="rId7"/>
    <sheet name="Graf 7+8" sheetId="213" r:id="rId8"/>
    <sheet name="Graf 9+10" sheetId="252" r:id="rId9"/>
    <sheet name="Graf 11+Tabuľka 2" sheetId="214" r:id="rId10"/>
    <sheet name="Tabuľka 3" sheetId="238" r:id="rId11"/>
    <sheet name="Tabuľka 4" sheetId="240" r:id="rId12"/>
    <sheet name="Graf 12" sheetId="225" r:id="rId13"/>
    <sheet name="Graf 13" sheetId="254" r:id="rId14"/>
    <sheet name="Graf 14" sheetId="255" r:id="rId15"/>
    <sheet name="Tabuľka 5 " sheetId="164" r:id="rId16"/>
    <sheet name="Graf 15+16" sheetId="256" r:id="rId17"/>
    <sheet name="Graf 17" sheetId="260" r:id="rId18"/>
    <sheet name="Graf 18" sheetId="261" r:id="rId19"/>
    <sheet name="Schéma 1" sheetId="267" r:id="rId20"/>
    <sheet name="Graf 19" sheetId="262" r:id="rId21"/>
    <sheet name="Graf 20" sheetId="264" r:id="rId22"/>
    <sheet name="Graf 21" sheetId="265" r:id="rId23"/>
    <sheet name="Tabuľka 6" sheetId="266" r:id="rId24"/>
    <sheet name="Graf 22 + 23" sheetId="258" r:id="rId25"/>
    <sheet name="Graf 24 + 25" sheetId="143" r:id="rId26"/>
    <sheet name="Graf 26 + 27" sheetId="168" r:id="rId27"/>
    <sheet name="Graf 28" sheetId="151" r:id="rId28"/>
    <sheet name="Tabuľka 7" sheetId="154" r:id="rId29"/>
    <sheet name="Tabuľka 8" sheetId="106" r:id="rId30"/>
    <sheet name="Tabuľka 9" sheetId="123" r:id="rId31"/>
    <sheet name="Tabuľka 10" sheetId="134" r:id="rId32"/>
    <sheet name="Tabuľka 11" sheetId="102" r:id="rId33"/>
    <sheet name="Tabuľka 12" sheetId="241" r:id="rId34"/>
    <sheet name="Tabuľka 13 " sheetId="223" r:id="rId35"/>
    <sheet name="Graf 29" sheetId="215" r:id="rId36"/>
    <sheet name="Tabuľka 14" sheetId="242" r:id="rId37"/>
    <sheet name="Tabuľka 15" sheetId="196" r:id="rId38"/>
    <sheet name="Tabuľka 16" sheetId="229" r:id="rId39"/>
    <sheet name="Tabuľka 17" sheetId="165" r:id="rId40"/>
    <sheet name="DRM" sheetId="203" r:id="rId41"/>
    <sheet name="Tab COVID" sheetId="220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A" localSheetId="17">#REF!</definedName>
    <definedName name="\A" localSheetId="22">#REF!</definedName>
    <definedName name="\A" localSheetId="26">#REF!</definedName>
    <definedName name="\A">#REF!</definedName>
    <definedName name="\B" localSheetId="12">#REF!</definedName>
    <definedName name="\B" localSheetId="17">#REF!</definedName>
    <definedName name="\B" localSheetId="22">#REF!</definedName>
    <definedName name="\B">#REF!</definedName>
    <definedName name="\C" localSheetId="12">#REF!</definedName>
    <definedName name="\C" localSheetId="17">#REF!</definedName>
    <definedName name="\C" localSheetId="22">#REF!</definedName>
    <definedName name="\C">#REF!</definedName>
    <definedName name="\D" localSheetId="17">#REF!</definedName>
    <definedName name="\D" localSheetId="22">#REF!</definedName>
    <definedName name="\D">#REF!</definedName>
    <definedName name="\E" localSheetId="17">#REF!</definedName>
    <definedName name="\E" localSheetId="22">#REF!</definedName>
    <definedName name="\E">#REF!</definedName>
    <definedName name="\F" localSheetId="17">#REF!</definedName>
    <definedName name="\F" localSheetId="22">#REF!</definedName>
    <definedName name="\F">#REF!</definedName>
    <definedName name="\G" localSheetId="17">#REF!</definedName>
    <definedName name="\G" localSheetId="22">#REF!</definedName>
    <definedName name="\G">#REF!</definedName>
    <definedName name="\H" localSheetId="17">#REF!</definedName>
    <definedName name="\H" localSheetId="22">#REF!</definedName>
    <definedName name="\H">#REF!</definedName>
    <definedName name="\I" localSheetId="17">#REF!</definedName>
    <definedName name="\I" localSheetId="22">#REF!</definedName>
    <definedName name="\I">#REF!</definedName>
    <definedName name="\J" localSheetId="17">#REF!</definedName>
    <definedName name="\J" localSheetId="22">#REF!</definedName>
    <definedName name="\J">#REF!</definedName>
    <definedName name="\K" localSheetId="17">#REF!</definedName>
    <definedName name="\K" localSheetId="22">#REF!</definedName>
    <definedName name="\K">#REF!</definedName>
    <definedName name="\L" localSheetId="17">#REF!</definedName>
    <definedName name="\L" localSheetId="22">#REF!</definedName>
    <definedName name="\L">#REF!</definedName>
    <definedName name="\M" localSheetId="17">#REF!</definedName>
    <definedName name="\M" localSheetId="22">#REF!</definedName>
    <definedName name="\M">#REF!</definedName>
    <definedName name="\N" localSheetId="17">#REF!</definedName>
    <definedName name="\N" localSheetId="22">#REF!</definedName>
    <definedName name="\N">#REF!</definedName>
    <definedName name="\O" localSheetId="17">#REF!</definedName>
    <definedName name="\O" localSheetId="22">#REF!</definedName>
    <definedName name="\O">#REF!</definedName>
    <definedName name="\P" localSheetId="17">#REF!</definedName>
    <definedName name="\P" localSheetId="22">#REF!</definedName>
    <definedName name="\P">#REF!</definedName>
    <definedName name="\Q" localSheetId="17">#REF!</definedName>
    <definedName name="\Q" localSheetId="22">#REF!</definedName>
    <definedName name="\Q">#REF!</definedName>
    <definedName name="\R" localSheetId="17">#REF!</definedName>
    <definedName name="\R" localSheetId="22">#REF!</definedName>
    <definedName name="\R">#REF!</definedName>
    <definedName name="\S" localSheetId="17">#REF!</definedName>
    <definedName name="\S" localSheetId="22">#REF!</definedName>
    <definedName name="\S">#REF!</definedName>
    <definedName name="\T" localSheetId="17">#REF!</definedName>
    <definedName name="\T" localSheetId="22">#REF!</definedName>
    <definedName name="\T">#REF!</definedName>
    <definedName name="\U" localSheetId="17">#REF!</definedName>
    <definedName name="\U" localSheetId="22">#REF!</definedName>
    <definedName name="\U">#REF!</definedName>
    <definedName name="\V" localSheetId="17">#REF!</definedName>
    <definedName name="\V" localSheetId="22">#REF!</definedName>
    <definedName name="\V">#REF!</definedName>
    <definedName name="\W" localSheetId="17">#REF!</definedName>
    <definedName name="\W" localSheetId="22">#REF!</definedName>
    <definedName name="\W">#REF!</definedName>
    <definedName name="\X" localSheetId="17">#REF!</definedName>
    <definedName name="\X" localSheetId="22">#REF!</definedName>
    <definedName name="\X">#REF!</definedName>
    <definedName name="\Y" localSheetId="17">#REF!</definedName>
    <definedName name="\Y" localSheetId="22">#REF!</definedName>
    <definedName name="\Y">#REF!</definedName>
    <definedName name="\Z" localSheetId="17">#REF!</definedName>
    <definedName name="\Z" localSheetId="22">#REF!</definedName>
    <definedName name="\Z">#REF!</definedName>
    <definedName name="_____BOP2" localSheetId="17">[1]BoP!#REF!</definedName>
    <definedName name="_____BOP2" localSheetId="22">[1]BoP!#REF!</definedName>
    <definedName name="_____BOP2">[1]BoP!#REF!</definedName>
    <definedName name="_____dat1" localSheetId="17">'[2]work Q real'!#REF!</definedName>
    <definedName name="_____dat1" localSheetId="22">'[2]work Q real'!#REF!</definedName>
    <definedName name="_____dat1">'[2]work Q real'!#REF!</definedName>
    <definedName name="_____EXP5" localSheetId="12">#REF!</definedName>
    <definedName name="_____EXP5" localSheetId="17">#REF!</definedName>
    <definedName name="_____EXP5" localSheetId="22">#REF!</definedName>
    <definedName name="_____EXP5">#REF!</definedName>
    <definedName name="_____EXP6" localSheetId="12">#REF!</definedName>
    <definedName name="_____EXP6" localSheetId="17">#REF!</definedName>
    <definedName name="_____EXP6" localSheetId="22">#REF!</definedName>
    <definedName name="_____EXP6">#REF!</definedName>
    <definedName name="_____EXP7" localSheetId="12">#REF!</definedName>
    <definedName name="_____EXP7" localSheetId="17">#REF!</definedName>
    <definedName name="_____EXP7" localSheetId="22">#REF!</definedName>
    <definedName name="_____EXP7">#REF!</definedName>
    <definedName name="_____EXP9" localSheetId="17">#REF!</definedName>
    <definedName name="_____EXP9" localSheetId="22">#REF!</definedName>
    <definedName name="_____EXP9">#REF!</definedName>
    <definedName name="_____IMP2" localSheetId="17">#REF!</definedName>
    <definedName name="_____IMP2" localSheetId="22">#REF!</definedName>
    <definedName name="_____IMP2">#REF!</definedName>
    <definedName name="_____IMP4" localSheetId="17">#REF!</definedName>
    <definedName name="_____IMP4" localSheetId="22">#REF!</definedName>
    <definedName name="_____IMP4">#REF!</definedName>
    <definedName name="_____IMP6" localSheetId="17">#REF!</definedName>
    <definedName name="_____IMP6" localSheetId="22">#REF!</definedName>
    <definedName name="_____IMP6">#REF!</definedName>
    <definedName name="_____IMP7" localSheetId="17">#REF!</definedName>
    <definedName name="_____IMP7" localSheetId="22">#REF!</definedName>
    <definedName name="_____IMP7">#REF!</definedName>
    <definedName name="_____MTS2" localSheetId="17">'[3]Annual Tables'!#REF!</definedName>
    <definedName name="_____MTS2" localSheetId="22">'[3]Annual Tables'!#REF!</definedName>
    <definedName name="_____MTS2">'[3]Annual Tables'!#REF!</definedName>
    <definedName name="_____PAG2" localSheetId="17">[3]Index!#REF!</definedName>
    <definedName name="_____PAG2" localSheetId="22">[3]Index!#REF!</definedName>
    <definedName name="_____PAG2">[3]Index!#REF!</definedName>
    <definedName name="_____PAG3" localSheetId="22">[3]Index!#REF!</definedName>
    <definedName name="_____PAG3">[3]Index!#REF!</definedName>
    <definedName name="_____PAG4" localSheetId="22">[3]Index!#REF!</definedName>
    <definedName name="_____PAG4">[3]Index!#REF!</definedName>
    <definedName name="_____PAG5" localSheetId="22">[3]Index!#REF!</definedName>
    <definedName name="_____PAG5">[3]Index!#REF!</definedName>
    <definedName name="_____PAG6" localSheetId="22">[3]Index!#REF!</definedName>
    <definedName name="_____PAG6">[3]Index!#REF!</definedName>
    <definedName name="_____RES2" localSheetId="22">[1]RES!#REF!</definedName>
    <definedName name="_____RES2">[1]RES!#REF!</definedName>
    <definedName name="_____TAB7" localSheetId="12">#REF!</definedName>
    <definedName name="_____TAB7" localSheetId="17">#REF!</definedName>
    <definedName name="_____TAB7" localSheetId="22">#REF!</definedName>
    <definedName name="_____TAB7">#REF!</definedName>
    <definedName name="____BOP1" localSheetId="12">#REF!</definedName>
    <definedName name="____BOP1" localSheetId="17">#REF!</definedName>
    <definedName name="____BOP1" localSheetId="22">#REF!</definedName>
    <definedName name="____BOP1">#REF!</definedName>
    <definedName name="____BOP2" localSheetId="12">[1]BoP!#REF!</definedName>
    <definedName name="____BOP2" localSheetId="17">[1]BoP!#REF!</definedName>
    <definedName name="____BOP2" localSheetId="22">[1]BoP!#REF!</definedName>
    <definedName name="____BOP2">[1]BoP!#REF!</definedName>
    <definedName name="____dat1" localSheetId="12">'[2]work Q real'!#REF!</definedName>
    <definedName name="____dat1" localSheetId="22">'[2]work Q real'!#REF!</definedName>
    <definedName name="____dat1">'[2]work Q real'!#REF!</definedName>
    <definedName name="____dat2" localSheetId="12">#REF!</definedName>
    <definedName name="____dat2" localSheetId="17">#REF!</definedName>
    <definedName name="____dat2" localSheetId="22">#REF!</definedName>
    <definedName name="____dat2">#REF!</definedName>
    <definedName name="____EXP5" localSheetId="12">#REF!</definedName>
    <definedName name="____EXP5" localSheetId="17">#REF!</definedName>
    <definedName name="____EXP5" localSheetId="22">#REF!</definedName>
    <definedName name="____EXP5">#REF!</definedName>
    <definedName name="____EXP6" localSheetId="12">#REF!</definedName>
    <definedName name="____EXP6" localSheetId="17">#REF!</definedName>
    <definedName name="____EXP6" localSheetId="22">#REF!</definedName>
    <definedName name="____EXP6">#REF!</definedName>
    <definedName name="____EXP7" localSheetId="17">#REF!</definedName>
    <definedName name="____EXP7" localSheetId="22">#REF!</definedName>
    <definedName name="____EXP7">#REF!</definedName>
    <definedName name="____EXP9" localSheetId="17">#REF!</definedName>
    <definedName name="____EXP9" localSheetId="22">#REF!</definedName>
    <definedName name="____EXP9">#REF!</definedName>
    <definedName name="____IMP10" localSheetId="17">#REF!</definedName>
    <definedName name="____IMP10" localSheetId="22">#REF!</definedName>
    <definedName name="____IMP10">#REF!</definedName>
    <definedName name="____IMP2" localSheetId="17">#REF!</definedName>
    <definedName name="____IMP2" localSheetId="22">#REF!</definedName>
    <definedName name="____IMP2">#REF!</definedName>
    <definedName name="____IMP4" localSheetId="17">#REF!</definedName>
    <definedName name="____IMP4" localSheetId="22">#REF!</definedName>
    <definedName name="____IMP4">#REF!</definedName>
    <definedName name="____IMP6" localSheetId="17">#REF!</definedName>
    <definedName name="____IMP6" localSheetId="22">#REF!</definedName>
    <definedName name="____IMP6">#REF!</definedName>
    <definedName name="____IMP7" localSheetId="17">#REF!</definedName>
    <definedName name="____IMP7" localSheetId="22">#REF!</definedName>
    <definedName name="____IMP7">#REF!</definedName>
    <definedName name="____IMP8" localSheetId="17">#REF!</definedName>
    <definedName name="____IMP8" localSheetId="22">#REF!</definedName>
    <definedName name="____IMP8">#REF!</definedName>
    <definedName name="____MTS2" localSheetId="17">'[3]Annual Tables'!#REF!</definedName>
    <definedName name="____MTS2" localSheetId="22">'[3]Annual Tables'!#REF!</definedName>
    <definedName name="____MTS2">'[3]Annual Tables'!#REF!</definedName>
    <definedName name="____OUT1" localSheetId="12">#REF!</definedName>
    <definedName name="____OUT1" localSheetId="17">#REF!</definedName>
    <definedName name="____OUT1" localSheetId="22">#REF!</definedName>
    <definedName name="____OUT1">#REF!</definedName>
    <definedName name="____OUT2" localSheetId="12">#REF!</definedName>
    <definedName name="____OUT2" localSheetId="17">#REF!</definedName>
    <definedName name="____OUT2" localSheetId="22">#REF!</definedName>
    <definedName name="____OUT2">#REF!</definedName>
    <definedName name="____PAG2" localSheetId="12">[3]Index!#REF!</definedName>
    <definedName name="____PAG2" localSheetId="17">[3]Index!#REF!</definedName>
    <definedName name="____PAG2" localSheetId="22">[3]Index!#REF!</definedName>
    <definedName name="____PAG2">[3]Index!#REF!</definedName>
    <definedName name="____PAG3" localSheetId="12">[3]Index!#REF!</definedName>
    <definedName name="____PAG3" localSheetId="22">[3]Index!#REF!</definedName>
    <definedName name="____PAG3">[3]Index!#REF!</definedName>
    <definedName name="____PAG4" localSheetId="22">[3]Index!#REF!</definedName>
    <definedName name="____PAG4">[3]Index!#REF!</definedName>
    <definedName name="____PAG5" localSheetId="22">[3]Index!#REF!</definedName>
    <definedName name="____PAG5">[3]Index!#REF!</definedName>
    <definedName name="____PAG6" localSheetId="22">[3]Index!#REF!</definedName>
    <definedName name="____PAG6">[3]Index!#REF!</definedName>
    <definedName name="____PAG7" localSheetId="12">#REF!</definedName>
    <definedName name="____PAG7" localSheetId="17">#REF!</definedName>
    <definedName name="____PAG7" localSheetId="22">#REF!</definedName>
    <definedName name="____PAG7">#REF!</definedName>
    <definedName name="____pro2001">[4]pro2001!$A$1:$B$72</definedName>
    <definedName name="____RES2" localSheetId="12">[1]RES!#REF!</definedName>
    <definedName name="____RES2" localSheetId="22">[1]RES!#REF!</definedName>
    <definedName name="____RES2">[1]RES!#REF!</definedName>
    <definedName name="____TAB1" localSheetId="12">#REF!</definedName>
    <definedName name="____TAB1" localSheetId="17">#REF!</definedName>
    <definedName name="____TAB1" localSheetId="22">#REF!</definedName>
    <definedName name="____TAB1">#REF!</definedName>
    <definedName name="____TAB10" localSheetId="12">#REF!</definedName>
    <definedName name="____TAB10" localSheetId="17">#REF!</definedName>
    <definedName name="____TAB10" localSheetId="22">#REF!</definedName>
    <definedName name="____TAB10">#REF!</definedName>
    <definedName name="____TAB12" localSheetId="12">#REF!</definedName>
    <definedName name="____TAB12" localSheetId="17">#REF!</definedName>
    <definedName name="____TAB12" localSheetId="22">#REF!</definedName>
    <definedName name="____TAB12">#REF!</definedName>
    <definedName name="____Tab19" localSheetId="17">#REF!</definedName>
    <definedName name="____Tab19" localSheetId="22">#REF!</definedName>
    <definedName name="____Tab19">#REF!</definedName>
    <definedName name="____TAB2" localSheetId="17">#REF!</definedName>
    <definedName name="____TAB2" localSheetId="22">#REF!</definedName>
    <definedName name="____TAB2">#REF!</definedName>
    <definedName name="____Tab20" localSheetId="17">#REF!</definedName>
    <definedName name="____Tab20" localSheetId="22">#REF!</definedName>
    <definedName name="____Tab20">#REF!</definedName>
    <definedName name="____Tab21" localSheetId="17">#REF!</definedName>
    <definedName name="____Tab21" localSheetId="22">#REF!</definedName>
    <definedName name="____Tab21">#REF!</definedName>
    <definedName name="____Tab22" localSheetId="17">#REF!</definedName>
    <definedName name="____Tab22" localSheetId="22">#REF!</definedName>
    <definedName name="____Tab22">#REF!</definedName>
    <definedName name="____Tab23" localSheetId="17">#REF!</definedName>
    <definedName name="____Tab23" localSheetId="22">#REF!</definedName>
    <definedName name="____Tab23">#REF!</definedName>
    <definedName name="____Tab24" localSheetId="17">#REF!</definedName>
    <definedName name="____Tab24" localSheetId="22">#REF!</definedName>
    <definedName name="____Tab24">#REF!</definedName>
    <definedName name="____Tab26" localSheetId="17">#REF!</definedName>
    <definedName name="____Tab26" localSheetId="22">#REF!</definedName>
    <definedName name="____Tab26">#REF!</definedName>
    <definedName name="____Tab27" localSheetId="17">#REF!</definedName>
    <definedName name="____Tab27" localSheetId="22">#REF!</definedName>
    <definedName name="____Tab27">#REF!</definedName>
    <definedName name="____Tab28" localSheetId="17">#REF!</definedName>
    <definedName name="____Tab28" localSheetId="22">#REF!</definedName>
    <definedName name="____Tab28">#REF!</definedName>
    <definedName name="____Tab29" localSheetId="17">#REF!</definedName>
    <definedName name="____Tab29" localSheetId="22">#REF!</definedName>
    <definedName name="____Tab29">#REF!</definedName>
    <definedName name="____TAB3" localSheetId="17">#REF!</definedName>
    <definedName name="____TAB3" localSheetId="22">#REF!</definedName>
    <definedName name="____TAB3">#REF!</definedName>
    <definedName name="____Tab30" localSheetId="17">#REF!</definedName>
    <definedName name="____Tab30" localSheetId="22">#REF!</definedName>
    <definedName name="____Tab30">#REF!</definedName>
    <definedName name="____Tab31" localSheetId="17">#REF!</definedName>
    <definedName name="____Tab31" localSheetId="22">#REF!</definedName>
    <definedName name="____Tab31">#REF!</definedName>
    <definedName name="____Tab32" localSheetId="17">#REF!</definedName>
    <definedName name="____Tab32" localSheetId="22">#REF!</definedName>
    <definedName name="____Tab32">#REF!</definedName>
    <definedName name="____Tab33" localSheetId="17">#REF!</definedName>
    <definedName name="____Tab33" localSheetId="22">#REF!</definedName>
    <definedName name="____Tab33">#REF!</definedName>
    <definedName name="____Tab34" localSheetId="17">#REF!</definedName>
    <definedName name="____Tab34" localSheetId="22">#REF!</definedName>
    <definedName name="____Tab34">#REF!</definedName>
    <definedName name="____Tab35" localSheetId="17">#REF!</definedName>
    <definedName name="____Tab35" localSheetId="22">#REF!</definedName>
    <definedName name="____Tab35">#REF!</definedName>
    <definedName name="____TAB4" localSheetId="17">#REF!</definedName>
    <definedName name="____TAB4" localSheetId="22">#REF!</definedName>
    <definedName name="____TAB4">#REF!</definedName>
    <definedName name="____TAB5" localSheetId="17">#REF!</definedName>
    <definedName name="____TAB5" localSheetId="22">#REF!</definedName>
    <definedName name="____TAB5">#REF!</definedName>
    <definedName name="____tab6" localSheetId="17">#REF!</definedName>
    <definedName name="____tab6" localSheetId="22">#REF!</definedName>
    <definedName name="____tab6">#REF!</definedName>
    <definedName name="____TAB7" localSheetId="17">#REF!</definedName>
    <definedName name="____TAB7" localSheetId="22">#REF!</definedName>
    <definedName name="____TAB7">#REF!</definedName>
    <definedName name="____TAB8" localSheetId="17">#REF!</definedName>
    <definedName name="____TAB8" localSheetId="22">#REF!</definedName>
    <definedName name="____TAB8">#REF!</definedName>
    <definedName name="____tab9" localSheetId="17">#REF!</definedName>
    <definedName name="____tab9" localSheetId="22">#REF!</definedName>
    <definedName name="____tab9">#REF!</definedName>
    <definedName name="____TB41" localSheetId="17">#REF!</definedName>
    <definedName name="____TB41" localSheetId="22">#REF!</definedName>
    <definedName name="____TB41">#REF!</definedName>
    <definedName name="____WEO1" localSheetId="17">#REF!</definedName>
    <definedName name="____WEO1" localSheetId="22">#REF!</definedName>
    <definedName name="____WEO1">#REF!</definedName>
    <definedName name="____WEO2" localSheetId="17">#REF!</definedName>
    <definedName name="____WEO2" localSheetId="22">#REF!</definedName>
    <definedName name="____WEO2">#REF!</definedName>
    <definedName name="___BOP1" localSheetId="17">#REF!</definedName>
    <definedName name="___BOP1" localSheetId="22">#REF!</definedName>
    <definedName name="___BOP1">#REF!</definedName>
    <definedName name="___BOP2" localSheetId="17">[1]BoP!#REF!</definedName>
    <definedName name="___BOP2" localSheetId="22">[1]BoP!#REF!</definedName>
    <definedName name="___BOP2">[1]BoP!#REF!</definedName>
    <definedName name="___dat1" localSheetId="17">'[2]work Q real'!#REF!</definedName>
    <definedName name="___dat1" localSheetId="22">'[2]work Q real'!#REF!</definedName>
    <definedName name="___dat1">'[2]work Q real'!#REF!</definedName>
    <definedName name="___dat2" localSheetId="12">#REF!</definedName>
    <definedName name="___dat2" localSheetId="17">#REF!</definedName>
    <definedName name="___dat2" localSheetId="22">#REF!</definedName>
    <definedName name="___dat2">#REF!</definedName>
    <definedName name="___EXP5" localSheetId="12">#REF!</definedName>
    <definedName name="___EXP5" localSheetId="17">#REF!</definedName>
    <definedName name="___EXP5" localSheetId="22">#REF!</definedName>
    <definedName name="___EXP5">#REF!</definedName>
    <definedName name="___EXP6" localSheetId="12">#REF!</definedName>
    <definedName name="___EXP6" localSheetId="17">#REF!</definedName>
    <definedName name="___EXP6" localSheetId="22">#REF!</definedName>
    <definedName name="___EXP6">#REF!</definedName>
    <definedName name="___EXP7" localSheetId="17">#REF!</definedName>
    <definedName name="___EXP7" localSheetId="22">#REF!</definedName>
    <definedName name="___EXP7">#REF!</definedName>
    <definedName name="___EXP9" localSheetId="17">#REF!</definedName>
    <definedName name="___EXP9" localSheetId="22">#REF!</definedName>
    <definedName name="___EXP9">#REF!</definedName>
    <definedName name="___IMP10" localSheetId="17">#REF!</definedName>
    <definedName name="___IMP10" localSheetId="22">#REF!</definedName>
    <definedName name="___IMP10">#REF!</definedName>
    <definedName name="___IMP2" localSheetId="17">#REF!</definedName>
    <definedName name="___IMP2" localSheetId="22">#REF!</definedName>
    <definedName name="___IMP2">#REF!</definedName>
    <definedName name="___IMP4" localSheetId="17">#REF!</definedName>
    <definedName name="___IMP4" localSheetId="22">#REF!</definedName>
    <definedName name="___IMP4">#REF!</definedName>
    <definedName name="___IMP6" localSheetId="17">#REF!</definedName>
    <definedName name="___IMP6" localSheetId="22">#REF!</definedName>
    <definedName name="___IMP6">#REF!</definedName>
    <definedName name="___IMP7" localSheetId="17">#REF!</definedName>
    <definedName name="___IMP7" localSheetId="22">#REF!</definedName>
    <definedName name="___IMP7">#REF!</definedName>
    <definedName name="___IMP8" localSheetId="17">#REF!</definedName>
    <definedName name="___IMP8" localSheetId="22">#REF!</definedName>
    <definedName name="___IMP8">#REF!</definedName>
    <definedName name="___MTS2" localSheetId="17">'[3]Annual Tables'!#REF!</definedName>
    <definedName name="___MTS2" localSheetId="22">'[3]Annual Tables'!#REF!</definedName>
    <definedName name="___MTS2">'[3]Annual Tables'!#REF!</definedName>
    <definedName name="___OUT1" localSheetId="12">#REF!</definedName>
    <definedName name="___OUT1" localSheetId="17">#REF!</definedName>
    <definedName name="___OUT1" localSheetId="22">#REF!</definedName>
    <definedName name="___OUT1">#REF!</definedName>
    <definedName name="___OUT2" localSheetId="12">#REF!</definedName>
    <definedName name="___OUT2" localSheetId="17">#REF!</definedName>
    <definedName name="___OUT2" localSheetId="22">#REF!</definedName>
    <definedName name="___OUT2">#REF!</definedName>
    <definedName name="___PAG2" localSheetId="12">[3]Index!#REF!</definedName>
    <definedName name="___PAG2" localSheetId="17">[3]Index!#REF!</definedName>
    <definedName name="___PAG2" localSheetId="22">[3]Index!#REF!</definedName>
    <definedName name="___PAG2">[3]Index!#REF!</definedName>
    <definedName name="___PAG3" localSheetId="12">[3]Index!#REF!</definedName>
    <definedName name="___PAG3" localSheetId="22">[3]Index!#REF!</definedName>
    <definedName name="___PAG3">[3]Index!#REF!</definedName>
    <definedName name="___PAG4" localSheetId="22">[3]Index!#REF!</definedName>
    <definedName name="___PAG4">[3]Index!#REF!</definedName>
    <definedName name="___PAG5" localSheetId="22">[3]Index!#REF!</definedName>
    <definedName name="___PAG5">[3]Index!#REF!</definedName>
    <definedName name="___PAG6" localSheetId="22">[3]Index!#REF!</definedName>
    <definedName name="___PAG6">[3]Index!#REF!</definedName>
    <definedName name="___PAG7" localSheetId="12">#REF!</definedName>
    <definedName name="___PAG7" localSheetId="17">#REF!</definedName>
    <definedName name="___PAG7" localSheetId="22">#REF!</definedName>
    <definedName name="___PAG7">#REF!</definedName>
    <definedName name="___pro2001">[4]pro2001!$A$1:$B$72</definedName>
    <definedName name="___RES2" localSheetId="12">[1]RES!#REF!</definedName>
    <definedName name="___RES2" localSheetId="22">[1]RES!#REF!</definedName>
    <definedName name="___RES2">[1]RES!#REF!</definedName>
    <definedName name="___TAB1" localSheetId="12">#REF!</definedName>
    <definedName name="___TAB1" localSheetId="17">#REF!</definedName>
    <definedName name="___TAB1" localSheetId="22">#REF!</definedName>
    <definedName name="___TAB1">#REF!</definedName>
    <definedName name="___TAB10" localSheetId="12">#REF!</definedName>
    <definedName name="___TAB10" localSheetId="17">#REF!</definedName>
    <definedName name="___TAB10" localSheetId="22">#REF!</definedName>
    <definedName name="___TAB10">#REF!</definedName>
    <definedName name="___TAB12" localSheetId="12">#REF!</definedName>
    <definedName name="___TAB12" localSheetId="17">#REF!</definedName>
    <definedName name="___TAB12" localSheetId="22">#REF!</definedName>
    <definedName name="___TAB12">#REF!</definedName>
    <definedName name="___Tab19" localSheetId="17">#REF!</definedName>
    <definedName name="___Tab19" localSheetId="22">#REF!</definedName>
    <definedName name="___Tab19">#REF!</definedName>
    <definedName name="___TAB2" localSheetId="17">#REF!</definedName>
    <definedName name="___TAB2" localSheetId="22">#REF!</definedName>
    <definedName name="___TAB2">#REF!</definedName>
    <definedName name="___Tab20" localSheetId="17">#REF!</definedName>
    <definedName name="___Tab20" localSheetId="22">#REF!</definedName>
    <definedName name="___Tab20">#REF!</definedName>
    <definedName name="___Tab21" localSheetId="17">#REF!</definedName>
    <definedName name="___Tab21" localSheetId="22">#REF!</definedName>
    <definedName name="___Tab21">#REF!</definedName>
    <definedName name="___Tab22" localSheetId="17">#REF!</definedName>
    <definedName name="___Tab22" localSheetId="22">#REF!</definedName>
    <definedName name="___Tab22">#REF!</definedName>
    <definedName name="___Tab23" localSheetId="17">#REF!</definedName>
    <definedName name="___Tab23" localSheetId="22">#REF!</definedName>
    <definedName name="___Tab23">#REF!</definedName>
    <definedName name="___Tab24" localSheetId="17">#REF!</definedName>
    <definedName name="___Tab24" localSheetId="22">#REF!</definedName>
    <definedName name="___Tab24">#REF!</definedName>
    <definedName name="___Tab26" localSheetId="17">#REF!</definedName>
    <definedName name="___Tab26" localSheetId="22">#REF!</definedName>
    <definedName name="___Tab26">#REF!</definedName>
    <definedName name="___Tab27" localSheetId="17">#REF!</definedName>
    <definedName name="___Tab27" localSheetId="22">#REF!</definedName>
    <definedName name="___Tab27">#REF!</definedName>
    <definedName name="___Tab28" localSheetId="17">#REF!</definedName>
    <definedName name="___Tab28" localSheetId="22">#REF!</definedName>
    <definedName name="___Tab28">#REF!</definedName>
    <definedName name="___Tab29" localSheetId="17">#REF!</definedName>
    <definedName name="___Tab29" localSheetId="22">#REF!</definedName>
    <definedName name="___Tab29">#REF!</definedName>
    <definedName name="___TAB3" localSheetId="17">#REF!</definedName>
    <definedName name="___TAB3" localSheetId="22">#REF!</definedName>
    <definedName name="___TAB3">#REF!</definedName>
    <definedName name="___Tab30" localSheetId="17">#REF!</definedName>
    <definedName name="___Tab30" localSheetId="22">#REF!</definedName>
    <definedName name="___Tab30">#REF!</definedName>
    <definedName name="___Tab31" localSheetId="17">#REF!</definedName>
    <definedName name="___Tab31" localSheetId="22">#REF!</definedName>
    <definedName name="___Tab31">#REF!</definedName>
    <definedName name="___Tab32" localSheetId="17">#REF!</definedName>
    <definedName name="___Tab32" localSheetId="22">#REF!</definedName>
    <definedName name="___Tab32">#REF!</definedName>
    <definedName name="___Tab33" localSheetId="17">#REF!</definedName>
    <definedName name="___Tab33" localSheetId="22">#REF!</definedName>
    <definedName name="___Tab33">#REF!</definedName>
    <definedName name="___Tab34" localSheetId="17">#REF!</definedName>
    <definedName name="___Tab34" localSheetId="22">#REF!</definedName>
    <definedName name="___Tab34">#REF!</definedName>
    <definedName name="___Tab35" localSheetId="17">#REF!</definedName>
    <definedName name="___Tab35" localSheetId="22">#REF!</definedName>
    <definedName name="___Tab35">#REF!</definedName>
    <definedName name="___TAB4" localSheetId="17">#REF!</definedName>
    <definedName name="___TAB4" localSheetId="22">#REF!</definedName>
    <definedName name="___TAB4">#REF!</definedName>
    <definedName name="___TAB5" localSheetId="17">#REF!</definedName>
    <definedName name="___TAB5" localSheetId="22">#REF!</definedName>
    <definedName name="___TAB5">#REF!</definedName>
    <definedName name="___tab6" localSheetId="17">#REF!</definedName>
    <definedName name="___tab6" localSheetId="22">#REF!</definedName>
    <definedName name="___tab6">#REF!</definedName>
    <definedName name="___TAB7" localSheetId="17">#REF!</definedName>
    <definedName name="___TAB7" localSheetId="22">#REF!</definedName>
    <definedName name="___TAB7">#REF!</definedName>
    <definedName name="___TAB8" localSheetId="17">#REF!</definedName>
    <definedName name="___TAB8" localSheetId="22">#REF!</definedName>
    <definedName name="___TAB8">#REF!</definedName>
    <definedName name="___tab9" localSheetId="17">#REF!</definedName>
    <definedName name="___tab9" localSheetId="22">#REF!</definedName>
    <definedName name="___tab9">#REF!</definedName>
    <definedName name="___TB41" localSheetId="17">#REF!</definedName>
    <definedName name="___TB41" localSheetId="22">#REF!</definedName>
    <definedName name="___TB41">#REF!</definedName>
    <definedName name="___WEO1" localSheetId="17">#REF!</definedName>
    <definedName name="___WEO1" localSheetId="22">#REF!</definedName>
    <definedName name="___WEO1">#REF!</definedName>
    <definedName name="___WEO2" localSheetId="17">#REF!</definedName>
    <definedName name="___WEO2" localSheetId="22">#REF!</definedName>
    <definedName name="___WEO2">#REF!</definedName>
    <definedName name="__123Graph_A" localSheetId="17" hidden="1">#REF!</definedName>
    <definedName name="__123Graph_A" localSheetId="22" hidden="1">#REF!</definedName>
    <definedName name="__123Graph_A" hidden="1">#REF!</definedName>
    <definedName name="__123Graph_ABERLGRAP" localSheetId="22" hidden="1">'[5]Time series'!#REF!</definedName>
    <definedName name="__123Graph_ABERLGRAP" hidden="1">'[5]Time series'!#REF!</definedName>
    <definedName name="__123Graph_ACATCH1" localSheetId="22" hidden="1">'[5]Time series'!#REF!</definedName>
    <definedName name="__123Graph_ACATCH1" hidden="1">'[5]Time series'!#REF!</definedName>
    <definedName name="__123Graph_ACONVERG1" localSheetId="22" hidden="1">'[5]Time series'!#REF!</definedName>
    <definedName name="__123Graph_ACONVERG1" hidden="1">'[5]Time series'!#REF!</definedName>
    <definedName name="__123Graph_AECTOT" localSheetId="22" hidden="1">#REF!</definedName>
    <definedName name="__123Graph_AECTOT" hidden="1">#REF!</definedName>
    <definedName name="__123Graph_AEXP" localSheetId="17" hidden="1">#REF!</definedName>
    <definedName name="__123Graph_AEXP" localSheetId="22" hidden="1">#REF!</definedName>
    <definedName name="__123Graph_AEXP" hidden="1">#REF!</definedName>
    <definedName name="__123Graph_AGRAPH2" localSheetId="22" hidden="1">'[5]Time series'!#REF!</definedName>
    <definedName name="__123Graph_AGRAPH2" hidden="1">'[5]Time series'!#REF!</definedName>
    <definedName name="__123Graph_AGRAPH41" localSheetId="22" hidden="1">'[5]Time series'!#REF!</definedName>
    <definedName name="__123Graph_AGRAPH41" hidden="1">'[5]Time series'!#REF!</definedName>
    <definedName name="__123Graph_AGRAPH42" localSheetId="22" hidden="1">'[5]Time series'!#REF!</definedName>
    <definedName name="__123Graph_AGRAPH42" hidden="1">'[5]Time series'!#REF!</definedName>
    <definedName name="__123Graph_AGRAPH44" localSheetId="22" hidden="1">'[5]Time series'!#REF!</definedName>
    <definedName name="__123Graph_AGRAPH44" hidden="1">'[5]Time series'!#REF!</definedName>
    <definedName name="__123Graph_APERIB" localSheetId="22" hidden="1">'[5]Time series'!#REF!</definedName>
    <definedName name="__123Graph_APERIB" hidden="1">'[5]Time series'!#REF!</definedName>
    <definedName name="__123Graph_APRODABSC" localSheetId="22" hidden="1">'[5]Time series'!#REF!</definedName>
    <definedName name="__123Graph_APRODABSC" hidden="1">'[5]Time series'!#REF!</definedName>
    <definedName name="__123Graph_APRODABSD" localSheetId="22" hidden="1">'[5]Time series'!#REF!</definedName>
    <definedName name="__123Graph_APRODABSD" hidden="1">'[5]Time series'!#REF!</definedName>
    <definedName name="__123Graph_APRODTRE2" localSheetId="22" hidden="1">'[5]Time series'!#REF!</definedName>
    <definedName name="__123Graph_APRODTRE2" hidden="1">'[5]Time series'!#REF!</definedName>
    <definedName name="__123Graph_APRODTRE3" localSheetId="22" hidden="1">'[5]Time series'!#REF!</definedName>
    <definedName name="__123Graph_APRODTRE3" hidden="1">'[5]Time series'!#REF!</definedName>
    <definedName name="__123Graph_APRODTRE4" localSheetId="22" hidden="1">'[5]Time series'!#REF!</definedName>
    <definedName name="__123Graph_APRODTRE4" hidden="1">'[5]Time series'!#REF!</definedName>
    <definedName name="__123Graph_APRODTREND" localSheetId="22" hidden="1">'[5]Time series'!#REF!</definedName>
    <definedName name="__123Graph_APRODTREND" hidden="1">'[5]Time series'!#REF!</definedName>
    <definedName name="__123Graph_ATEST1" hidden="1">[6]REER!$AZ$144:$AZ$210</definedName>
    <definedName name="__123Graph_AUTRECHT" localSheetId="17" hidden="1">'[5]Time series'!#REF!</definedName>
    <definedName name="__123Graph_AUTRECHT" localSheetId="22" hidden="1">'[5]Time series'!#REF!</definedName>
    <definedName name="__123Graph_AUTRECHT" hidden="1">'[5]Time series'!#REF!</definedName>
    <definedName name="__123Graph_B" localSheetId="17" hidden="1">#REF!</definedName>
    <definedName name="__123Graph_B" localSheetId="22" hidden="1">#REF!</definedName>
    <definedName name="__123Graph_B" hidden="1">#REF!</definedName>
    <definedName name="__123Graph_BBERLGRAP" localSheetId="22" hidden="1">'[5]Time series'!#REF!</definedName>
    <definedName name="__123Graph_BBERLGRAP" hidden="1">'[5]Time series'!#REF!</definedName>
    <definedName name="__123Graph_BCATCH1" localSheetId="22" hidden="1">'[5]Time series'!#REF!</definedName>
    <definedName name="__123Graph_BCATCH1" hidden="1">'[5]Time series'!#REF!</definedName>
    <definedName name="__123Graph_BCONVERG1" localSheetId="22" hidden="1">'[5]Time series'!#REF!</definedName>
    <definedName name="__123Graph_BCONVERG1" hidden="1">'[5]Time series'!#REF!</definedName>
    <definedName name="__123Graph_BCurrent" localSheetId="17" hidden="1">[7]G!#REF!</definedName>
    <definedName name="__123Graph_BCurrent" localSheetId="22" hidden="1">[7]G!#REF!</definedName>
    <definedName name="__123Graph_BCurrent" hidden="1">[7]G!#REF!</definedName>
    <definedName name="__123Graph_BECTOT" localSheetId="22" hidden="1">#REF!</definedName>
    <definedName name="__123Graph_BECTOT" hidden="1">#REF!</definedName>
    <definedName name="__123Graph_BGDP" localSheetId="17" hidden="1">'[8]Quarterly Program'!#REF!</definedName>
    <definedName name="__123Graph_BGDP" localSheetId="22" hidden="1">'[8]Quarterly Program'!#REF!</definedName>
    <definedName name="__123Graph_BGDP" hidden="1">'[8]Quarterly Program'!#REF!</definedName>
    <definedName name="__123Graph_BGRAPH2" localSheetId="22" hidden="1">'[5]Time series'!#REF!</definedName>
    <definedName name="__123Graph_BGRAPH2" hidden="1">'[5]Time series'!#REF!</definedName>
    <definedName name="__123Graph_BGRAPH41" localSheetId="22" hidden="1">'[5]Time series'!#REF!</definedName>
    <definedName name="__123Graph_BGRAPH41" hidden="1">'[5]Time series'!#REF!</definedName>
    <definedName name="__123Graph_BMONEY" localSheetId="22" hidden="1">'[8]Quarterly Program'!#REF!</definedName>
    <definedName name="__123Graph_BMONEY" hidden="1">'[8]Quarterly Program'!#REF!</definedName>
    <definedName name="__123Graph_BPERIB" localSheetId="22" hidden="1">'[5]Time series'!#REF!</definedName>
    <definedName name="__123Graph_BPERIB" hidden="1">'[5]Time series'!#REF!</definedName>
    <definedName name="__123Graph_BPRODABSC" localSheetId="22" hidden="1">'[5]Time series'!#REF!</definedName>
    <definedName name="__123Graph_BPRODABSC" hidden="1">'[5]Time series'!#REF!</definedName>
    <definedName name="__123Graph_BPRODABSD" localSheetId="22" hidden="1">'[5]Time series'!#REF!</definedName>
    <definedName name="__123Graph_BPRODABSD" hidden="1">'[5]Time series'!#REF!</definedName>
    <definedName name="__123Graph_BREER3" hidden="1">[6]REER!$BB$144:$BB$212</definedName>
    <definedName name="__123Graph_BTEST1" hidden="1">[6]REER!$AY$144:$AY$210</definedName>
    <definedName name="__123Graph_C" localSheetId="22" hidden="1">#REF!</definedName>
    <definedName name="__123Graph_C" hidden="1">#REF!</definedName>
    <definedName name="__123Graph_CBERLGRAP" localSheetId="22" hidden="1">'[5]Time series'!#REF!</definedName>
    <definedName name="__123Graph_CBERLGRAP" hidden="1">'[5]Time series'!#REF!</definedName>
    <definedName name="__123Graph_CCATCH1" localSheetId="22" hidden="1">'[5]Time series'!#REF!</definedName>
    <definedName name="__123Graph_CCATCH1" hidden="1">'[5]Time series'!#REF!</definedName>
    <definedName name="__123Graph_CECTOT" localSheetId="22" hidden="1">#REF!</definedName>
    <definedName name="__123Graph_CECTOT" hidden="1">#REF!</definedName>
    <definedName name="__123Graph_CGRAPH41" localSheetId="22" hidden="1">'[5]Time series'!#REF!</definedName>
    <definedName name="__123Graph_CGRAPH41" hidden="1">'[5]Time series'!#REF!</definedName>
    <definedName name="__123Graph_CGRAPH44" localSheetId="22" hidden="1">'[5]Time series'!#REF!</definedName>
    <definedName name="__123Graph_CGRAPH44" hidden="1">'[5]Time series'!#REF!</definedName>
    <definedName name="__123Graph_CPERIA" localSheetId="22" hidden="1">'[5]Time series'!#REF!</definedName>
    <definedName name="__123Graph_CPERIA" hidden="1">'[5]Time series'!#REF!</definedName>
    <definedName name="__123Graph_CPERIB" localSheetId="22" hidden="1">'[5]Time series'!#REF!</definedName>
    <definedName name="__123Graph_CPERIB" hidden="1">'[5]Time series'!#REF!</definedName>
    <definedName name="__123Graph_CPRODABSC" localSheetId="22" hidden="1">'[5]Time series'!#REF!</definedName>
    <definedName name="__123Graph_CPRODABSC" hidden="1">'[5]Time series'!#REF!</definedName>
    <definedName name="__123Graph_CPRODTRE2" localSheetId="22" hidden="1">'[5]Time series'!#REF!</definedName>
    <definedName name="__123Graph_CPRODTRE2" hidden="1">'[5]Time series'!#REF!</definedName>
    <definedName name="__123Graph_CPRODTREND" localSheetId="22" hidden="1">'[5]Time series'!#REF!</definedName>
    <definedName name="__123Graph_CPRODTREND" hidden="1">'[5]Time series'!#REF!</definedName>
    <definedName name="__123Graph_CREER3" hidden="1">[6]REER!$BB$144:$BB$212</definedName>
    <definedName name="__123Graph_CTEST1" hidden="1">[6]REER!$BK$140:$BK$140</definedName>
    <definedName name="__123Graph_CUTRECHT" localSheetId="17" hidden="1">'[5]Time series'!#REF!</definedName>
    <definedName name="__123Graph_CUTRECHT" localSheetId="22" hidden="1">'[5]Time series'!#REF!</definedName>
    <definedName name="__123Graph_CUTRECHT" hidden="1">'[5]Time series'!#REF!</definedName>
    <definedName name="__123Graph_D" localSheetId="22" hidden="1">#REF!</definedName>
    <definedName name="__123Graph_D" hidden="1">#REF!</definedName>
    <definedName name="__123Graph_DBERLGRAP" localSheetId="22" hidden="1">'[5]Time series'!#REF!</definedName>
    <definedName name="__123Graph_DBERLGRAP" hidden="1">'[5]Time series'!#REF!</definedName>
    <definedName name="__123Graph_DCATCH1" localSheetId="22" hidden="1">'[5]Time series'!#REF!</definedName>
    <definedName name="__123Graph_DCATCH1" hidden="1">'[5]Time series'!#REF!</definedName>
    <definedName name="__123Graph_DCONVERG1" localSheetId="22" hidden="1">'[5]Time series'!#REF!</definedName>
    <definedName name="__123Graph_DCONVERG1" hidden="1">'[5]Time series'!#REF!</definedName>
    <definedName name="__123Graph_DECTOT" localSheetId="22" hidden="1">#REF!</definedName>
    <definedName name="__123Graph_DECTOT" hidden="1">#REF!</definedName>
    <definedName name="__123Graph_DGRAPH41" localSheetId="22" hidden="1">'[5]Time series'!#REF!</definedName>
    <definedName name="__123Graph_DGRAPH41" hidden="1">'[5]Time series'!#REF!</definedName>
    <definedName name="__123Graph_DPERIA" localSheetId="22" hidden="1">'[5]Time series'!#REF!</definedName>
    <definedName name="__123Graph_DPERIA" hidden="1">'[5]Time series'!#REF!</definedName>
    <definedName name="__123Graph_DPERIB" localSheetId="22" hidden="1">'[5]Time series'!#REF!</definedName>
    <definedName name="__123Graph_DPERIB" hidden="1">'[5]Time series'!#REF!</definedName>
    <definedName name="__123Graph_DPRODABSC" localSheetId="22" hidden="1">'[5]Time series'!#REF!</definedName>
    <definedName name="__123Graph_DPRODABSC" hidden="1">'[5]Time series'!#REF!</definedName>
    <definedName name="__123Graph_DREER3" hidden="1">[6]REER!$BB$144:$BB$210</definedName>
    <definedName name="__123Graph_DTEST1" hidden="1">[6]REER!$BB$144:$BB$210</definedName>
    <definedName name="__123Graph_DUTRECHT" localSheetId="17" hidden="1">'[5]Time series'!#REF!</definedName>
    <definedName name="__123Graph_DUTRECHT" localSheetId="22" hidden="1">'[5]Time series'!#REF!</definedName>
    <definedName name="__123Graph_DUTRECHT" hidden="1">'[5]Time series'!#REF!</definedName>
    <definedName name="__123Graph_E" localSheetId="22" hidden="1">#REF!</definedName>
    <definedName name="__123Graph_E" hidden="1">#REF!</definedName>
    <definedName name="__123Graph_EBERLGRAP" localSheetId="22" hidden="1">'[5]Time series'!#REF!</definedName>
    <definedName name="__123Graph_EBERLGRAP" hidden="1">'[5]Time series'!#REF!</definedName>
    <definedName name="__123Graph_ECONVERG1" localSheetId="22" hidden="1">'[5]Time series'!#REF!</definedName>
    <definedName name="__123Graph_ECONVERG1" hidden="1">'[5]Time series'!#REF!</definedName>
    <definedName name="__123Graph_EECTOT" localSheetId="22" hidden="1">#REF!</definedName>
    <definedName name="__123Graph_EECTOT" hidden="1">#REF!</definedName>
    <definedName name="__123Graph_EGRAPH41" localSheetId="22" hidden="1">'[5]Time series'!#REF!</definedName>
    <definedName name="__123Graph_EGRAPH41" hidden="1">'[5]Time series'!#REF!</definedName>
    <definedName name="__123Graph_EPERIA" localSheetId="22" hidden="1">'[5]Time series'!#REF!</definedName>
    <definedName name="__123Graph_EPERIA" hidden="1">'[5]Time series'!#REF!</definedName>
    <definedName name="__123Graph_EPRODABSC" localSheetId="22" hidden="1">'[5]Time series'!#REF!</definedName>
    <definedName name="__123Graph_EPRODABSC" hidden="1">'[5]Time series'!#REF!</definedName>
    <definedName name="__123Graph_EREER3" hidden="1">[6]REER!$BR$144:$BR$211</definedName>
    <definedName name="__123Graph_ETEST1" hidden="1">[6]REER!$BR$144:$BR$211</definedName>
    <definedName name="__123Graph_FBERLGRAP" localSheetId="17" hidden="1">'[5]Time series'!#REF!</definedName>
    <definedName name="__123Graph_FBERLGRAP" localSheetId="22" hidden="1">'[5]Time series'!#REF!</definedName>
    <definedName name="__123Graph_FBERLGRAP" hidden="1">'[5]Time series'!#REF!</definedName>
    <definedName name="__123Graph_FGRAPH41" localSheetId="22" hidden="1">'[5]Time series'!#REF!</definedName>
    <definedName name="__123Graph_FGRAPH41" hidden="1">'[5]Time series'!#REF!</definedName>
    <definedName name="__123Graph_FPRODABSC" localSheetId="22" hidden="1">'[5]Time series'!#REF!</definedName>
    <definedName name="__123Graph_FPRODABSC" hidden="1">'[5]Time series'!#REF!</definedName>
    <definedName name="__123Graph_FREER3" hidden="1">[6]REER!$BN$140:$BN$140</definedName>
    <definedName name="__123Graph_FTEST1" hidden="1">[6]REER!$BN$140:$BN$140</definedName>
    <definedName name="__123Graph_X" localSheetId="22" hidden="1">'[9]i2-KA'!#REF!</definedName>
    <definedName name="__123Graph_X" localSheetId="26" hidden="1">'[9]i2-KA'!#REF!</definedName>
    <definedName name="__123Graph_X" hidden="1">'[9]i2-KA'!#REF!</definedName>
    <definedName name="__123Graph_XCurrent" localSheetId="22" hidden="1">'[9]i2-KA'!#REF!</definedName>
    <definedName name="__123Graph_XCurrent" hidden="1">'[9]i2-KA'!#REF!</definedName>
    <definedName name="__123Graph_XECTOT" localSheetId="22" hidden="1">#REF!</definedName>
    <definedName name="__123Graph_XECTOT" hidden="1">#REF!</definedName>
    <definedName name="__123Graph_XEXP" localSheetId="22" hidden="1">[10]EdssGeeGAS!#REF!</definedName>
    <definedName name="__123Graph_XEXP" hidden="1">[10]EdssGeeGAS!#REF!</definedName>
    <definedName name="__123Graph_XChart1" localSheetId="22" hidden="1">'[9]i2-KA'!#REF!</definedName>
    <definedName name="__123Graph_XChart1" hidden="1">'[9]i2-KA'!#REF!</definedName>
    <definedName name="__123Graph_XChart2" localSheetId="22" hidden="1">'[9]i2-KA'!#REF!</definedName>
    <definedName name="__123Graph_XChart2" hidden="1">'[9]i2-KA'!#REF!</definedName>
    <definedName name="__123Graph_XTEST1" hidden="1">[6]REER!$C$9:$C$75</definedName>
    <definedName name="__BOP1" localSheetId="17">#REF!</definedName>
    <definedName name="__BOP1" localSheetId="22">#REF!</definedName>
    <definedName name="__BOP1" localSheetId="26">#REF!</definedName>
    <definedName name="__BOP1">#REF!</definedName>
    <definedName name="__BOP2" localSheetId="12">[1]BoP!#REF!</definedName>
    <definedName name="__BOP2" localSheetId="17">[1]BoP!#REF!</definedName>
    <definedName name="__BOP2" localSheetId="22">[1]BoP!#REF!</definedName>
    <definedName name="__BOP2">[1]BoP!#REF!</definedName>
    <definedName name="__dat1" localSheetId="22">'[2]work Q real'!#REF!</definedName>
    <definedName name="__dat1" localSheetId="26">'[2]work Q real'!#REF!</definedName>
    <definedName name="__dat1">'[2]work Q real'!#REF!</definedName>
    <definedName name="__dat2" localSheetId="17">#REF!</definedName>
    <definedName name="__dat2" localSheetId="22">#REF!</definedName>
    <definedName name="__dat2" localSheetId="26">#REF!</definedName>
    <definedName name="__dat2">#REF!</definedName>
    <definedName name="__EXP5" localSheetId="17">#REF!</definedName>
    <definedName name="__EXP5" localSheetId="22">#REF!</definedName>
    <definedName name="__EXP5" localSheetId="26">#REF!</definedName>
    <definedName name="__EXP5">#REF!</definedName>
    <definedName name="__EXP6" localSheetId="17">#REF!</definedName>
    <definedName name="__EXP6" localSheetId="22">#REF!</definedName>
    <definedName name="__EXP6" localSheetId="26">#REF!</definedName>
    <definedName name="__EXP6">#REF!</definedName>
    <definedName name="__EXP7" localSheetId="17">#REF!</definedName>
    <definedName name="__EXP7" localSheetId="22">#REF!</definedName>
    <definedName name="__EXP7">#REF!</definedName>
    <definedName name="__EXP9" localSheetId="17">#REF!</definedName>
    <definedName name="__EXP9" localSheetId="22">#REF!</definedName>
    <definedName name="__EXP9">#REF!</definedName>
    <definedName name="__IMP10" localSheetId="17">#REF!</definedName>
    <definedName name="__IMP10" localSheetId="22">#REF!</definedName>
    <definedName name="__IMP10">#REF!</definedName>
    <definedName name="__IMP2" localSheetId="17">#REF!</definedName>
    <definedName name="__IMP2" localSheetId="22">#REF!</definedName>
    <definedName name="__IMP2">#REF!</definedName>
    <definedName name="__IMP4" localSheetId="17">#REF!</definedName>
    <definedName name="__IMP4" localSheetId="22">#REF!</definedName>
    <definedName name="__IMP4">#REF!</definedName>
    <definedName name="__IMP6" localSheetId="17">#REF!</definedName>
    <definedName name="__IMP6" localSheetId="22">#REF!</definedName>
    <definedName name="__IMP6">#REF!</definedName>
    <definedName name="__IMP7" localSheetId="17">#REF!</definedName>
    <definedName name="__IMP7" localSheetId="22">#REF!</definedName>
    <definedName name="__IMP7">#REF!</definedName>
    <definedName name="__IMP8" localSheetId="17">#REF!</definedName>
    <definedName name="__IMP8" localSheetId="22">#REF!</definedName>
    <definedName name="__IMP8">#REF!</definedName>
    <definedName name="__MTS2" localSheetId="17">'[3]Annual Tables'!#REF!</definedName>
    <definedName name="__MTS2" localSheetId="22">'[3]Annual Tables'!#REF!</definedName>
    <definedName name="__MTS2">'[3]Annual Tables'!#REF!</definedName>
    <definedName name="__OUT1" localSheetId="17">#REF!</definedName>
    <definedName name="__OUT1" localSheetId="22">#REF!</definedName>
    <definedName name="__OUT1" localSheetId="26">#REF!</definedName>
    <definedName name="__OUT1">#REF!</definedName>
    <definedName name="__OUT2" localSheetId="17">#REF!</definedName>
    <definedName name="__OUT2" localSheetId="22">#REF!</definedName>
    <definedName name="__OUT2" localSheetId="26">#REF!</definedName>
    <definedName name="__OUT2">#REF!</definedName>
    <definedName name="__PAG2" localSheetId="17">[3]Index!#REF!</definedName>
    <definedName name="__PAG2" localSheetId="22">[3]Index!#REF!</definedName>
    <definedName name="__PAG2" localSheetId="26">[3]Index!#REF!</definedName>
    <definedName name="__PAG2">[3]Index!#REF!</definedName>
    <definedName name="__PAG3" localSheetId="22">[3]Index!#REF!</definedName>
    <definedName name="__PAG3" localSheetId="26">[3]Index!#REF!</definedName>
    <definedName name="__PAG3">[3]Index!#REF!</definedName>
    <definedName name="__PAG4" localSheetId="22">[3]Index!#REF!</definedName>
    <definedName name="__PAG4">[3]Index!#REF!</definedName>
    <definedName name="__PAG5" localSheetId="22">[3]Index!#REF!</definedName>
    <definedName name="__PAG5">[3]Index!#REF!</definedName>
    <definedName name="__PAG6" localSheetId="22">[3]Index!#REF!</definedName>
    <definedName name="__PAG6">[3]Index!#REF!</definedName>
    <definedName name="__PAG7" localSheetId="17">#REF!</definedName>
    <definedName name="__PAG7" localSheetId="22">#REF!</definedName>
    <definedName name="__PAG7" localSheetId="26">#REF!</definedName>
    <definedName name="__PAG7">#REF!</definedName>
    <definedName name="__pro2001">[11]pro2001!$A$1:$B$72</definedName>
    <definedName name="__RES2" localSheetId="3">[1]RES!#REF!</definedName>
    <definedName name="__RES2" localSheetId="9">[1]RES!#REF!</definedName>
    <definedName name="__RES2" localSheetId="22">[1]RES!#REF!</definedName>
    <definedName name="__RES2" localSheetId="26">[1]RES!#REF!</definedName>
    <definedName name="__RES2" localSheetId="35">[1]RES!#REF!</definedName>
    <definedName name="__RES2" localSheetId="5">[1]RES!#REF!</definedName>
    <definedName name="__RES2" localSheetId="7">[1]RES!#REF!</definedName>
    <definedName name="__RES2" localSheetId="6">[1]RES!#REF!</definedName>
    <definedName name="__RES2">[1]RES!#REF!</definedName>
    <definedName name="__TAB1" localSheetId="17">#REF!</definedName>
    <definedName name="__TAB1" localSheetId="22">#REF!</definedName>
    <definedName name="__TAB1" localSheetId="26">#REF!</definedName>
    <definedName name="__TAB1">#REF!</definedName>
    <definedName name="__TAB10" localSheetId="17">#REF!</definedName>
    <definedName name="__TAB10" localSheetId="22">#REF!</definedName>
    <definedName name="__TAB10" localSheetId="26">#REF!</definedName>
    <definedName name="__TAB10">#REF!</definedName>
    <definedName name="__TAB12" localSheetId="17">#REF!</definedName>
    <definedName name="__TAB12" localSheetId="22">#REF!</definedName>
    <definedName name="__TAB12" localSheetId="26">#REF!</definedName>
    <definedName name="__TAB12">#REF!</definedName>
    <definedName name="__Tab19" localSheetId="17">#REF!</definedName>
    <definedName name="__Tab19" localSheetId="22">#REF!</definedName>
    <definedName name="__Tab19">#REF!</definedName>
    <definedName name="__TAB2" localSheetId="17">#REF!</definedName>
    <definedName name="__TAB2" localSheetId="22">#REF!</definedName>
    <definedName name="__TAB2">#REF!</definedName>
    <definedName name="__Tab20" localSheetId="17">#REF!</definedName>
    <definedName name="__Tab20" localSheetId="22">#REF!</definedName>
    <definedName name="__Tab20">#REF!</definedName>
    <definedName name="__Tab21" localSheetId="17">#REF!</definedName>
    <definedName name="__Tab21" localSheetId="22">#REF!</definedName>
    <definedName name="__Tab21">#REF!</definedName>
    <definedName name="__Tab22" localSheetId="17">#REF!</definedName>
    <definedName name="__Tab22" localSheetId="22">#REF!</definedName>
    <definedName name="__Tab22">#REF!</definedName>
    <definedName name="__Tab23" localSheetId="17">#REF!</definedName>
    <definedName name="__Tab23" localSheetId="22">#REF!</definedName>
    <definedName name="__Tab23">#REF!</definedName>
    <definedName name="__Tab24" localSheetId="17">#REF!</definedName>
    <definedName name="__Tab24" localSheetId="22">#REF!</definedName>
    <definedName name="__Tab24">#REF!</definedName>
    <definedName name="__Tab26" localSheetId="17">#REF!</definedName>
    <definedName name="__Tab26" localSheetId="22">#REF!</definedName>
    <definedName name="__Tab26">#REF!</definedName>
    <definedName name="__Tab27" localSheetId="17">#REF!</definedName>
    <definedName name="__Tab27" localSheetId="22">#REF!</definedName>
    <definedName name="__Tab27">#REF!</definedName>
    <definedName name="__Tab28" localSheetId="17">#REF!</definedName>
    <definedName name="__Tab28" localSheetId="22">#REF!</definedName>
    <definedName name="__Tab28">#REF!</definedName>
    <definedName name="__Tab29" localSheetId="17">#REF!</definedName>
    <definedName name="__Tab29" localSheetId="22">#REF!</definedName>
    <definedName name="__Tab29">#REF!</definedName>
    <definedName name="__TAB3" localSheetId="17">#REF!</definedName>
    <definedName name="__TAB3" localSheetId="22">#REF!</definedName>
    <definedName name="__TAB3">#REF!</definedName>
    <definedName name="__Tab30" localSheetId="17">#REF!</definedName>
    <definedName name="__Tab30" localSheetId="22">#REF!</definedName>
    <definedName name="__Tab30">#REF!</definedName>
    <definedName name="__Tab31" localSheetId="17">#REF!</definedName>
    <definedName name="__Tab31" localSheetId="22">#REF!</definedName>
    <definedName name="__Tab31">#REF!</definedName>
    <definedName name="__Tab32" localSheetId="17">#REF!</definedName>
    <definedName name="__Tab32" localSheetId="22">#REF!</definedName>
    <definedName name="__Tab32">#REF!</definedName>
    <definedName name="__Tab33" localSheetId="17">#REF!</definedName>
    <definedName name="__Tab33" localSheetId="22">#REF!</definedName>
    <definedName name="__Tab33">#REF!</definedName>
    <definedName name="__Tab34" localSheetId="17">#REF!</definedName>
    <definedName name="__Tab34" localSheetId="22">#REF!</definedName>
    <definedName name="__Tab34">#REF!</definedName>
    <definedName name="__Tab35" localSheetId="17">#REF!</definedName>
    <definedName name="__Tab35" localSheetId="22">#REF!</definedName>
    <definedName name="__Tab35">#REF!</definedName>
    <definedName name="__TAB4" localSheetId="17">#REF!</definedName>
    <definedName name="__TAB4" localSheetId="22">#REF!</definedName>
    <definedName name="__TAB4">#REF!</definedName>
    <definedName name="__TAB5" localSheetId="17">#REF!</definedName>
    <definedName name="__TAB5" localSheetId="22">#REF!</definedName>
    <definedName name="__TAB5">#REF!</definedName>
    <definedName name="__tab6" localSheetId="17">#REF!</definedName>
    <definedName name="__tab6" localSheetId="22">#REF!</definedName>
    <definedName name="__tab6">#REF!</definedName>
    <definedName name="__TAB7" localSheetId="17">#REF!</definedName>
    <definedName name="__TAB7" localSheetId="22">#REF!</definedName>
    <definedName name="__TAB7">#REF!</definedName>
    <definedName name="__TAB8" localSheetId="17">#REF!</definedName>
    <definedName name="__TAB8" localSheetId="22">#REF!</definedName>
    <definedName name="__TAB8">#REF!</definedName>
    <definedName name="__tab9" localSheetId="17">#REF!</definedName>
    <definedName name="__tab9" localSheetId="22">#REF!</definedName>
    <definedName name="__tab9">#REF!</definedName>
    <definedName name="__TB41" localSheetId="17">#REF!</definedName>
    <definedName name="__TB41" localSheetId="22">#REF!</definedName>
    <definedName name="__TB41">#REF!</definedName>
    <definedName name="__WEO1" localSheetId="17">#REF!</definedName>
    <definedName name="__WEO1" localSheetId="22">#REF!</definedName>
    <definedName name="__WEO1">#REF!</definedName>
    <definedName name="__WEO2" localSheetId="17">#REF!</definedName>
    <definedName name="__WEO2" localSheetId="22">#REF!</definedName>
    <definedName name="__WEO2">#REF!</definedName>
    <definedName name="_1__123Graph_AChart_1" localSheetId="22" hidden="1">'[12]Table 1'!#REF!</definedName>
    <definedName name="_1__123Graph_AChart_1" hidden="1">'[12]Table 1'!#REF!</definedName>
    <definedName name="_1_123Graph_A" localSheetId="17" hidden="1">#REF!</definedName>
    <definedName name="_1_123Graph_A" localSheetId="22" hidden="1">#REF!</definedName>
    <definedName name="_1_123Graph_A" hidden="1">#REF!</definedName>
    <definedName name="_10__123Graph_ACHART_2" localSheetId="17" hidden="1">'[13]Employment Data Sectors (wages)'!$A$8173:$A$8184</definedName>
    <definedName name="_10__123Graph_ACHART_2" hidden="1">'[13]Employment Data Sectors (wages)'!$A$8173:$A$8184</definedName>
    <definedName name="_10__123Graph_ACHART_8" hidden="1">'[14]Employment Data Sectors (wages)'!$W$8175:$W$8186</definedName>
    <definedName name="_10__123Graph_BCHART_1" hidden="1">'[15]Employment Data Sectors (wages)'!$B$8173:$B$8184</definedName>
    <definedName name="_100__123Graph_BCHART_8" hidden="1">'[13]Employment Data Sectors (wages)'!$W$13:$W$8187</definedName>
    <definedName name="_105__123Graph_CCHART_1" hidden="1">'[13]Employment Data Sectors (wages)'!$C$8173:$C$8184</definedName>
    <definedName name="_11__123Graph_BCHART_1" hidden="1">'[14]Employment Data Sectors (wages)'!$B$8173:$B$8184</definedName>
    <definedName name="_11__123Graph_BCHART_2" hidden="1">'[15]Employment Data Sectors (wages)'!$B$8173:$B$8184</definedName>
    <definedName name="_110__123Graph_CCHART_2" hidden="1">'[13]Employment Data Sectors (wages)'!$C$8173:$C$8184</definedName>
    <definedName name="_115__123Graph_CCHART_3" hidden="1">'[13]Employment Data Sectors (wages)'!$C$11:$C$8185</definedName>
    <definedName name="_12__123Graph_ACHART_3" localSheetId="17" hidden="1">'[13]Employment Data Sectors (wages)'!$A$11:$A$8185</definedName>
    <definedName name="_12__123Graph_ACHART_3" hidden="1">'[13]Employment Data Sectors (wages)'!$A$11:$A$8185</definedName>
    <definedName name="_12__123Graph_BCHART_2" hidden="1">'[14]Employment Data Sectors (wages)'!$B$8173:$B$8184</definedName>
    <definedName name="_12__123Graph_BCHART_3" hidden="1">'[15]Employment Data Sectors (wages)'!$B$11:$B$8185</definedName>
    <definedName name="_120__123Graph_CCHART_4" hidden="1">'[13]Employment Data Sectors (wages)'!$C$12:$C$23</definedName>
    <definedName name="_123Graph_AB" localSheetId="17" hidden="1">#REF!</definedName>
    <definedName name="_123Graph_AB" localSheetId="22" hidden="1">#REF!</definedName>
    <definedName name="_123Graph_AB" hidden="1">#REF!</definedName>
    <definedName name="_123Graph_B" localSheetId="17" hidden="1">#REF!</definedName>
    <definedName name="_123Graph_B" localSheetId="22" hidden="1">#REF!</definedName>
    <definedName name="_123Graph_B" hidden="1">#REF!</definedName>
    <definedName name="_123Graph_DB" localSheetId="17" hidden="1">#REF!</definedName>
    <definedName name="_123Graph_DB" localSheetId="22" hidden="1">#REF!</definedName>
    <definedName name="_123Graph_DB" hidden="1">#REF!</definedName>
    <definedName name="_123Graph_EB" localSheetId="17" hidden="1">#REF!</definedName>
    <definedName name="_123Graph_EB" localSheetId="22" hidden="1">#REF!</definedName>
    <definedName name="_123Graph_EB" hidden="1">#REF!</definedName>
    <definedName name="_123Graph_FB" localSheetId="17" hidden="1">#REF!</definedName>
    <definedName name="_123Graph_FB" localSheetId="22" hidden="1">#REF!</definedName>
    <definedName name="_123Graph_FB" hidden="1">#REF!</definedName>
    <definedName name="_125__123Graph_CCHART_5" hidden="1">'[13]Employment Data Sectors (wages)'!$C$24:$C$35</definedName>
    <definedName name="_13__123Graph_BCHART_3" hidden="1">'[14]Employment Data Sectors (wages)'!$B$11:$B$8185</definedName>
    <definedName name="_13__123Graph_BCHART_4" hidden="1">'[15]Employment Data Sectors (wages)'!$B$12:$B$23</definedName>
    <definedName name="_130__123Graph_CCHART_6" hidden="1">'[13]Employment Data Sectors (wages)'!$U$49:$U$8103</definedName>
    <definedName name="_132Graph_CB" localSheetId="17" hidden="1">#REF!</definedName>
    <definedName name="_132Graph_CB" localSheetId="22" hidden="1">#REF!</definedName>
    <definedName name="_132Graph_CB" hidden="1">#REF!</definedName>
    <definedName name="_135__123Graph_CCHART_7" hidden="1">'[13]Employment Data Sectors (wages)'!$Y$14:$Y$25</definedName>
    <definedName name="_14__123Graph_ACHART_4" localSheetId="17" hidden="1">'[13]Employment Data Sectors (wages)'!$A$12:$A$23</definedName>
    <definedName name="_14__123Graph_ACHART_4" hidden="1">'[13]Employment Data Sectors (wages)'!$A$12:$A$23</definedName>
    <definedName name="_14__123Graph_BCHART_4" hidden="1">'[14]Employment Data Sectors (wages)'!$B$12:$B$23</definedName>
    <definedName name="_14__123Graph_BCHART_5" hidden="1">'[15]Employment Data Sectors (wages)'!$B$24:$B$35</definedName>
    <definedName name="_140__123Graph_CCHART_8" hidden="1">'[13]Employment Data Sectors (wages)'!$W$14:$W$25</definedName>
    <definedName name="_145__123Graph_DCHART_7" hidden="1">'[13]Employment Data Sectors (wages)'!$Y$26:$Y$37</definedName>
    <definedName name="_15__123Graph_BCHART_5" hidden="1">'[14]Employment Data Sectors (wages)'!$B$24:$B$35</definedName>
    <definedName name="_15__123Graph_BCHART_6" hidden="1">'[15]Employment Data Sectors (wages)'!$AS$49:$AS$8103</definedName>
    <definedName name="_150__123Graph_DCHART_8" hidden="1">'[13]Employment Data Sectors (wages)'!$W$26:$W$37</definedName>
    <definedName name="_155__123Graph_ECHART_7" hidden="1">'[13]Employment Data Sectors (wages)'!$Y$38:$Y$49</definedName>
    <definedName name="_16__123Graph_ACHART_5" localSheetId="17" hidden="1">'[13]Employment Data Sectors (wages)'!$A$24:$A$35</definedName>
    <definedName name="_16__123Graph_ACHART_5" hidden="1">'[13]Employment Data Sectors (wages)'!$A$24:$A$35</definedName>
    <definedName name="_16__123Graph_BCHART_6" hidden="1">'[14]Employment Data Sectors (wages)'!$AS$49:$AS$8103</definedName>
    <definedName name="_16__123Graph_BCHART_7" hidden="1">'[15]Employment Data Sectors (wages)'!$Y$13:$Y$8187</definedName>
    <definedName name="_160__123Graph_ECHART_8" hidden="1">'[13]Employment Data Sectors (wages)'!$H$86:$H$99</definedName>
    <definedName name="_165__123Graph_FCHART_8" hidden="1">'[13]Employment Data Sectors (wages)'!$H$6:$H$17</definedName>
    <definedName name="_17__123Graph_BCHART_7" hidden="1">'[14]Employment Data Sectors (wages)'!$Y$13:$Y$8187</definedName>
    <definedName name="_17__123Graph_BCHART_8" hidden="1">'[15]Employment Data Sectors (wages)'!$W$13:$W$8187</definedName>
    <definedName name="_18__123Graph_ACHART_6" localSheetId="17" hidden="1">'[13]Employment Data Sectors (wages)'!$Y$49:$Y$8103</definedName>
    <definedName name="_18__123Graph_ACHART_6" hidden="1">'[13]Employment Data Sectors (wages)'!$Y$49:$Y$8103</definedName>
    <definedName name="_18__123Graph_BCHART_8" hidden="1">'[14]Employment Data Sectors (wages)'!$W$13:$W$8187</definedName>
    <definedName name="_18__123Graph_CCHART_1" hidden="1">'[15]Employment Data Sectors (wages)'!$C$8173:$C$8184</definedName>
    <definedName name="_19__123Graph_CCHART_1" hidden="1">'[14]Employment Data Sectors (wages)'!$C$8173:$C$8184</definedName>
    <definedName name="_19__123Graph_CCHART_2" hidden="1">'[15]Employment Data Sectors (wages)'!$C$8173:$C$8184</definedName>
    <definedName name="_1992BOPB" localSheetId="17">#REF!</definedName>
    <definedName name="_1992BOPB" localSheetId="22">#REF!</definedName>
    <definedName name="_1992BOPB" localSheetId="26">#REF!</definedName>
    <definedName name="_1992BOPB">#REF!</definedName>
    <definedName name="_1Macros_Import_.qbop" localSheetId="22">[16]!'[Macros Import].qbop'</definedName>
    <definedName name="_1Macros_Import_.qbop">[16]!'[Macros Import].qbop'</definedName>
    <definedName name="_2__123Graph_ADEV_EMPL" localSheetId="22" hidden="1">'[5]Time series'!#REF!</definedName>
    <definedName name="_2__123Graph_ADEV_EMPL" hidden="1">'[5]Time series'!#REF!</definedName>
    <definedName name="_2__123Graph_ACHART_1" hidden="1">'[15]Employment Data Sectors (wages)'!$A$8173:$A$8184</definedName>
    <definedName name="_20__123Graph_ACHART_7" localSheetId="17" hidden="1">'[13]Employment Data Sectors (wages)'!$Y$8175:$Y$8186</definedName>
    <definedName name="_20__123Graph_ACHART_7" hidden="1">'[13]Employment Data Sectors (wages)'!$Y$8175:$Y$8186</definedName>
    <definedName name="_20__123Graph_CCHART_2" hidden="1">'[14]Employment Data Sectors (wages)'!$C$8173:$C$8184</definedName>
    <definedName name="_20__123Graph_CCHART_3" hidden="1">'[15]Employment Data Sectors (wages)'!$C$11:$C$8185</definedName>
    <definedName name="_20Macros_Import_.qbop" localSheetId="22">[16]!'[Macros Import].qbop'</definedName>
    <definedName name="_20Macros_Import_.qbop">[16]!'[Macros Import].qbop'</definedName>
    <definedName name="_21__123Graph_CCHART_3" hidden="1">'[14]Employment Data Sectors (wages)'!$C$11:$C$8185</definedName>
    <definedName name="_21__123Graph_CCHART_4" hidden="1">'[15]Employment Data Sectors (wages)'!$C$12:$C$23</definedName>
    <definedName name="_22__123Graph_ACHART_8" localSheetId="17" hidden="1">'[13]Employment Data Sectors (wages)'!$W$8175:$W$8186</definedName>
    <definedName name="_22__123Graph_ACHART_8" hidden="1">'[13]Employment Data Sectors (wages)'!$W$8175:$W$8186</definedName>
    <definedName name="_22__123Graph_CCHART_4" hidden="1">'[14]Employment Data Sectors (wages)'!$C$12:$C$23</definedName>
    <definedName name="_22__123Graph_CCHART_5" hidden="1">'[15]Employment Data Sectors (wages)'!$C$24:$C$35</definedName>
    <definedName name="_23__123Graph_CCHART_5" hidden="1">'[14]Employment Data Sectors (wages)'!$C$24:$C$35</definedName>
    <definedName name="_23__123Graph_CCHART_6" hidden="1">'[15]Employment Data Sectors (wages)'!$U$49:$U$8103</definedName>
    <definedName name="_24__123Graph_BCHART_1" localSheetId="17" hidden="1">'[13]Employment Data Sectors (wages)'!$B$8173:$B$8184</definedName>
    <definedName name="_24__123Graph_BCHART_1" hidden="1">'[13]Employment Data Sectors (wages)'!$B$8173:$B$8184</definedName>
    <definedName name="_24__123Graph_CCHART_6" hidden="1">'[14]Employment Data Sectors (wages)'!$U$49:$U$8103</definedName>
    <definedName name="_24__123Graph_CCHART_7" hidden="1">'[15]Employment Data Sectors (wages)'!$Y$14:$Y$25</definedName>
    <definedName name="_25__123Graph_ACHART_1" hidden="1">'[13]Employment Data Sectors (wages)'!$A$8173:$A$8184</definedName>
    <definedName name="_25__123Graph_CCHART_7" hidden="1">'[14]Employment Data Sectors (wages)'!$Y$14:$Y$25</definedName>
    <definedName name="_25__123Graph_CCHART_8" hidden="1">'[15]Employment Data Sectors (wages)'!$W$14:$W$25</definedName>
    <definedName name="_26__123Graph_BCHART_2" localSheetId="17" hidden="1">'[13]Employment Data Sectors (wages)'!$B$8173:$B$8184</definedName>
    <definedName name="_26__123Graph_BCHART_2" hidden="1">'[13]Employment Data Sectors (wages)'!$B$8173:$B$8184</definedName>
    <definedName name="_26__123Graph_CCHART_8" hidden="1">'[14]Employment Data Sectors (wages)'!$W$14:$W$25</definedName>
    <definedName name="_26__123Graph_DCHART_7" hidden="1">'[15]Employment Data Sectors (wages)'!$Y$26:$Y$37</definedName>
    <definedName name="_27__123Graph_DCHART_7" hidden="1">'[14]Employment Data Sectors (wages)'!$Y$26:$Y$37</definedName>
    <definedName name="_27__123Graph_DCHART_8" hidden="1">'[15]Employment Data Sectors (wages)'!$W$26:$W$37</definedName>
    <definedName name="_28__123Graph_BCHART_3" localSheetId="17" hidden="1">'[13]Employment Data Sectors (wages)'!$B$11:$B$8185</definedName>
    <definedName name="_28__123Graph_BCHART_3" hidden="1">'[13]Employment Data Sectors (wages)'!$B$11:$B$8185</definedName>
    <definedName name="_28__123Graph_DCHART_8" hidden="1">'[14]Employment Data Sectors (wages)'!$W$26:$W$37</definedName>
    <definedName name="_28__123Graph_ECHART_7" hidden="1">'[15]Employment Data Sectors (wages)'!$Y$38:$Y$49</definedName>
    <definedName name="_29__123Graph_ECHART_7" hidden="1">'[14]Employment Data Sectors (wages)'!$Y$38:$Y$49</definedName>
    <definedName name="_29__123Graph_ECHART_8" hidden="1">'[15]Employment Data Sectors (wages)'!$H$86:$H$99</definedName>
    <definedName name="_2Macros_Import_.qbop" localSheetId="22">[16]!'[Macros Import].qbop'</definedName>
    <definedName name="_2Macros_Import_.qbop">[16]!'[Macros Import].qbop'</definedName>
    <definedName name="_3__123Graph_ACHART_1" hidden="1">'[14]Employment Data Sectors (wages)'!$A$8173:$A$8184</definedName>
    <definedName name="_3__123Graph_ACHART_2" hidden="1">'[15]Employment Data Sectors (wages)'!$A$8173:$A$8184</definedName>
    <definedName name="_3__123Graph_BDEV_EMPL" localSheetId="17" hidden="1">'[5]Time series'!#REF!</definedName>
    <definedName name="_3__123Graph_BDEV_EMPL" localSheetId="22" hidden="1">'[5]Time series'!#REF!</definedName>
    <definedName name="_3__123Graph_BDEV_EMPL" hidden="1">'[5]Time series'!#REF!</definedName>
    <definedName name="_30__123Graph_ACHART_2" hidden="1">'[13]Employment Data Sectors (wages)'!$A$8173:$A$8184</definedName>
    <definedName name="_30__123Graph_BCHART_4" localSheetId="17" hidden="1">'[13]Employment Data Sectors (wages)'!$B$12:$B$23</definedName>
    <definedName name="_30__123Graph_BCHART_4" hidden="1">'[13]Employment Data Sectors (wages)'!$B$12:$B$23</definedName>
    <definedName name="_30__123Graph_ECHART_8" hidden="1">'[14]Employment Data Sectors (wages)'!$H$86:$H$99</definedName>
    <definedName name="_30__123Graph_FCHART_8" hidden="1">'[15]Employment Data Sectors (wages)'!$H$6:$H$17</definedName>
    <definedName name="_31__123Graph_FCHART_8" hidden="1">'[14]Employment Data Sectors (wages)'!$H$6:$H$17</definedName>
    <definedName name="_32__123Graph_BCHART_5" localSheetId="17" hidden="1">'[13]Employment Data Sectors (wages)'!$B$24:$B$35</definedName>
    <definedName name="_32__123Graph_BCHART_5" hidden="1">'[13]Employment Data Sectors (wages)'!$B$24:$B$35</definedName>
    <definedName name="_34__123Graph_BCHART_6" localSheetId="17" hidden="1">'[13]Employment Data Sectors (wages)'!$AS$49:$AS$8103</definedName>
    <definedName name="_34__123Graph_BCHART_6" hidden="1">'[13]Employment Data Sectors (wages)'!$AS$49:$AS$8103</definedName>
    <definedName name="_35__123Graph_ACHART_3" hidden="1">'[13]Employment Data Sectors (wages)'!$A$11:$A$8185</definedName>
    <definedName name="_36__123Graph_BCHART_7" localSheetId="17" hidden="1">'[13]Employment Data Sectors (wages)'!$Y$13:$Y$8187</definedName>
    <definedName name="_36__123Graph_BCHART_7" hidden="1">'[13]Employment Data Sectors (wages)'!$Y$13:$Y$8187</definedName>
    <definedName name="_38__123Graph_BCHART_8" localSheetId="17" hidden="1">'[13]Employment Data Sectors (wages)'!$W$13:$W$8187</definedName>
    <definedName name="_38__123Graph_BCHART_8" hidden="1">'[13]Employment Data Sectors (wages)'!$W$13:$W$8187</definedName>
    <definedName name="_4__123Graph_ACHART_2" hidden="1">'[14]Employment Data Sectors (wages)'!$A$8173:$A$8184</definedName>
    <definedName name="_4__123Graph_ACHART_3" hidden="1">'[15]Employment Data Sectors (wages)'!$A$11:$A$8185</definedName>
    <definedName name="_4__123Graph_CDEV_EMPL" localSheetId="17" hidden="1">'[5]Time series'!#REF!</definedName>
    <definedName name="_4__123Graph_CDEV_EMPL" localSheetId="22" hidden="1">'[5]Time series'!#REF!</definedName>
    <definedName name="_4__123Graph_CDEV_EMPL" hidden="1">'[5]Time series'!#REF!</definedName>
    <definedName name="_40__123Graph_ACHART_4" hidden="1">'[13]Employment Data Sectors (wages)'!$A$12:$A$23</definedName>
    <definedName name="_40__123Graph_CCHART_1" localSheetId="17" hidden="1">'[13]Employment Data Sectors (wages)'!$C$8173:$C$8184</definedName>
    <definedName name="_40__123Graph_CCHART_1" hidden="1">'[13]Employment Data Sectors (wages)'!$C$8173:$C$8184</definedName>
    <definedName name="_42__123Graph_CCHART_2" localSheetId="17" hidden="1">'[13]Employment Data Sectors (wages)'!$C$8173:$C$8184</definedName>
    <definedName name="_42__123Graph_CCHART_2" hidden="1">'[13]Employment Data Sectors (wages)'!$C$8173:$C$8184</definedName>
    <definedName name="_44__123Graph_CCHART_3" localSheetId="17" hidden="1">'[13]Employment Data Sectors (wages)'!$C$11:$C$8185</definedName>
    <definedName name="_44__123Graph_CCHART_3" hidden="1">'[13]Employment Data Sectors (wages)'!$C$11:$C$8185</definedName>
    <definedName name="_45__123Graph_ACHART_5" hidden="1">'[13]Employment Data Sectors (wages)'!$A$24:$A$35</definedName>
    <definedName name="_46__123Graph_CCHART_4" localSheetId="17" hidden="1">'[13]Employment Data Sectors (wages)'!$C$12:$C$23</definedName>
    <definedName name="_46__123Graph_CCHART_4" hidden="1">'[13]Employment Data Sectors (wages)'!$C$12:$C$23</definedName>
    <definedName name="_48__123Graph_CCHART_5" localSheetId="17" hidden="1">'[13]Employment Data Sectors (wages)'!$C$24:$C$35</definedName>
    <definedName name="_48__123Graph_CCHART_5" hidden="1">'[13]Employment Data Sectors (wages)'!$C$24:$C$35</definedName>
    <definedName name="_5__123Graph_ACHART_3" hidden="1">'[14]Employment Data Sectors (wages)'!$A$11:$A$8185</definedName>
    <definedName name="_5__123Graph_ACHART_4" hidden="1">'[15]Employment Data Sectors (wages)'!$A$12:$A$23</definedName>
    <definedName name="_5__123Graph_CSWE_EMPL" localSheetId="17" hidden="1">'[5]Time series'!#REF!</definedName>
    <definedName name="_5__123Graph_CSWE_EMPL" localSheetId="22" hidden="1">'[5]Time series'!#REF!</definedName>
    <definedName name="_5__123Graph_CSWE_EMPL" hidden="1">'[5]Time series'!#REF!</definedName>
    <definedName name="_50__123Graph_ACHART_6" hidden="1">'[13]Employment Data Sectors (wages)'!$Y$49:$Y$8103</definedName>
    <definedName name="_50__123Graph_CCHART_6" localSheetId="17" hidden="1">'[13]Employment Data Sectors (wages)'!$U$49:$U$8103</definedName>
    <definedName name="_50__123Graph_CCHART_6" hidden="1">'[13]Employment Data Sectors (wages)'!$U$49:$U$8103</definedName>
    <definedName name="_52__123Graph_CCHART_7" localSheetId="17" hidden="1">'[13]Employment Data Sectors (wages)'!$Y$14:$Y$25</definedName>
    <definedName name="_52__123Graph_CCHART_7" hidden="1">'[13]Employment Data Sectors (wages)'!$Y$14:$Y$25</definedName>
    <definedName name="_54__123Graph_CCHART_8" localSheetId="17" hidden="1">'[13]Employment Data Sectors (wages)'!$W$14:$W$25</definedName>
    <definedName name="_54__123Graph_CCHART_8" hidden="1">'[13]Employment Data Sectors (wages)'!$W$14:$W$25</definedName>
    <definedName name="_55__123Graph_ACHART_7" hidden="1">'[13]Employment Data Sectors (wages)'!$Y$8175:$Y$8186</definedName>
    <definedName name="_56__123Graph_DCHART_7" localSheetId="17" hidden="1">'[13]Employment Data Sectors (wages)'!$Y$26:$Y$37</definedName>
    <definedName name="_56__123Graph_DCHART_7" hidden="1">'[13]Employment Data Sectors (wages)'!$Y$26:$Y$37</definedName>
    <definedName name="_58__123Graph_DCHART_8" localSheetId="17" hidden="1">'[13]Employment Data Sectors (wages)'!$W$26:$W$37</definedName>
    <definedName name="_58__123Graph_DCHART_8" hidden="1">'[13]Employment Data Sectors (wages)'!$W$26:$W$37</definedName>
    <definedName name="_6__123Graph_ACHART_4" hidden="1">'[14]Employment Data Sectors (wages)'!$A$12:$A$23</definedName>
    <definedName name="_6__123Graph_ACHART_5" hidden="1">'[15]Employment Data Sectors (wages)'!$A$24:$A$35</definedName>
    <definedName name="_60__123Graph_ACHART_8" hidden="1">'[13]Employment Data Sectors (wages)'!$W$8175:$W$8186</definedName>
    <definedName name="_60__123Graph_ECHART_7" localSheetId="17" hidden="1">'[13]Employment Data Sectors (wages)'!$Y$38:$Y$49</definedName>
    <definedName name="_60__123Graph_ECHART_7" hidden="1">'[13]Employment Data Sectors (wages)'!$Y$38:$Y$49</definedName>
    <definedName name="_62__123Graph_ECHART_8" localSheetId="17" hidden="1">'[13]Employment Data Sectors (wages)'!$H$86:$H$99</definedName>
    <definedName name="_62__123Graph_ECHART_8" hidden="1">'[13]Employment Data Sectors (wages)'!$H$86:$H$99</definedName>
    <definedName name="_64__123Graph_FCHART_8" localSheetId="17" hidden="1">'[13]Employment Data Sectors (wages)'!$H$6:$H$17</definedName>
    <definedName name="_64__123Graph_FCHART_8" hidden="1">'[13]Employment Data Sectors (wages)'!$H$6:$H$17</definedName>
    <definedName name="_65__123Graph_BCHART_1" hidden="1">'[13]Employment Data Sectors (wages)'!$B$8173:$B$8184</definedName>
    <definedName name="_6Macros_Import_.qbop" localSheetId="22">[16]!'[Macros Import].qbop'</definedName>
    <definedName name="_6Macros_Import_.qbop">[16]!'[Macros Import].qbop'</definedName>
    <definedName name="_7__123Graph_ACHART_5" hidden="1">'[14]Employment Data Sectors (wages)'!$A$24:$A$35</definedName>
    <definedName name="_7__123Graph_ACHART_6" hidden="1">'[15]Employment Data Sectors (wages)'!$Y$49:$Y$8103</definedName>
    <definedName name="_70__123Graph_BCHART_2" hidden="1">'[13]Employment Data Sectors (wages)'!$B$8173:$B$8184</definedName>
    <definedName name="_75__123Graph_BCHART_3" hidden="1">'[13]Employment Data Sectors (wages)'!$B$11:$B$8185</definedName>
    <definedName name="_8__123Graph_ACHART_1" localSheetId="17" hidden="1">'[13]Employment Data Sectors (wages)'!$A$8173:$A$8184</definedName>
    <definedName name="_8__123Graph_ACHART_1" hidden="1">'[13]Employment Data Sectors (wages)'!$A$8173:$A$8184</definedName>
    <definedName name="_8__123Graph_ACHART_6" hidden="1">'[14]Employment Data Sectors (wages)'!$Y$49:$Y$8103</definedName>
    <definedName name="_8__123Graph_ACHART_7" hidden="1">'[15]Employment Data Sectors (wages)'!$Y$8175:$Y$8186</definedName>
    <definedName name="_80__123Graph_BCHART_4" hidden="1">'[13]Employment Data Sectors (wages)'!$B$12:$B$23</definedName>
    <definedName name="_85__123Graph_BCHART_5" hidden="1">'[13]Employment Data Sectors (wages)'!$B$24:$B$35</definedName>
    <definedName name="_9__123Graph_ACHART_7" hidden="1">'[14]Employment Data Sectors (wages)'!$Y$8175:$Y$8186</definedName>
    <definedName name="_9__123Graph_ACHART_8" hidden="1">'[15]Employment Data Sectors (wages)'!$W$8175:$W$8186</definedName>
    <definedName name="_90__123Graph_BCHART_6" hidden="1">'[13]Employment Data Sectors (wages)'!$AS$49:$AS$8103</definedName>
    <definedName name="_95__123Graph_BCHART_7" hidden="1">'[13]Employment Data Sectors (wages)'!$Y$13:$Y$8187</definedName>
    <definedName name="_AMO_ContentDefinition_909831962" hidden="1">"'Partitions:10'"</definedName>
    <definedName name="_AMO_ContentDefinition_909831962.0" hidden="1">"'&lt;ContentDefinition name=""P:\Staat_ESVG\ESVG2010\Steuereinnahmen\SAS\DATA\Ergebnistabellen\steuern_klass.sas7bdat"" rsid=""909831962"" type=""DataSet"" format=""ReportXml"" imgfmt=""ActiveX"" created=""09/29/2014 13:23:49"" modifed=""09/27/2016 16:5'"</definedName>
    <definedName name="_AMO_ContentDefinition_909831962.1" hidden="1">"'7:08"" user=""HELPERSTORFER Christian"" apply=""False"" css=""C:\Program Files (x86)\SASHome\x86\SASAddinforMicrosoftOffice\6.1\Styles\AMODefault.css"" range=""P__Staat_ESVG_ESVG2010_Steuereinnahmen_SAS_DATA_Ergebnistabellen_steuern_klass_sas7bdat"" '"</definedName>
    <definedName name="_AMO_ContentDefinition_909831962.2" hidden="1">"'auto=""False"" xTime=""00:00:00"" rTime=""00:00:06.1464788"" bgnew=""False"" nFmt=""False"" grphSet=""False"" imgY=""0"" imgX=""0"" redirect=""False""&gt;_x000D_
  &lt;files /&gt;_x000D_
  &lt;parents /&gt;_x000D_
  &lt;children /&gt;_x000D_
  &lt;param n=""AMO_Version"" v=""6.1"" /&gt;_x000D_
  &lt;param n'"</definedName>
    <definedName name="_AMO_ContentDefinition_909831962.3" hidden="1">"'=""DisplayName"" v=""P:\Staat_ESVG\ESVG2010\Steuereinnahmen\SAS\DATA\Ergebnistabellen\steuern_klass.sas7bdat"" /&gt;_x000D_
  &lt;param n=""DisplayType"" v=""Datei"" /&gt;_x000D_
  &lt;param n=""DataSourceType"" v=""SAS DATASET"" /&gt;_x000D_
  &lt;param n=""SASFilter"" v="""" /&gt;_x000D_
  &lt;p'"</definedName>
    <definedName name="_AMO_ContentDefinition_909831962.4" hidden="1">"'aram n=""MoreSheetsForRows"" v=""True"" /&gt;_x000D_
  &lt;param n=""PageSize"" v=""500"" /&gt;_x000D_
  &lt;param n=""ShowRowNumbers"" v=""False"" /&gt;_x000D_
  &lt;param n=""ShowInfoInSheet"" v=""False"" /&gt;_x000D_
  &lt;param n=""CredKey"" v=""P:\Staat_ESVG\ESVG2010\Steuereinnahmen\SAS\DATA\E'"</definedName>
    <definedName name="_AMO_ContentDefinition_909831962.5" hidden="1">"'rgebnistabellen\steuern_klass.sas7bdat"" /&gt;_x000D_
  &lt;param n=""ClassName"" v=""SAS.OfficeAddin.DataViewItem"" /&gt;_x000D_
  &lt;param n=""ServerName"" v="""" /&gt;_x000D_
  &lt;param n=""DataSource"" v=""&amp;lt;SasDataSource Version=&amp;quot;4.2&amp;quot; Type=&amp;quot;SAS.Servers.Dataset&amp;qu'"</definedName>
    <definedName name="_AMO_ContentDefinition_909831962.6" hidden="1">"'ot;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Name=&amp;quot;P:\Staat_ESVG\ESVG2010'"</definedName>
    <definedName name="_AMO_ContentDefinition_909831962.7" hidden="1">"'\Steuereinnahmen\SAS\DATA\Ergebnistabellen\steuern_klass.sas7bdat&amp;quot; /&amp;gt;"" /&gt;_x000D_
  &lt;param n=""ExcelTableColumnCount"" v=""27"" /&gt;_x000D_
  &lt;param n=""ExcelTableRowCount"" v=""7580"" /&gt;_x000D_
  &lt;param n=""DataRowCount"" v=""7580"" /&gt;_x000D_
  &lt;param n=""DataColCo'"</definedName>
    <definedName name="_AMO_ContentDefinition_909831962.8" hidden="1">"'unt"" v=""27"" /&gt;_x000D_
  &lt;param n=""ObsColumn"" v=""false"" /&gt;_x000D_
  &lt;param n=""ExcelFormattingHash"" v=""-614629894"" /&gt;_x000D_
  &lt;param n=""ExcelFormatting"" v=""Automatic"" /&gt;_x000D_
  &lt;ExcelXMLOptions AdjColWidths=""True"" RowOpt=""InsertCells"" ColOpt=""InsertCell'"</definedName>
    <definedName name="_AMO_ContentDefinition_909831962.9" hidden="1">"'s"" /&gt;_x000D_
&lt;/ContentDefinition&gt;'"</definedName>
    <definedName name="_AMO_ContentLocation_909831962__A1" hidden="1">"'Partitions:2'"</definedName>
    <definedName name="_AMO_ContentLocation_909831962__A1.0" hidden="1">"'&lt;ContentLocation path=""A1"" rsid=""909831962"" tag="""" fid=""0""&gt;_x000D_
  &lt;param n=""_NumRows"" v=""7581"" /&gt;_x000D_
  &lt;param n=""_NumCols"" v=""27"" /&gt;_x000D_
  &lt;param n=""SASDataState"" v=""none"" /&gt;_x000D_
  &lt;param n=""SASDataStart"" v=""1"" /&gt;_x000D_
  &lt;param n=""SASData'"</definedName>
    <definedName name="_AMO_ContentLocation_909831962__A1.1" hidden="1">"'End"" v=""7580"" /&gt;_x000D_
&lt;/ContentLocation&gt;'"</definedName>
    <definedName name="_AMO_SingleObject_909831962__A1" localSheetId="22" hidden="1">#REF!</definedName>
    <definedName name="_AMO_SingleObject_909831962__A1" hidden="1">#REF!</definedName>
    <definedName name="_AMO_XmlVersion" hidden="1">"'1'"</definedName>
    <definedName name="_BOP1" localSheetId="17">#REF!</definedName>
    <definedName name="_BOP1" localSheetId="22">#REF!</definedName>
    <definedName name="_BOP1" localSheetId="26">#REF!</definedName>
    <definedName name="_BOP1">#REF!</definedName>
    <definedName name="_BOP2" localSheetId="17">[1]BoP!#REF!</definedName>
    <definedName name="_BOP2" localSheetId="22">[1]BoP!#REF!</definedName>
    <definedName name="_BOP2" localSheetId="26">[1]BoP!#REF!</definedName>
    <definedName name="_BOP2">[1]BoP!#REF!</definedName>
    <definedName name="_dat1" localSheetId="22">'[2]work Q real'!#REF!</definedName>
    <definedName name="_dat1" localSheetId="26">'[2]work Q real'!#REF!</definedName>
    <definedName name="_dat1">'[2]work Q real'!#REF!</definedName>
    <definedName name="_dat2" localSheetId="17">#REF!</definedName>
    <definedName name="_dat2" localSheetId="22">#REF!</definedName>
    <definedName name="_dat2" localSheetId="26">#REF!</definedName>
    <definedName name="_dat2">#REF!</definedName>
    <definedName name="_EXP5" localSheetId="17">#REF!</definedName>
    <definedName name="_EXP5" localSheetId="22">#REF!</definedName>
    <definedName name="_EXP5" localSheetId="26">#REF!</definedName>
    <definedName name="_EXP5">#REF!</definedName>
    <definedName name="_EXP6" localSheetId="17">#REF!</definedName>
    <definedName name="_EXP6" localSheetId="22">#REF!</definedName>
    <definedName name="_EXP6" localSheetId="26">#REF!</definedName>
    <definedName name="_EXP6">#REF!</definedName>
    <definedName name="_EXP7" localSheetId="17">#REF!</definedName>
    <definedName name="_EXP7" localSheetId="22">#REF!</definedName>
    <definedName name="_EXP7">#REF!</definedName>
    <definedName name="_EXP9" localSheetId="17">#REF!</definedName>
    <definedName name="_EXP9" localSheetId="22">#REF!</definedName>
    <definedName name="_EXP9">#REF!</definedName>
    <definedName name="_Fill" localSheetId="17" hidden="1">#REF!</definedName>
    <definedName name="_Fill" localSheetId="22" hidden="1">#REF!</definedName>
    <definedName name="_Fill" hidden="1">#REF!</definedName>
    <definedName name="_xlnm._FilterDatabase" localSheetId="12" hidden="1">'Graf 12'!#REF!</definedName>
    <definedName name="_IMP10" localSheetId="12">#REF!</definedName>
    <definedName name="_IMP10" localSheetId="17">#REF!</definedName>
    <definedName name="_IMP10" localSheetId="22">#REF!</definedName>
    <definedName name="_IMP10">#REF!</definedName>
    <definedName name="_IMP2" localSheetId="12">#REF!</definedName>
    <definedName name="_IMP2" localSheetId="17">#REF!</definedName>
    <definedName name="_IMP2" localSheetId="22">#REF!</definedName>
    <definedName name="_IMP2">#REF!</definedName>
    <definedName name="_IMP4" localSheetId="12">#REF!</definedName>
    <definedName name="_IMP4" localSheetId="17">#REF!</definedName>
    <definedName name="_IMP4" localSheetId="22">#REF!</definedName>
    <definedName name="_IMP4">#REF!</definedName>
    <definedName name="_IMP6" localSheetId="17">#REF!</definedName>
    <definedName name="_IMP6" localSheetId="22">#REF!</definedName>
    <definedName name="_IMP6">#REF!</definedName>
    <definedName name="_IMP7" localSheetId="17">#REF!</definedName>
    <definedName name="_IMP7" localSheetId="22">#REF!</definedName>
    <definedName name="_IMP7">#REF!</definedName>
    <definedName name="_IMP8" localSheetId="17">#REF!</definedName>
    <definedName name="_IMP8" localSheetId="22">#REF!</definedName>
    <definedName name="_IMP8">#REF!</definedName>
    <definedName name="_MTS2" localSheetId="17">'[3]Annual Tables'!#REF!</definedName>
    <definedName name="_MTS2" localSheetId="22">'[3]Annual Tables'!#REF!</definedName>
    <definedName name="_MTS2">'[3]Annual Tables'!#REF!</definedName>
    <definedName name="_Order1" hidden="1">255</definedName>
    <definedName name="_Order2" hidden="1">255</definedName>
    <definedName name="_OUT1" localSheetId="17">#REF!</definedName>
    <definedName name="_OUT1" localSheetId="22">#REF!</definedName>
    <definedName name="_OUT1" localSheetId="26">#REF!</definedName>
    <definedName name="_OUT1">#REF!</definedName>
    <definedName name="_OUT2" localSheetId="17">#REF!</definedName>
    <definedName name="_OUT2" localSheetId="22">#REF!</definedName>
    <definedName name="_OUT2" localSheetId="26">#REF!</definedName>
    <definedName name="_OUT2">#REF!</definedName>
    <definedName name="_PAG2" localSheetId="17">[3]Index!#REF!</definedName>
    <definedName name="_PAG2" localSheetId="22">[3]Index!#REF!</definedName>
    <definedName name="_PAG2" localSheetId="26">[3]Index!#REF!</definedName>
    <definedName name="_PAG2">[3]Index!#REF!</definedName>
    <definedName name="_PAG3" localSheetId="17">[3]Index!#REF!</definedName>
    <definedName name="_PAG3" localSheetId="22">[3]Index!#REF!</definedName>
    <definedName name="_PAG3" localSheetId="26">[3]Index!#REF!</definedName>
    <definedName name="_PAG3">[3]Index!#REF!</definedName>
    <definedName name="_PAG4" localSheetId="17">[3]Index!#REF!</definedName>
    <definedName name="_PAG4" localSheetId="22">[3]Index!#REF!</definedName>
    <definedName name="_PAG4">[3]Index!#REF!</definedName>
    <definedName name="_PAG5" localSheetId="17">[3]Index!#REF!</definedName>
    <definedName name="_PAG5" localSheetId="22">[3]Index!#REF!</definedName>
    <definedName name="_PAG5">[3]Index!#REF!</definedName>
    <definedName name="_PAG6" localSheetId="17">[3]Index!#REF!</definedName>
    <definedName name="_PAG6" localSheetId="22">[3]Index!#REF!</definedName>
    <definedName name="_PAG6">[3]Index!#REF!</definedName>
    <definedName name="_PAG7" localSheetId="17">#REF!</definedName>
    <definedName name="_PAG7" localSheetId="22">#REF!</definedName>
    <definedName name="_PAG7" localSheetId="26">#REF!</definedName>
    <definedName name="_PAG7">#REF!</definedName>
    <definedName name="_pro2001">[11]pro2001!$A$1:$B$72</definedName>
    <definedName name="_r13" localSheetId="12">[17]splatnosti!$V$39</definedName>
    <definedName name="_r13" localSheetId="17">[17]splatnosti!$V$39</definedName>
    <definedName name="_r13">[17]splatnosti!$V$39</definedName>
    <definedName name="_r14" localSheetId="12">[17]splatnosti!$V$40</definedName>
    <definedName name="_r14" localSheetId="17">[17]splatnosti!$V$40</definedName>
    <definedName name="_r14">[17]splatnosti!$V$40</definedName>
    <definedName name="_Regression_X" localSheetId="17" hidden="1">#REF!</definedName>
    <definedName name="_Regression_X" localSheetId="22" hidden="1">#REF!</definedName>
    <definedName name="_Regression_X" hidden="1">#REF!</definedName>
    <definedName name="_Regression_Y" localSheetId="17" hidden="1">#REF!</definedName>
    <definedName name="_Regression_Y" localSheetId="22" hidden="1">#REF!</definedName>
    <definedName name="_Regression_Y" hidden="1">#REF!</definedName>
    <definedName name="_RES2" localSheetId="12">[1]RES!#REF!</definedName>
    <definedName name="_RES2" localSheetId="17">[1]RES!#REF!</definedName>
    <definedName name="_RES2" localSheetId="22">[1]RES!#REF!</definedName>
    <definedName name="_RES2">[1]RES!#REF!</definedName>
    <definedName name="_RULC">[18]REER!$BA$144:$BA$206</definedName>
    <definedName name="_TAB1" localSheetId="17">#REF!</definedName>
    <definedName name="_TAB1" localSheetId="22">#REF!</definedName>
    <definedName name="_TAB1" localSheetId="26">#REF!</definedName>
    <definedName name="_TAB1">#REF!</definedName>
    <definedName name="_TAB10" localSheetId="17">#REF!</definedName>
    <definedName name="_TAB10" localSheetId="22">#REF!</definedName>
    <definedName name="_TAB10" localSheetId="26">#REF!</definedName>
    <definedName name="_TAB10">#REF!</definedName>
    <definedName name="_TAB12" localSheetId="17">#REF!</definedName>
    <definedName name="_TAB12" localSheetId="22">#REF!</definedName>
    <definedName name="_TAB12" localSheetId="26">#REF!</definedName>
    <definedName name="_TAB12">#REF!</definedName>
    <definedName name="_Tab19" localSheetId="17">#REF!</definedName>
    <definedName name="_Tab19" localSheetId="22">#REF!</definedName>
    <definedName name="_Tab19">#REF!</definedName>
    <definedName name="_TAB2" localSheetId="17">#REF!</definedName>
    <definedName name="_TAB2" localSheetId="22">#REF!</definedName>
    <definedName name="_TAB2">#REF!</definedName>
    <definedName name="_Tab20" localSheetId="17">#REF!</definedName>
    <definedName name="_Tab20" localSheetId="22">#REF!</definedName>
    <definedName name="_Tab20">#REF!</definedName>
    <definedName name="_Tab21" localSheetId="17">#REF!</definedName>
    <definedName name="_Tab21" localSheetId="22">#REF!</definedName>
    <definedName name="_Tab21">#REF!</definedName>
    <definedName name="_Tab22" localSheetId="17">#REF!</definedName>
    <definedName name="_Tab22" localSheetId="22">#REF!</definedName>
    <definedName name="_Tab22">#REF!</definedName>
    <definedName name="_Tab23" localSheetId="17">#REF!</definedName>
    <definedName name="_Tab23" localSheetId="22">#REF!</definedName>
    <definedName name="_Tab23">#REF!</definedName>
    <definedName name="_Tab24" localSheetId="17">#REF!</definedName>
    <definedName name="_Tab24" localSheetId="22">#REF!</definedName>
    <definedName name="_Tab24">#REF!</definedName>
    <definedName name="_Tab26" localSheetId="17">#REF!</definedName>
    <definedName name="_Tab26" localSheetId="22">#REF!</definedName>
    <definedName name="_Tab26">#REF!</definedName>
    <definedName name="_Tab27" localSheetId="17">#REF!</definedName>
    <definedName name="_Tab27" localSheetId="22">#REF!</definedName>
    <definedName name="_Tab27">#REF!</definedName>
    <definedName name="_Tab28" localSheetId="17">#REF!</definedName>
    <definedName name="_Tab28" localSheetId="22">#REF!</definedName>
    <definedName name="_Tab28">#REF!</definedName>
    <definedName name="_Tab29" localSheetId="17">#REF!</definedName>
    <definedName name="_Tab29" localSheetId="22">#REF!</definedName>
    <definedName name="_Tab29">#REF!</definedName>
    <definedName name="_TAB3" localSheetId="17">#REF!</definedName>
    <definedName name="_TAB3" localSheetId="22">#REF!</definedName>
    <definedName name="_TAB3">#REF!</definedName>
    <definedName name="_Tab30" localSheetId="17">#REF!</definedName>
    <definedName name="_Tab30" localSheetId="22">#REF!</definedName>
    <definedName name="_Tab30">#REF!</definedName>
    <definedName name="_Tab31" localSheetId="17">#REF!</definedName>
    <definedName name="_Tab31" localSheetId="22">#REF!</definedName>
    <definedName name="_Tab31">#REF!</definedName>
    <definedName name="_Tab32" localSheetId="17">#REF!</definedName>
    <definedName name="_Tab32" localSheetId="22">#REF!</definedName>
    <definedName name="_Tab32">#REF!</definedName>
    <definedName name="_Tab33" localSheetId="17">#REF!</definedName>
    <definedName name="_Tab33" localSheetId="22">#REF!</definedName>
    <definedName name="_Tab33">#REF!</definedName>
    <definedName name="_Tab34" localSheetId="17">#REF!</definedName>
    <definedName name="_Tab34" localSheetId="22">#REF!</definedName>
    <definedName name="_Tab34">#REF!</definedName>
    <definedName name="_Tab35" localSheetId="17">#REF!</definedName>
    <definedName name="_Tab35" localSheetId="22">#REF!</definedName>
    <definedName name="_Tab35">#REF!</definedName>
    <definedName name="_TAB4" localSheetId="17">#REF!</definedName>
    <definedName name="_TAB4" localSheetId="22">#REF!</definedName>
    <definedName name="_TAB4">#REF!</definedName>
    <definedName name="_TAB5" localSheetId="17">#REF!</definedName>
    <definedName name="_TAB5" localSheetId="22">#REF!</definedName>
    <definedName name="_TAB5">#REF!</definedName>
    <definedName name="_tab6" localSheetId="17">#REF!</definedName>
    <definedName name="_tab6" localSheetId="22">#REF!</definedName>
    <definedName name="_tab6">#REF!</definedName>
    <definedName name="_TAB7" localSheetId="17">#REF!</definedName>
    <definedName name="_TAB7" localSheetId="22">#REF!</definedName>
    <definedName name="_TAB7">#REF!</definedName>
    <definedName name="_TAB8" localSheetId="17">#REF!</definedName>
    <definedName name="_TAB8" localSheetId="22">#REF!</definedName>
    <definedName name="_TAB8">#REF!</definedName>
    <definedName name="_tab9" localSheetId="17">#REF!</definedName>
    <definedName name="_tab9" localSheetId="22">#REF!</definedName>
    <definedName name="_tab9">#REF!</definedName>
    <definedName name="_TB41" localSheetId="17">#REF!</definedName>
    <definedName name="_TB41" localSheetId="22">#REF!</definedName>
    <definedName name="_TB41">#REF!</definedName>
    <definedName name="_Toc21894800" localSheetId="25">'Graf 24 + 25'!$B$37</definedName>
    <definedName name="_Toc463861271" localSheetId="26">'Graf 26 + 27'!$B$30</definedName>
    <definedName name="_Toc495334756" localSheetId="39">'Tabuľka 17'!#REF!</definedName>
    <definedName name="_Toc495395955" localSheetId="32">'Tabuľka 11'!$B$4</definedName>
    <definedName name="_Toc495395979" localSheetId="34">'Tabuľka 13 '!$B$4</definedName>
    <definedName name="_Toc526688278" localSheetId="37">'Tabuľka 15'!$B$5</definedName>
    <definedName name="_Toc526688280" localSheetId="29">'Tabuľka 8'!$B$5</definedName>
    <definedName name="_Toc53414067" localSheetId="33">'Tabuľka 12'!$B$5</definedName>
    <definedName name="_Toc53414069" localSheetId="36">'Tabuľka 14'!$B$5</definedName>
    <definedName name="_Toc53500237" localSheetId="38">'Tabuľka 16'!$B$6</definedName>
    <definedName name="_Toc85101878" localSheetId="16">'Graf 15+16'!$B$11</definedName>
    <definedName name="_Toc85101879" localSheetId="16">'Graf 15+16'!$I$11</definedName>
    <definedName name="_WEO1" localSheetId="17">#REF!</definedName>
    <definedName name="_WEO1" localSheetId="22">#REF!</definedName>
    <definedName name="_WEO1" localSheetId="26">#REF!</definedName>
    <definedName name="_WEO1">#REF!</definedName>
    <definedName name="_WEO2" localSheetId="17">#REF!</definedName>
    <definedName name="_WEO2" localSheetId="22">#REF!</definedName>
    <definedName name="_WEO2" localSheetId="26">#REF!</definedName>
    <definedName name="_WEO2">#REF!</definedName>
    <definedName name="a" hidden="1">[18]REER!$AZ$144:$AZ$210</definedName>
    <definedName name="aaa" localSheetId="22" hidden="1">'[9]i2-KA'!#REF!</definedName>
    <definedName name="aaa" hidden="1">'[9]i2-KA'!#REF!</definedName>
    <definedName name="aaaaaaaaaaaaaa">[19]!aaaaaaaaaaaaaa</definedName>
    <definedName name="aas">[20]Contents!$A$1:$C$25</definedName>
    <definedName name="aloha" localSheetId="22" hidden="1">'[21]i2-KA'!#REF!</definedName>
    <definedName name="aloha" localSheetId="26" hidden="1">'[21]i2-KA'!#REF!</definedName>
    <definedName name="aloha" hidden="1">'[21]i2-KA'!#REF!</definedName>
    <definedName name="ANNUALNOM" localSheetId="17">#REF!</definedName>
    <definedName name="ANNUALNOM" localSheetId="22">#REF!</definedName>
    <definedName name="ANNUALNOM" localSheetId="26">#REF!</definedName>
    <definedName name="ANNUALNOM">#REF!</definedName>
    <definedName name="as">'[20]i-REER'!$A$2:$F$104</definedName>
    <definedName name="ASSUM" localSheetId="17">#REF!</definedName>
    <definedName name="ASSUM" localSheetId="22">#REF!</definedName>
    <definedName name="ASSUM" localSheetId="26">#REF!</definedName>
    <definedName name="ASSUM">#REF!</definedName>
    <definedName name="ASSUMB" localSheetId="17">#REF!</definedName>
    <definedName name="ASSUMB" localSheetId="22">#REF!</definedName>
    <definedName name="ASSUMB" localSheetId="26">#REF!</definedName>
    <definedName name="ASSUMB">#REF!</definedName>
    <definedName name="atrade" localSheetId="22">[16]!atrade</definedName>
    <definedName name="atrade">[16]!atrade</definedName>
    <definedName name="b" localSheetId="17">#REF!</definedName>
    <definedName name="b" localSheetId="22">#REF!</definedName>
    <definedName name="b" localSheetId="26">#REF!</definedName>
    <definedName name="b">#REF!</definedName>
    <definedName name="BAKLANBOPB" localSheetId="17">#REF!</definedName>
    <definedName name="BAKLANBOPB" localSheetId="22">#REF!</definedName>
    <definedName name="BAKLANBOPB" localSheetId="26">#REF!</definedName>
    <definedName name="BAKLANBOPB">#REF!</definedName>
    <definedName name="BAKLANDEBT2B" localSheetId="17">#REF!</definedName>
    <definedName name="BAKLANDEBT2B" localSheetId="22">#REF!</definedName>
    <definedName name="BAKLANDEBT2B" localSheetId="26">#REF!</definedName>
    <definedName name="BAKLANDEBT2B">#REF!</definedName>
    <definedName name="BAKLDEBT1B" localSheetId="17">#REF!</definedName>
    <definedName name="BAKLDEBT1B" localSheetId="22">#REF!</definedName>
    <definedName name="BAKLDEBT1B">#REF!</definedName>
    <definedName name="BASDAT" localSheetId="17">'[3]Annual Tables'!#REF!</definedName>
    <definedName name="BASDAT" localSheetId="22">'[3]Annual Tables'!#REF!</definedName>
    <definedName name="BASDAT">'[3]Annual Tables'!#REF!</definedName>
    <definedName name="bb" localSheetId="3" hidden="1">{"Riqfin97",#N/A,FALSE,"Tran";"Riqfinpro",#N/A,FALSE,"Tran"}</definedName>
    <definedName name="bb" localSheetId="9" hidden="1">{"Riqfin97",#N/A,FALSE,"Tran";"Riqfinpro",#N/A,FALSE,"Tran"}</definedName>
    <definedName name="bb" localSheetId="17" hidden="1">{"Riqfin97",#N/A,FALSE,"Tran";"Riqfinpro",#N/A,FALSE,"Tran"}</definedName>
    <definedName name="bb" localSheetId="26" hidden="1">{"Riqfin97",#N/A,FALSE,"Tran";"Riqfinpro",#N/A,FALSE,"Tran"}</definedName>
    <definedName name="bb" localSheetId="35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1" hidden="1">{"Riqfin97",#N/A,FALSE,"Tran";"Riqfinpro",#N/A,FALSE,"Tran"}</definedName>
    <definedName name="bb" localSheetId="6" hidden="1">{"Riqfin97",#N/A,FALSE,"Tran";"Riqfinpro",#N/A,FALSE,"Tran"}</definedName>
    <definedName name="bb" localSheetId="39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3" hidden="1">{"Riqfin97",#N/A,FALSE,"Tran";"Riqfinpro",#N/A,FALSE,"Tran"}</definedName>
    <definedName name="bbb" localSheetId="9" hidden="1">{"Riqfin97",#N/A,FALSE,"Tran";"Riqfinpro",#N/A,FALSE,"Tran"}</definedName>
    <definedName name="bbb" localSheetId="17" hidden="1">{"Riqfin97",#N/A,FALSE,"Tran";"Riqfinpro",#N/A,FALSE,"Tran"}</definedName>
    <definedName name="bbb" localSheetId="26" hidden="1">{"Riqfin97",#N/A,FALSE,"Tran";"Riqfinpro",#N/A,FALSE,"Tran"}</definedName>
    <definedName name="bbb" localSheetId="35" hidden="1">{"Riqfin97",#N/A,FALSE,"Tran";"Riqfinpro",#N/A,FALSE,"Tran"}</definedName>
    <definedName name="bbb" localSheetId="5" hidden="1">{"Riqfin97",#N/A,FALSE,"Tran";"Riqfinpro",#N/A,FALSE,"Tran"}</definedName>
    <definedName name="bbb" localSheetId="7" hidden="1">{"Riqfin97",#N/A,FALSE,"Tran";"Riqfinpro",#N/A,FALSE,"Tran"}</definedName>
    <definedName name="bbb" localSheetId="1" hidden="1">{"Riqfin97",#N/A,FALSE,"Tran";"Riqfinpro",#N/A,FALSE,"Tran"}</definedName>
    <definedName name="bbb" localSheetId="6" hidden="1">{"Riqfin97",#N/A,FALSE,"Tran";"Riqfinpro",#N/A,FALSE,"Tran"}</definedName>
    <definedName name="bbb" localSheetId="39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bbbbbbbbbb">[19]!bbbbbbbbbbbbbb</definedName>
    <definedName name="BCA">#N/A</definedName>
    <definedName name="BCA_GDP">#N/A</definedName>
    <definedName name="BE">#N/A</definedName>
    <definedName name="BEA" localSheetId="22">'[22]WEO-BOP'!#REF!</definedName>
    <definedName name="BEA" localSheetId="26">'[22]WEO-BOP'!#REF!</definedName>
    <definedName name="BEA">'[22]WEO-BOP'!#REF!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17">#REF!</definedName>
    <definedName name="BEDE" localSheetId="22">#REF!</definedName>
    <definedName name="BEDE" localSheetId="26">#REF!</definedName>
    <definedName name="BEDE">#REF!</definedName>
    <definedName name="BER" localSheetId="17">'[22]WEO-BOP'!#REF!</definedName>
    <definedName name="BER" localSheetId="22">'[22]WEO-BOP'!#REF!</definedName>
    <definedName name="BER" localSheetId="26">'[22]WEO-BOP'!#REF!</definedName>
    <definedName name="BER">'[22]WEO-BOP'!#REF!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2">'[22]WEO-BOP'!#REF!</definedName>
    <definedName name="BFD" localSheetId="26">'[22]WEO-BOP'!#REF!</definedName>
    <definedName name="BFD">'[22]WEO-BOP'!#REF!</definedName>
    <definedName name="BFDI" localSheetId="22">'[22]WEO-BOP'!#REF!</definedName>
    <definedName name="BFDI" localSheetId="26">'[22]WEO-BOP'!#REF!</definedName>
    <definedName name="BFDI">'[22]WEO-BOP'!#REF!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[19]!BFLD_DF</definedName>
    <definedName name="BFLG">#N/A</definedName>
    <definedName name="BFLG_D">#N/A</definedName>
    <definedName name="BFLG_DF">#N/A</definedName>
    <definedName name="BFO" localSheetId="22">'[22]WEO-BOP'!#REF!</definedName>
    <definedName name="BFO" localSheetId="26">'[22]WEO-BOP'!#REF!</definedName>
    <definedName name="BFO">'[22]WEO-BOP'!#REF!</definedName>
    <definedName name="BFOA" localSheetId="22">'[22]WEO-BOP'!#REF!</definedName>
    <definedName name="BFOA" localSheetId="26">'[22]WEO-BOP'!#REF!</definedName>
    <definedName name="BFOA">'[22]WEO-BOP'!#REF!</definedName>
    <definedName name="BFOAG" localSheetId="22">'[22]WEO-BOP'!#REF!</definedName>
    <definedName name="BFOAG" localSheetId="26">'[22]WEO-BOP'!#REF!</definedName>
    <definedName name="BFOAG">'[22]WEO-BOP'!#REF!</definedName>
    <definedName name="BFOG" localSheetId="22">'[22]WEO-BOP'!#REF!</definedName>
    <definedName name="BFOG">'[22]WEO-BOP'!#REF!</definedName>
    <definedName name="BFOL" localSheetId="22">'[22]WEO-BOP'!#REF!</definedName>
    <definedName name="BFOL">'[22]WEO-BOP'!#REF!</definedName>
    <definedName name="BFOL_B" localSheetId="22">'[22]WEO-BOP'!#REF!</definedName>
    <definedName name="BFOL_B">'[22]WEO-BOP'!#REF!</definedName>
    <definedName name="BFOL_G" localSheetId="22">'[22]WEO-BOP'!#REF!</definedName>
    <definedName name="BFOL_G">'[22]WEO-BOP'!#REF!</definedName>
    <definedName name="BFOLG" localSheetId="22">'[22]WEO-BOP'!#REF!</definedName>
    <definedName name="BFOLG">'[22]WEO-BOP'!#REF!</definedName>
    <definedName name="BFP" localSheetId="22">'[22]WEO-BOP'!#REF!</definedName>
    <definedName name="BFP">'[22]WEO-BOP'!#REF!</definedName>
    <definedName name="BFPA" localSheetId="22">'[22]WEO-BOP'!#REF!</definedName>
    <definedName name="BFPA">'[22]WEO-BOP'!#REF!</definedName>
    <definedName name="BFPAG" localSheetId="22">'[22]WEO-BOP'!#REF!</definedName>
    <definedName name="BFPAG">'[22]WEO-BOP'!#REF!</definedName>
    <definedName name="BFPG" localSheetId="22">'[22]WEO-BOP'!#REF!</definedName>
    <definedName name="BFPG">'[22]WEO-BOP'!#REF!</definedName>
    <definedName name="BFPL" localSheetId="22">'[22]WEO-BOP'!#REF!</definedName>
    <definedName name="BFPL">'[22]WEO-BOP'!#REF!</definedName>
    <definedName name="BFPLD" localSheetId="22">'[22]WEO-BOP'!#REF!</definedName>
    <definedName name="BFPLD">'[22]WEO-BOP'!#REF!</definedName>
    <definedName name="BFPLDG" localSheetId="22">'[22]WEO-BOP'!#REF!</definedName>
    <definedName name="BFPLDG">'[22]WEO-BOP'!#REF!</definedName>
    <definedName name="BFPLE" localSheetId="22">'[22]WEO-BOP'!#REF!</definedName>
    <definedName name="BFPLE">'[22]WEO-BOP'!#REF!</definedName>
    <definedName name="BFRA">#N/A</definedName>
    <definedName name="BGS" localSheetId="22">'[22]WEO-BOP'!#REF!</definedName>
    <definedName name="BGS">'[22]WEO-BOP'!#REF!</definedName>
    <definedName name="BI">#N/A</definedName>
    <definedName name="BID" localSheetId="22">'[22]WEO-BOP'!#REF!</definedName>
    <definedName name="BID">'[22]WEO-BOP'!#REF!</definedName>
    <definedName name="BK">#N/A</definedName>
    <definedName name="BKF">#N/A</definedName>
    <definedName name="BMG">[23]Q6!$E$28:$AH$28</definedName>
    <definedName name="BMII">#N/A</definedName>
    <definedName name="BMIIB">#N/A</definedName>
    <definedName name="BMIIG">#N/A</definedName>
    <definedName name="BMS" localSheetId="3">'[22]WEO-BOP'!#REF!</definedName>
    <definedName name="BMS" localSheetId="9">'[22]WEO-BOP'!#REF!</definedName>
    <definedName name="BMS" localSheetId="22">'[22]WEO-BOP'!#REF!</definedName>
    <definedName name="BMS" localSheetId="26">'[22]WEO-BOP'!#REF!</definedName>
    <definedName name="BMS" localSheetId="35">'[22]WEO-BOP'!#REF!</definedName>
    <definedName name="BMS" localSheetId="5">'[22]WEO-BOP'!#REF!</definedName>
    <definedName name="BMS" localSheetId="7">'[22]WEO-BOP'!#REF!</definedName>
    <definedName name="BMS" localSheetId="6">'[22]WEO-BOP'!#REF!</definedName>
    <definedName name="BMS">'[22]WEO-BOP'!#REF!</definedName>
    <definedName name="Bolivia" localSheetId="17">#REF!</definedName>
    <definedName name="Bolivia" localSheetId="22">#REF!</definedName>
    <definedName name="Bolivia" localSheetId="26">#REF!</definedName>
    <definedName name="Bolivia">#REF!</definedName>
    <definedName name="BOP">#N/A</definedName>
    <definedName name="BOPB" localSheetId="17">#REF!</definedName>
    <definedName name="BOPB" localSheetId="22">#REF!</definedName>
    <definedName name="BOPB" localSheetId="26">#REF!</definedName>
    <definedName name="BOPB">#REF!</definedName>
    <definedName name="BOPMEMOB" localSheetId="17">#REF!</definedName>
    <definedName name="BOPMEMOB" localSheetId="22">#REF!</definedName>
    <definedName name="BOPMEMOB" localSheetId="26">#REF!</definedName>
    <definedName name="BOPMEMOB">#REF!</definedName>
    <definedName name="bracket_2" localSheetId="17">[24]Graf14_Graf15!#REF!</definedName>
    <definedName name="bracket_2" localSheetId="22">[24]Graf14_Graf15!#REF!</definedName>
    <definedName name="bracket_2" localSheetId="26">[24]Graf14_Graf15!#REF!</definedName>
    <definedName name="bracket_2">[24]Graf14_Graf15!#REF!</definedName>
    <definedName name="BRASS" localSheetId="22">'[22]WEO-BOP'!#REF!</definedName>
    <definedName name="BRASS" localSheetId="26">'[22]WEO-BOP'!#REF!</definedName>
    <definedName name="BRASS">'[22]WEO-BOP'!#REF!</definedName>
    <definedName name="Brazil" localSheetId="17">#REF!</definedName>
    <definedName name="Brazil" localSheetId="22">#REF!</definedName>
    <definedName name="Brazil" localSheetId="26">#REF!</definedName>
    <definedName name="Brazil">#REF!</definedName>
    <definedName name="BTR" localSheetId="17">'[22]WEO-BOP'!#REF!</definedName>
    <definedName name="BTR" localSheetId="22">'[22]WEO-BOP'!#REF!</definedName>
    <definedName name="BTR" localSheetId="26">'[22]WEO-BOP'!#REF!</definedName>
    <definedName name="BTR">'[22]WEO-BOP'!#REF!</definedName>
    <definedName name="BTRG" localSheetId="22">'[22]WEO-BOP'!#REF!</definedName>
    <definedName name="BTRG" localSheetId="26">'[22]WEO-BOP'!#REF!</definedName>
    <definedName name="BTRG">'[22]WEO-BOP'!#REF!</definedName>
    <definedName name="BUDGET" localSheetId="17">#REF!</definedName>
    <definedName name="BUDGET" localSheetId="22">#REF!</definedName>
    <definedName name="BUDGET" localSheetId="26">#REF!</definedName>
    <definedName name="BUDGET">#REF!</definedName>
    <definedName name="Budget_expenditure" localSheetId="17">#REF!</definedName>
    <definedName name="Budget_expenditure" localSheetId="22">#REF!</definedName>
    <definedName name="Budget_expenditure" localSheetId="26">#REF!</definedName>
    <definedName name="Budget_expenditure">#REF!</definedName>
    <definedName name="Budget_revenue" localSheetId="17">#REF!</definedName>
    <definedName name="Budget_revenue" localSheetId="22">#REF!</definedName>
    <definedName name="Budget_revenue" localSheetId="26">#REF!</definedName>
    <definedName name="Budget_revenue">#REF!</definedName>
    <definedName name="BXG">[23]Q6!$E$26:$AH$26</definedName>
    <definedName name="BXS" localSheetId="3">'[22]WEO-BOP'!#REF!</definedName>
    <definedName name="BXS" localSheetId="9">'[22]WEO-BOP'!#REF!</definedName>
    <definedName name="BXS" localSheetId="22">'[22]WEO-BOP'!#REF!</definedName>
    <definedName name="BXS" localSheetId="26">'[22]WEO-BOP'!#REF!</definedName>
    <definedName name="BXS" localSheetId="35">'[22]WEO-BOP'!#REF!</definedName>
    <definedName name="BXS" localSheetId="5">'[22]WEO-BOP'!#REF!</definedName>
    <definedName name="BXS" localSheetId="7">'[22]WEO-BOP'!#REF!</definedName>
    <definedName name="BXS" localSheetId="6">'[22]WEO-BOP'!#REF!</definedName>
    <definedName name="BXS">'[22]WEO-BOP'!#REF!</definedName>
    <definedName name="BXTSAq" localSheetId="17">#REF!</definedName>
    <definedName name="BXTSAq" localSheetId="22">#REF!</definedName>
    <definedName name="BXTSAq" localSheetId="26">#REF!</definedName>
    <definedName name="BXTSAq">#REF!</definedName>
    <definedName name="CalcMCV_4" localSheetId="17">#REF!</definedName>
    <definedName name="CalcMCV_4" localSheetId="22">#REF!</definedName>
    <definedName name="CalcMCV_4" localSheetId="26">#REF!</definedName>
    <definedName name="CalcMCV_4">#REF!</definedName>
    <definedName name="calcNGS_NGDP">#N/A</definedName>
    <definedName name="CAPACCB" localSheetId="17">#REF!</definedName>
    <definedName name="CAPACCB" localSheetId="22">#REF!</definedName>
    <definedName name="CAPACCB" localSheetId="26">#REF!</definedName>
    <definedName name="CAPACCB">#REF!</definedName>
    <definedName name="cc" localSheetId="3" hidden="1">{"Riqfin97",#N/A,FALSE,"Tran";"Riqfinpro",#N/A,FALSE,"Tran"}</definedName>
    <definedName name="cc" localSheetId="9" hidden="1">{"Riqfin97",#N/A,FALSE,"Tran";"Riqfinpro",#N/A,FALSE,"Tran"}</definedName>
    <definedName name="cc" localSheetId="17" hidden="1">{"Riqfin97",#N/A,FALSE,"Tran";"Riqfinpro",#N/A,FALSE,"Tran"}</definedName>
    <definedName name="cc" localSheetId="26" hidden="1">{"Riqfin97",#N/A,FALSE,"Tran";"Riqfinpro",#N/A,FALSE,"Tran"}</definedName>
    <definedName name="cc" localSheetId="35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1" hidden="1">{"Riqfin97",#N/A,FALSE,"Tran";"Riqfinpro",#N/A,FALSE,"Tran"}</definedName>
    <definedName name="cc" localSheetId="6" hidden="1">{"Riqfin97",#N/A,FALSE,"Tran";"Riqfinpro",#N/A,FALSE,"Tran"}</definedName>
    <definedName name="cc" localSheetId="39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3" hidden="1">{"Riqfin97",#N/A,FALSE,"Tran";"Riqfinpro",#N/A,FALSE,"Tran"}</definedName>
    <definedName name="ccc" localSheetId="9" hidden="1">{"Riqfin97",#N/A,FALSE,"Tran";"Riqfinpro",#N/A,FALSE,"Tran"}</definedName>
    <definedName name="ccc" localSheetId="17" hidden="1">{"Riqfin97",#N/A,FALSE,"Tran";"Riqfinpro",#N/A,FALSE,"Tran"}</definedName>
    <definedName name="ccc" localSheetId="26" hidden="1">{"Riqfin97",#N/A,FALSE,"Tran";"Riqfinpro",#N/A,FALSE,"Tran"}</definedName>
    <definedName name="ccc" localSheetId="35" hidden="1">{"Riqfin97",#N/A,FALSE,"Tran";"Riqfinpro",#N/A,FALSE,"Tran"}</definedName>
    <definedName name="ccc" localSheetId="5" hidden="1">{"Riqfin97",#N/A,FALSE,"Tran";"Riqfinpro",#N/A,FALSE,"Tran"}</definedName>
    <definedName name="ccc" localSheetId="7" hidden="1">{"Riqfin97",#N/A,FALSE,"Tran";"Riqfinpro",#N/A,FALSE,"Tran"}</definedName>
    <definedName name="ccc" localSheetId="1" hidden="1">{"Riqfin97",#N/A,FALSE,"Tran";"Riqfinpro",#N/A,FALSE,"Tran"}</definedName>
    <definedName name="ccc" localSheetId="6" hidden="1">{"Riqfin97",#N/A,FALSE,"Tran";"Riqfinpro",#N/A,FALSE,"Tran"}</definedName>
    <definedName name="ccc" localSheetId="39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ODE" localSheetId="17">#REF!</definedName>
    <definedName name="CCODE" localSheetId="22">#REF!</definedName>
    <definedName name="CCODE" localSheetId="26">#REF!</definedName>
    <definedName name="CCODE">#REF!</definedName>
    <definedName name="cgb" localSheetId="17">#REF!</definedName>
    <definedName name="cgb" localSheetId="22">#REF!</definedName>
    <definedName name="cgb" localSheetId="26">#REF!</definedName>
    <definedName name="cgb">#REF!</definedName>
    <definedName name="cge" localSheetId="17">#REF!</definedName>
    <definedName name="cge" localSheetId="22">#REF!</definedName>
    <definedName name="cge" localSheetId="26">#REF!</definedName>
    <definedName name="cge">#REF!</definedName>
    <definedName name="cgr" localSheetId="17">#REF!</definedName>
    <definedName name="cgr" localSheetId="22">#REF!</definedName>
    <definedName name="cgr">#REF!</definedName>
    <definedName name="CONCK" localSheetId="17">#REF!</definedName>
    <definedName name="CONCK" localSheetId="22">#REF!</definedName>
    <definedName name="CONCK">#REF!</definedName>
    <definedName name="Cons" localSheetId="17">#REF!</definedName>
    <definedName name="Cons" localSheetId="22">#REF!</definedName>
    <definedName name="Cons">#REF!</definedName>
    <definedName name="CORULCSA">[25]E!$V$15:$V$98</definedName>
    <definedName name="Country" localSheetId="17">'[26]Input 1 - Basics'!$D$3</definedName>
    <definedName name="Country">'[26]Input 1 - Basics'!$D$3</definedName>
    <definedName name="CountryCode">[27]readme!$B$2</definedName>
    <definedName name="CurrVintage">[28]Current!$D$66</definedName>
    <definedName name="d" localSheetId="3" hidden="1">{"Riqfin97",#N/A,FALSE,"Tran";"Riqfinpro",#N/A,FALSE,"Tran"}</definedName>
    <definedName name="d" localSheetId="9" hidden="1">{"Riqfin97",#N/A,FALSE,"Tran";"Riqfinpro",#N/A,FALSE,"Tran"}</definedName>
    <definedName name="d" localSheetId="17" hidden="1">{"Riqfin97",#N/A,FALSE,"Tran";"Riqfinpro",#N/A,FALSE,"Tran"}</definedName>
    <definedName name="d" localSheetId="26" hidden="1">{"Riqfin97",#N/A,FALSE,"Tran";"Riqfinpro",#N/A,FALSE,"Tran"}</definedName>
    <definedName name="d" localSheetId="35" hidden="1">{"Riqfin97",#N/A,FALSE,"Tran";"Riqfinpro",#N/A,FALSE,"Tran"}</definedName>
    <definedName name="d" localSheetId="5" hidden="1">{"Riqfin97",#N/A,FALSE,"Tran";"Riqfinpro",#N/A,FALSE,"Tran"}</definedName>
    <definedName name="d" localSheetId="7" hidden="1">{"Riqfin97",#N/A,FALSE,"Tran";"Riqfinpro",#N/A,FALSE,"Tran"}</definedName>
    <definedName name="d" localSheetId="6" hidden="1">{"Riqfin97",#N/A,FALSE,"Tran";"Riqfinpro",#N/A,FALSE,"Tran"}</definedName>
    <definedName name="d" localSheetId="39" hidden="1">{"Riqfin97",#N/A,FALSE,"Tran";"Riqfinpro",#N/A,FALSE,"Tran"}</definedName>
    <definedName name="d" localSheetId="15" hidden="1">{"Riqfin97",#N/A,FALSE,"Tran";"Riqfinpro",#N/A,FALSE,"Tran"}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22">'[29]daily calculations'!#REF!</definedName>
    <definedName name="daily_interest_rates">'[29]daily calculations'!#REF!</definedName>
    <definedName name="DAproj">#N/A</definedName>
    <definedName name="das" localSheetId="22" hidden="1">[7]G!#REF!</definedName>
    <definedName name="das" hidden="1">[7]G!#REF!</definedName>
    <definedName name="DASD">#N/A</definedName>
    <definedName name="DASDB">#N/A</definedName>
    <definedName name="DASDG">#N/A</definedName>
    <definedName name="data_area" localSheetId="17">#REF!</definedName>
    <definedName name="data_area" localSheetId="22">#REF!</definedName>
    <definedName name="data_area" localSheetId="26">#REF!</definedName>
    <definedName name="data_area">#REF!</definedName>
    <definedName name="_xlnm.Database" localSheetId="12">#REF!</definedName>
    <definedName name="_xlnm.Database" localSheetId="17">#REF!</definedName>
    <definedName name="_xlnm.Database" localSheetId="22">#REF!</definedName>
    <definedName name="_xlnm.Database" localSheetId="26">#REF!</definedName>
    <definedName name="_xlnm.Database">#REF!</definedName>
    <definedName name="DATB">[18]REER!$B$144:$B$240</definedName>
    <definedName name="datcr" localSheetId="3">'[2]Tab ann curr'!#REF!</definedName>
    <definedName name="datcr" localSheetId="9">'[2]Tab ann curr'!#REF!</definedName>
    <definedName name="datcr" localSheetId="22">'[2]Tab ann curr'!#REF!</definedName>
    <definedName name="datcr" localSheetId="26">'[2]Tab ann curr'!#REF!</definedName>
    <definedName name="datcr" localSheetId="35">'[2]Tab ann curr'!#REF!</definedName>
    <definedName name="datcr" localSheetId="5">'[2]Tab ann curr'!#REF!</definedName>
    <definedName name="datcr" localSheetId="7">'[2]Tab ann curr'!#REF!</definedName>
    <definedName name="datcr" localSheetId="6">'[2]Tab ann curr'!#REF!</definedName>
    <definedName name="datcr">'[2]Tab ann curr'!#REF!</definedName>
    <definedName name="date" localSheetId="17">#REF!</definedName>
    <definedName name="date" localSheetId="22">#REF!</definedName>
    <definedName name="date" localSheetId="26">#REF!</definedName>
    <definedName name="date">#REF!</definedName>
    <definedName name="date_EXP">[30]Sheet1!$B$1:$G$1</definedName>
    <definedName name="date_FISC" localSheetId="17">#REF!</definedName>
    <definedName name="date_FISC" localSheetId="22">#REF!</definedName>
    <definedName name="date_FISC" localSheetId="26">#REF!</definedName>
    <definedName name="date_FISC">#REF!</definedName>
    <definedName name="dateIntLiq" localSheetId="17">#REF!</definedName>
    <definedName name="dateIntLiq" localSheetId="22">#REF!</definedName>
    <definedName name="dateIntLiq" localSheetId="26">#REF!</definedName>
    <definedName name="dateIntLiq">#REF!</definedName>
    <definedName name="dateMoney" localSheetId="17">#REF!</definedName>
    <definedName name="dateMoney" localSheetId="22">#REF!</definedName>
    <definedName name="dateMoney" localSheetId="26">#REF!</definedName>
    <definedName name="dateMoney">#REF!</definedName>
    <definedName name="dateprofit">[18]C!$A$9:$A$125</definedName>
    <definedName name="dateRates" localSheetId="17">#REF!</definedName>
    <definedName name="dateRates" localSheetId="22">#REF!</definedName>
    <definedName name="dateRates" localSheetId="26">#REF!</definedName>
    <definedName name="dateRates">#REF!</definedName>
    <definedName name="dateRawQ" localSheetId="12">'[31]Raw Data'!#REF!</definedName>
    <definedName name="dateRawQ" localSheetId="17">'[31]Raw Data'!#REF!</definedName>
    <definedName name="dateRawQ" localSheetId="22">'[31]Raw Data'!#REF!</definedName>
    <definedName name="dateRawQ">'[31]Raw Data'!#REF!</definedName>
    <definedName name="dateReal" localSheetId="17">#REF!</definedName>
    <definedName name="dateReal" localSheetId="22">#REF!</definedName>
    <definedName name="dateReal" localSheetId="26">#REF!</definedName>
    <definedName name="dateReal">#REF!</definedName>
    <definedName name="dates" localSheetId="17">#REF!</definedName>
    <definedName name="dates" localSheetId="22">#REF!</definedName>
    <definedName name="dates" localSheetId="26">#REF!</definedName>
    <definedName name="dates">#REF!</definedName>
    <definedName name="dates_w" localSheetId="17">#REF!</definedName>
    <definedName name="dates_w" localSheetId="22">#REF!</definedName>
    <definedName name="dates_w" localSheetId="26">#REF!</definedName>
    <definedName name="dates_w">#REF!</definedName>
    <definedName name="dates1" localSheetId="17">#REF!</definedName>
    <definedName name="dates1" localSheetId="22">#REF!</definedName>
    <definedName name="dates1">#REF!</definedName>
    <definedName name="dates2" localSheetId="17">#REF!</definedName>
    <definedName name="dates2" localSheetId="22">#REF!</definedName>
    <definedName name="dates2">#REF!</definedName>
    <definedName name="datesb">[25]B!$B$20:$B$134</definedName>
    <definedName name="datesc" localSheetId="17">#REF!</definedName>
    <definedName name="datesc" localSheetId="22">#REF!</definedName>
    <definedName name="datesc" localSheetId="26">#REF!</definedName>
    <definedName name="datesc">#REF!</definedName>
    <definedName name="datesd" localSheetId="17">#REF!</definedName>
    <definedName name="datesd" localSheetId="22">#REF!</definedName>
    <definedName name="datesd" localSheetId="26">#REF!</definedName>
    <definedName name="datesd">#REF!</definedName>
    <definedName name="DATESG" localSheetId="17">#REF!</definedName>
    <definedName name="DATESG" localSheetId="22">#REF!</definedName>
    <definedName name="DATESG" localSheetId="26">#REF!</definedName>
    <definedName name="DATESG">#REF!</definedName>
    <definedName name="datesm" localSheetId="17">#REF!</definedName>
    <definedName name="datesm" localSheetId="22">#REF!</definedName>
    <definedName name="datesm">#REF!</definedName>
    <definedName name="datesq" localSheetId="17">#REF!</definedName>
    <definedName name="datesq" localSheetId="22">#REF!</definedName>
    <definedName name="datesq">#REF!</definedName>
    <definedName name="datesr" localSheetId="17">#REF!</definedName>
    <definedName name="datesr" localSheetId="22">#REF!</definedName>
    <definedName name="datesr">#REF!</definedName>
    <definedName name="datestran">[25]transfer!$A$9:$A$116</definedName>
    <definedName name="datgdp" localSheetId="17">#REF!</definedName>
    <definedName name="datgdp" localSheetId="22">#REF!</definedName>
    <definedName name="datgdp" localSheetId="26">#REF!</definedName>
    <definedName name="datgdp">#REF!</definedName>
    <definedName name="datin1">[18]REER!$B$9:$B$119</definedName>
    <definedName name="datin2">[18]REER!$B$144:$B$253</definedName>
    <definedName name="datq" localSheetId="17">#REF!</definedName>
    <definedName name="datq" localSheetId="22">#REF!</definedName>
    <definedName name="datq" localSheetId="26">#REF!</definedName>
    <definedName name="datq">#REF!</definedName>
    <definedName name="datq1" localSheetId="17">#REF!</definedName>
    <definedName name="datq1" localSheetId="22">#REF!</definedName>
    <definedName name="datq1" localSheetId="26">#REF!</definedName>
    <definedName name="datq1">#REF!</definedName>
    <definedName name="datq2" localSheetId="17">#REF!</definedName>
    <definedName name="datq2" localSheetId="22">#REF!</definedName>
    <definedName name="datq2" localSheetId="26">#REF!</definedName>
    <definedName name="datq2">#REF!</definedName>
    <definedName name="datreer">[18]REER!$B$144:$B$258</definedName>
    <definedName name="datt" localSheetId="17">#REF!</definedName>
    <definedName name="datt" localSheetId="22">#REF!</definedName>
    <definedName name="datt" localSheetId="26">#REF!</definedName>
    <definedName name="datt">#REF!</definedName>
    <definedName name="DBproj">#N/A</definedName>
    <definedName name="dd" localSheetId="3" hidden="1">{"Riqfin97",#N/A,FALSE,"Tran";"Riqfinpro",#N/A,FALSE,"Tran"}</definedName>
    <definedName name="dd" localSheetId="9" hidden="1">{"Riqfin97",#N/A,FALSE,"Tran";"Riqfinpro",#N/A,FALSE,"Tran"}</definedName>
    <definedName name="dd" localSheetId="17" hidden="1">{"Riqfin97",#N/A,FALSE,"Tran";"Riqfinpro",#N/A,FALSE,"Tran"}</definedName>
    <definedName name="dd" localSheetId="26" hidden="1">{"Riqfin97",#N/A,FALSE,"Tran";"Riqfinpro",#N/A,FALSE,"Tran"}</definedName>
    <definedName name="dd" localSheetId="35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1" hidden="1">{"Riqfin97",#N/A,FALSE,"Tran";"Riqfinpro",#N/A,FALSE,"Tran"}</definedName>
    <definedName name="dd" localSheetId="6" hidden="1">{"Riqfin97",#N/A,FALSE,"Tran";"Riqfinpro",#N/A,FALSE,"Tran"}</definedName>
    <definedName name="dd" localSheetId="39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_balance" localSheetId="17">[32]!dd_balance1[saldo]</definedName>
    <definedName name="dd_balance" localSheetId="26">[32]!dd_balance1[saldo]</definedName>
    <definedName name="dd_balance">[32]!dd_balance1[saldo]</definedName>
    <definedName name="dd_cyklus" localSheetId="17">[33]!dd_cyclus[cyklus]</definedName>
    <definedName name="dd_cyklus" localSheetId="26">[33]!dd_cyclus[cyklus]</definedName>
    <definedName name="dd_cyklus">[33]!dd_cyclus[cyklus]</definedName>
    <definedName name="dd_oneoff" localSheetId="17">[33]hidden!$B$2:$B$3</definedName>
    <definedName name="dd_oneoff" localSheetId="26">[33]hidden!$B$2:$B$3</definedName>
    <definedName name="dd_oneoff">[33]hidden!$B$2:$B$3</definedName>
    <definedName name="ddd" localSheetId="3" hidden="1">{"Riqfin97",#N/A,FALSE,"Tran";"Riqfinpro",#N/A,FALSE,"Tran"}</definedName>
    <definedName name="ddd" localSheetId="9" hidden="1">{"Riqfin97",#N/A,FALSE,"Tran";"Riqfinpro",#N/A,FALSE,"Tran"}</definedName>
    <definedName name="ddd" localSheetId="17" hidden="1">{"Riqfin97",#N/A,FALSE,"Tran";"Riqfinpro",#N/A,FALSE,"Tran"}</definedName>
    <definedName name="ddd" localSheetId="26" hidden="1">{"Riqfin97",#N/A,FALSE,"Tran";"Riqfinpro",#N/A,FALSE,"Tran"}</definedName>
    <definedName name="ddd" localSheetId="35" hidden="1">{"Riqfin97",#N/A,FALSE,"Tran";"Riqfinpro",#N/A,FALSE,"Tran"}</definedName>
    <definedName name="ddd" localSheetId="5" hidden="1">{"Riqfin97",#N/A,FALSE,"Tran";"Riqfinpro",#N/A,FALSE,"Tran"}</definedName>
    <definedName name="ddd" localSheetId="7" hidden="1">{"Riqfin97",#N/A,FALSE,"Tran";"Riqfinpro",#N/A,FALSE,"Tran"}</definedName>
    <definedName name="ddd" localSheetId="1" hidden="1">{"Riqfin97",#N/A,FALSE,"Tran";"Riqfinpro",#N/A,FALSE,"Tran"}</definedName>
    <definedName name="ddd" localSheetId="6" hidden="1">{"Riqfin97",#N/A,FALSE,"Tran";"Riqfinpro",#N/A,FALSE,"Tran"}</definedName>
    <definedName name="ddd" localSheetId="39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ebt" localSheetId="17">#REF!</definedName>
    <definedName name="debt" localSheetId="22">#REF!</definedName>
    <definedName name="debt" localSheetId="26">#REF!</definedName>
    <definedName name="debt">#REF!</definedName>
    <definedName name="DEBT1" localSheetId="17">#REF!</definedName>
    <definedName name="DEBT1" localSheetId="22">#REF!</definedName>
    <definedName name="DEBT1" localSheetId="26">#REF!</definedName>
    <definedName name="DEBT1">#REF!</definedName>
    <definedName name="DEBT10" localSheetId="17">#REF!</definedName>
    <definedName name="DEBT10" localSheetId="22">#REF!</definedName>
    <definedName name="DEBT10" localSheetId="26">#REF!</definedName>
    <definedName name="DEBT10">#REF!</definedName>
    <definedName name="DEBT11" localSheetId="17">#REF!</definedName>
    <definedName name="DEBT11" localSheetId="22">#REF!</definedName>
    <definedName name="DEBT11">#REF!</definedName>
    <definedName name="DEBT12" localSheetId="17">#REF!</definedName>
    <definedName name="DEBT12" localSheetId="22">#REF!</definedName>
    <definedName name="DEBT12">#REF!</definedName>
    <definedName name="DEBT13" localSheetId="17">#REF!</definedName>
    <definedName name="DEBT13" localSheetId="22">#REF!</definedName>
    <definedName name="DEBT13">#REF!</definedName>
    <definedName name="DEBT14" localSheetId="17">#REF!</definedName>
    <definedName name="DEBT14" localSheetId="22">#REF!</definedName>
    <definedName name="DEBT14">#REF!</definedName>
    <definedName name="DEBT15" localSheetId="17">#REF!</definedName>
    <definedName name="DEBT15" localSheetId="22">#REF!</definedName>
    <definedName name="DEBT15">#REF!</definedName>
    <definedName name="DEBT16" localSheetId="17">#REF!</definedName>
    <definedName name="DEBT16" localSheetId="22">#REF!</definedName>
    <definedName name="DEBT16">#REF!</definedName>
    <definedName name="DEBT1B" localSheetId="17">#REF!</definedName>
    <definedName name="DEBT1B" localSheetId="22">#REF!</definedName>
    <definedName name="DEBT1B">#REF!</definedName>
    <definedName name="DEBT2" localSheetId="17">#REF!</definedName>
    <definedName name="DEBT2" localSheetId="22">#REF!</definedName>
    <definedName name="DEBT2">#REF!</definedName>
    <definedName name="DEBT2B" localSheetId="17">#REF!</definedName>
    <definedName name="DEBT2B" localSheetId="22">#REF!</definedName>
    <definedName name="DEBT2B">#REF!</definedName>
    <definedName name="DEBT3" localSheetId="17">#REF!</definedName>
    <definedName name="DEBT3" localSheetId="22">#REF!</definedName>
    <definedName name="DEBT3">#REF!</definedName>
    <definedName name="DEBT4" localSheetId="17">#REF!</definedName>
    <definedName name="DEBT4" localSheetId="22">#REF!</definedName>
    <definedName name="DEBT4">#REF!</definedName>
    <definedName name="DEBT5" localSheetId="17">#REF!</definedName>
    <definedName name="DEBT5" localSheetId="22">#REF!</definedName>
    <definedName name="DEBT5">#REF!</definedName>
    <definedName name="DEBT6" localSheetId="17">#REF!</definedName>
    <definedName name="DEBT6" localSheetId="22">#REF!</definedName>
    <definedName name="DEBT6">#REF!</definedName>
    <definedName name="DEBT7" localSheetId="17">#REF!</definedName>
    <definedName name="DEBT7" localSheetId="22">#REF!</definedName>
    <definedName name="DEBT7">#REF!</definedName>
    <definedName name="DEBT8" localSheetId="17">#REF!</definedName>
    <definedName name="DEBT8" localSheetId="22">#REF!</definedName>
    <definedName name="DEBT8">#REF!</definedName>
    <definedName name="DEBT9" localSheetId="17">#REF!</definedName>
    <definedName name="DEBT9" localSheetId="22">#REF!</definedName>
    <definedName name="DEBT9">#REF!</definedName>
    <definedName name="debtproj" localSheetId="17">#REF!</definedName>
    <definedName name="debtproj" localSheetId="22">#REF!</definedName>
    <definedName name="debtproj">#REF!</definedName>
    <definedName name="DEFLATORS" localSheetId="17">#REF!</definedName>
    <definedName name="DEFLATORS" localSheetId="22">#REF!</definedName>
    <definedName name="DEFLATORS">#REF!</definedName>
    <definedName name="degresivita" localSheetId="17">[24]Graf14_Graf15!#REF!</definedName>
    <definedName name="degresivita" localSheetId="22">[24]Graf14_Graf15!#REF!</definedName>
    <definedName name="degresivita">[24]Graf14_Graf15!#REF!</definedName>
    <definedName name="degresivita_2" localSheetId="17">[24]Graf14_Graf15!#REF!</definedName>
    <definedName name="degresivita_2" localSheetId="22">[24]Graf14_Graf15!#REF!</definedName>
    <definedName name="degresivita_2">[24]Graf14_Graf15!#REF!</definedName>
    <definedName name="deleteme1" localSheetId="17" hidden="1">#REF!</definedName>
    <definedName name="deleteme1" localSheetId="22" hidden="1">#REF!</definedName>
    <definedName name="deleteme1" localSheetId="26" hidden="1">#REF!</definedName>
    <definedName name="deleteme1" hidden="1">#REF!</definedName>
    <definedName name="deleteme3" localSheetId="17" hidden="1">#REF!</definedName>
    <definedName name="deleteme3" localSheetId="22" hidden="1">#REF!</definedName>
    <definedName name="deleteme3" localSheetId="26" hidden="1">#REF!</definedName>
    <definedName name="deleteme3" hidden="1">#REF!</definedName>
    <definedName name="Department" localSheetId="17">[34]REER!#REF!</definedName>
    <definedName name="Department" localSheetId="22">[34]REER!#REF!</definedName>
    <definedName name="Department" localSheetId="26">[34]REER!#REF!</definedName>
    <definedName name="Department">[34]REER!#REF!</definedName>
    <definedName name="DGproj">#N/A</definedName>
    <definedName name="DLX1.USE">[35]Haver!$A$2:$N$8</definedName>
    <definedName name="DOC" localSheetId="17">#REF!</definedName>
    <definedName name="DOC" localSheetId="22">#REF!</definedName>
    <definedName name="DOC" localSheetId="26">#REF!</definedName>
    <definedName name="DOC">#REF!</definedName>
    <definedName name="dp">[36]DP!$A$1:$E$65536</definedName>
    <definedName name="dpogjr" localSheetId="17" hidden="1">'[5]Time series'!#REF!</definedName>
    <definedName name="dpogjr" localSheetId="22" hidden="1">'[5]Time series'!#REF!</definedName>
    <definedName name="dpogjr" hidden="1">'[5]Time series'!#REF!</definedName>
    <definedName name="Dproj">#N/A</definedName>
    <definedName name="dre" localSheetId="22" hidden="1">[37]M!#REF!</definedName>
    <definedName name="dre" localSheetId="26" hidden="1">[37]M!#REF!</definedName>
    <definedName name="dre" localSheetId="39" hidden="1">[37]M!#REF!</definedName>
    <definedName name="dre" localSheetId="15" hidden="1">[37]M!#REF!</definedName>
    <definedName name="dre" hidden="1">[37]M!#REF!</definedName>
    <definedName name="DSD">#N/A</definedName>
    <definedName name="DSD_S">#N/A</definedName>
    <definedName name="DSDB">#N/A</definedName>
    <definedName name="DSDG">#N/A</definedName>
    <definedName name="dsfsdds" localSheetId="3" hidden="1">{"Riqfin97",#N/A,FALSE,"Tran";"Riqfinpro",#N/A,FALSE,"Tran"}</definedName>
    <definedName name="dsfsdds" localSheetId="9" hidden="1">{"Riqfin97",#N/A,FALSE,"Tran";"Riqfinpro",#N/A,FALSE,"Tran"}</definedName>
    <definedName name="dsfsdds" localSheetId="17" hidden="1">{"Riqfin97",#N/A,FALSE,"Tran";"Riqfinpro",#N/A,FALSE,"Tran"}</definedName>
    <definedName name="dsfsdds" localSheetId="26" hidden="1">{"Riqfin97",#N/A,FALSE,"Tran";"Riqfinpro",#N/A,FALSE,"Tran"}</definedName>
    <definedName name="dsfsdds" localSheetId="35" hidden="1">{"Riqfin97",#N/A,FALSE,"Tran";"Riqfinpro",#N/A,FALSE,"Tran"}</definedName>
    <definedName name="dsfsdds" localSheetId="5" hidden="1">{"Riqfin97",#N/A,FALSE,"Tran";"Riqfinpro",#N/A,FALSE,"Tran"}</definedName>
    <definedName name="dsfsdds" localSheetId="7" hidden="1">{"Riqfin97",#N/A,FALSE,"Tran";"Riqfinpro",#N/A,FALSE,"Tran"}</definedName>
    <definedName name="dsfsdds" localSheetId="6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17">#REF!</definedName>
    <definedName name="e12db" localSheetId="22">#REF!</definedName>
    <definedName name="e12db" localSheetId="26">#REF!</definedName>
    <definedName name="e12db">#REF!</definedName>
    <definedName name="e9db">[38]e9!$A$1:$V$49</definedName>
    <definedName name="EDNA">#N/A</definedName>
    <definedName name="EDSSDESCRIPTOR" localSheetId="17">#REF!</definedName>
    <definedName name="EDSSDESCRIPTOR" localSheetId="22">#REF!</definedName>
    <definedName name="EDSSDESCRIPTOR" localSheetId="26">#REF!</definedName>
    <definedName name="EDSSDESCRIPTOR">#REF!</definedName>
    <definedName name="EDSSFILE" localSheetId="17">#REF!</definedName>
    <definedName name="EDSSFILE" localSheetId="22">#REF!</definedName>
    <definedName name="EDSSFILE" localSheetId="26">#REF!</definedName>
    <definedName name="EDSSFILE">#REF!</definedName>
    <definedName name="EDSSNAME" localSheetId="17">#REF!</definedName>
    <definedName name="EDSSNAME" localSheetId="22">#REF!</definedName>
    <definedName name="EDSSNAME" localSheetId="26">#REF!</definedName>
    <definedName name="EDSSNAME">#REF!</definedName>
    <definedName name="EDSSTIME" localSheetId="17">#REF!</definedName>
    <definedName name="EDSSTIME" localSheetId="22">#REF!</definedName>
    <definedName name="EDSSTIME">#REF!</definedName>
    <definedName name="ee" localSheetId="3" hidden="1">{"Tab1",#N/A,FALSE,"P";"Tab2",#N/A,FALSE,"P"}</definedName>
    <definedName name="ee" localSheetId="9" hidden="1">{"Tab1",#N/A,FALSE,"P";"Tab2",#N/A,FALSE,"P"}</definedName>
    <definedName name="ee" localSheetId="17" hidden="1">{"Tab1",#N/A,FALSE,"P";"Tab2",#N/A,FALSE,"P"}</definedName>
    <definedName name="ee" localSheetId="26" hidden="1">{"Tab1",#N/A,FALSE,"P";"Tab2",#N/A,FALSE,"P"}</definedName>
    <definedName name="ee" localSheetId="35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1" hidden="1">{"Tab1",#N/A,FALSE,"P";"Tab2",#N/A,FALSE,"P"}</definedName>
    <definedName name="ee" localSheetId="6" hidden="1">{"Tab1",#N/A,FALSE,"P";"Tab2",#N/A,FALSE,"P"}</definedName>
    <definedName name="ee" localSheetId="39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CB" localSheetId="17">#REF!</definedName>
    <definedName name="EECB" localSheetId="22">#REF!</definedName>
    <definedName name="EECB" localSheetId="26">#REF!</definedName>
    <definedName name="EECB">#REF!</definedName>
    <definedName name="eedx" localSheetId="3" hidden="1">{"Tab1",#N/A,FALSE,"P";"Tab2",#N/A,FALSE,"P"}</definedName>
    <definedName name="eedx" localSheetId="9" hidden="1">{"Tab1",#N/A,FALSE,"P";"Tab2",#N/A,FALSE,"P"}</definedName>
    <definedName name="eedx" localSheetId="17" hidden="1">{"Tab1",#N/A,FALSE,"P";"Tab2",#N/A,FALSE,"P"}</definedName>
    <definedName name="eedx" localSheetId="26" hidden="1">{"Tab1",#N/A,FALSE,"P";"Tab2",#N/A,FALSE,"P"}</definedName>
    <definedName name="eedx" localSheetId="35" hidden="1">{"Tab1",#N/A,FALSE,"P";"Tab2",#N/A,FALSE,"P"}</definedName>
    <definedName name="eedx" localSheetId="5" hidden="1">{"Tab1",#N/A,FALSE,"P";"Tab2",#N/A,FALSE,"P"}</definedName>
    <definedName name="eedx" localSheetId="7" hidden="1">{"Tab1",#N/A,FALSE,"P";"Tab2",#N/A,FALSE,"P"}</definedName>
    <definedName name="eedx" localSheetId="6" hidden="1">{"Tab1",#N/A,FALSE,"P";"Tab2",#N/A,FALSE,"P"}</definedName>
    <definedName name="eedx" hidden="1">{"Tab1",#N/A,FALSE,"P";"Tab2",#N/A,FALSE,"P"}</definedName>
    <definedName name="eee" localSheetId="3" hidden="1">{"Tab1",#N/A,FALSE,"P";"Tab2",#N/A,FALSE,"P"}</definedName>
    <definedName name="eee" localSheetId="9" hidden="1">{"Tab1",#N/A,FALSE,"P";"Tab2",#N/A,FALSE,"P"}</definedName>
    <definedName name="eee" localSheetId="17" hidden="1">{"Tab1",#N/A,FALSE,"P";"Tab2",#N/A,FALSE,"P"}</definedName>
    <definedName name="eee" localSheetId="26" hidden="1">{"Tab1",#N/A,FALSE,"P";"Tab2",#N/A,FALSE,"P"}</definedName>
    <definedName name="eee" localSheetId="35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1" hidden="1">{"Tab1",#N/A,FALSE,"P";"Tab2",#N/A,FALSE,"P"}</definedName>
    <definedName name="eee" localSheetId="6" hidden="1">{"Tab1",#N/A,FALSE,"P";"Tab2",#N/A,FALSE,"P"}</definedName>
    <definedName name="eee" localSheetId="39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ISCODE" localSheetId="17">#REF!</definedName>
    <definedName name="EISCODE" localSheetId="22">#REF!</definedName>
    <definedName name="EISCODE" localSheetId="26">#REF!</definedName>
    <definedName name="EISCODE">#REF!</definedName>
    <definedName name="elect" localSheetId="17">#REF!</definedName>
    <definedName name="elect" localSheetId="22">#REF!</definedName>
    <definedName name="elect" localSheetId="26">#REF!</definedName>
    <definedName name="elect">#REF!</definedName>
    <definedName name="Emerging_HTML_AREA" localSheetId="17">#REF!</definedName>
    <definedName name="Emerging_HTML_AREA" localSheetId="22">#REF!</definedName>
    <definedName name="Emerging_HTML_AREA" localSheetId="26">#REF!</definedName>
    <definedName name="Emerging_HTML_AREA">#REF!</definedName>
    <definedName name="EMETEL" localSheetId="17">#REF!</definedName>
    <definedName name="EMETEL" localSheetId="22">#REF!</definedName>
    <definedName name="EMETEL">#REF!</definedName>
    <definedName name="ENDA">#N/A</definedName>
    <definedName name="equal_TLC" localSheetId="17">[24]Graf14_Graf15!#REF!</definedName>
    <definedName name="equal_TLC" localSheetId="22">[24]Graf14_Graf15!#REF!</definedName>
    <definedName name="equal_TLC">[24]Graf14_Graf15!#REF!</definedName>
    <definedName name="ExitWRS">[39]Main!$AB$25</definedName>
    <definedName name="fdfs" localSheetId="3" hidden="1">{"Riqfin97",#N/A,FALSE,"Tran";"Riqfinpro",#N/A,FALSE,"Tran"}</definedName>
    <definedName name="fdfs" localSheetId="9" hidden="1">{"Riqfin97",#N/A,FALSE,"Tran";"Riqfinpro",#N/A,FALSE,"Tran"}</definedName>
    <definedName name="fdfs" localSheetId="17" hidden="1">{"Riqfin97",#N/A,FALSE,"Tran";"Riqfinpro",#N/A,FALSE,"Tran"}</definedName>
    <definedName name="fdfs" localSheetId="26" hidden="1">{"Riqfin97",#N/A,FALSE,"Tran";"Riqfinpro",#N/A,FALSE,"Tran"}</definedName>
    <definedName name="fdfs" localSheetId="35" hidden="1">{"Riqfin97",#N/A,FALSE,"Tran";"Riqfinpro",#N/A,FALSE,"Tran"}</definedName>
    <definedName name="fdfs" localSheetId="5" hidden="1">{"Riqfin97",#N/A,FALSE,"Tran";"Riqfinpro",#N/A,FALSE,"Tran"}</definedName>
    <definedName name="fdfs" localSheetId="7" hidden="1">{"Riqfin97",#N/A,FALSE,"Tran";"Riqfinpro",#N/A,FALSE,"Tran"}</definedName>
    <definedName name="fdfs" localSheetId="1" hidden="1">{"Riqfin97",#N/A,FALSE,"Tran";"Riqfinpro",#N/A,FALSE,"Tran"}</definedName>
    <definedName name="fdfs" localSheetId="6" hidden="1">{"Riqfin97",#N/A,FALSE,"Tran";"Riqfinpro",#N/A,FALSE,"Tran"}</definedName>
    <definedName name="fdfs" localSheetId="39" hidden="1">{"Riqfin97",#N/A,FALSE,"Tran";"Riqfinpro",#N/A,FALSE,"Tran"}</definedName>
    <definedName name="fdfs" localSheetId="15" hidden="1">{"Riqfin97",#N/A,FALSE,"Tran";"Riqfinpro",#N/A,FALSE,"Tran"}</definedName>
    <definedName name="fdfs" hidden="1">{"Riqfin97",#N/A,FALSE,"Tran";"Riqfinpro",#N/A,FALSE,"Tran"}</definedName>
    <definedName name="ff" localSheetId="3" hidden="1">{"Tab1",#N/A,FALSE,"P";"Tab2",#N/A,FALSE,"P"}</definedName>
    <definedName name="ff" localSheetId="9" hidden="1">{"Tab1",#N/A,FALSE,"P";"Tab2",#N/A,FALSE,"P"}</definedName>
    <definedName name="ff" localSheetId="17" hidden="1">{"Tab1",#N/A,FALSE,"P";"Tab2",#N/A,FALSE,"P"}</definedName>
    <definedName name="ff" localSheetId="26" hidden="1">{"Tab1",#N/A,FALSE,"P";"Tab2",#N/A,FALSE,"P"}</definedName>
    <definedName name="ff" localSheetId="35" hidden="1">{"Tab1",#N/A,FALSE,"P";"Tab2",#N/A,FALSE,"P"}</definedName>
    <definedName name="ff" localSheetId="5" hidden="1">{"Tab1",#N/A,FALSE,"P";"Tab2",#N/A,FALSE,"P"}</definedName>
    <definedName name="ff" localSheetId="7" hidden="1">{"Tab1",#N/A,FALSE,"P";"Tab2",#N/A,FALSE,"P"}</definedName>
    <definedName name="ff" localSheetId="1" hidden="1">{"Tab1",#N/A,FALSE,"P";"Tab2",#N/A,FALSE,"P"}</definedName>
    <definedName name="ff" localSheetId="6" hidden="1">{"Tab1",#N/A,FALSE,"P";"Tab2",#N/A,FALSE,"P"}</definedName>
    <definedName name="ff" localSheetId="39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3" hidden="1">{"Tab1",#N/A,FALSE,"P";"Tab2",#N/A,FALSE,"P"}</definedName>
    <definedName name="fff" localSheetId="9" hidden="1">{"Tab1",#N/A,FALSE,"P";"Tab2",#N/A,FALSE,"P"}</definedName>
    <definedName name="fff" localSheetId="17" hidden="1">{"Tab1",#N/A,FALSE,"P";"Tab2",#N/A,FALSE,"P"}</definedName>
    <definedName name="fff" localSheetId="26" hidden="1">{"Tab1",#N/A,FALSE,"P";"Tab2",#N/A,FALSE,"P"}</definedName>
    <definedName name="fff" localSheetId="35" hidden="1">{"Tab1",#N/A,FALSE,"P";"Tab2",#N/A,FALSE,"P"}</definedName>
    <definedName name="fff" localSheetId="5" hidden="1">{"Tab1",#N/A,FALSE,"P";"Tab2",#N/A,FALSE,"P"}</definedName>
    <definedName name="fff" localSheetId="7" hidden="1">{"Tab1",#N/A,FALSE,"P";"Tab2",#N/A,FALSE,"P"}</definedName>
    <definedName name="fff" localSheetId="1" hidden="1">{"Tab1",#N/A,FALSE,"P";"Tab2",#N/A,FALSE,"P"}</definedName>
    <definedName name="fff" localSheetId="6" hidden="1">{"Tab1",#N/A,FALSE,"P";"Tab2",#N/A,FALSE,"P"}</definedName>
    <definedName name="fff" localSheetId="39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22" hidden="1">'[40]Time series'!#REF!</definedName>
    <definedName name="ffff" hidden="1">'[40]Time series'!#REF!</definedName>
    <definedName name="fgfgfgf" localSheetId="22" hidden="1">'[40]Time series'!#REF!</definedName>
    <definedName name="fgfgfgf" hidden="1">'[40]Time series'!#REF!</definedName>
    <definedName name="Fig8.2a" localSheetId="17">#REF!</definedName>
    <definedName name="Fig8.2a" localSheetId="22">#REF!</definedName>
    <definedName name="Fig8.2a" localSheetId="26">#REF!</definedName>
    <definedName name="Fig8.2a">#REF!</definedName>
    <definedName name="fill" hidden="1">'[41]Macroframework-Ver.1'!$A$1:$A$267</definedName>
    <definedName name="finan" localSheetId="17">#REF!</definedName>
    <definedName name="finan" localSheetId="22">#REF!</definedName>
    <definedName name="finan" localSheetId="26">#REF!</definedName>
    <definedName name="finan">#REF!</definedName>
    <definedName name="finan1" localSheetId="17">#REF!</definedName>
    <definedName name="finan1" localSheetId="22">#REF!</definedName>
    <definedName name="finan1" localSheetId="26">#REF!</definedName>
    <definedName name="finan1">#REF!</definedName>
    <definedName name="Financing" localSheetId="3" hidden="1">{"Tab1",#N/A,FALSE,"P";"Tab2",#N/A,FALSE,"P"}</definedName>
    <definedName name="Financing" localSheetId="9" hidden="1">{"Tab1",#N/A,FALSE,"P";"Tab2",#N/A,FALSE,"P"}</definedName>
    <definedName name="Financing" localSheetId="17" hidden="1">{"Tab1",#N/A,FALSE,"P";"Tab2",#N/A,FALSE,"P"}</definedName>
    <definedName name="Financing" localSheetId="26" hidden="1">{"Tab1",#N/A,FALSE,"P";"Tab2",#N/A,FALSE,"P"}</definedName>
    <definedName name="Financing" localSheetId="35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1" hidden="1">{"Tab1",#N/A,FALSE,"P";"Tab2",#N/A,FALSE,"P"}</definedName>
    <definedName name="Financing" localSheetId="6" hidden="1">{"Tab1",#N/A,FALSE,"P";"Tab2",#N/A,FALSE,"P"}</definedName>
    <definedName name="Financing" localSheetId="39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SUM" localSheetId="17">#REF!</definedName>
    <definedName name="FISUM" localSheetId="22">#REF!</definedName>
    <definedName name="FISUM" localSheetId="26">#REF!</definedName>
    <definedName name="FISUM">#REF!</definedName>
    <definedName name="FLOPEC" localSheetId="17">#REF!</definedName>
    <definedName name="FLOPEC" localSheetId="22">#REF!</definedName>
    <definedName name="FLOPEC" localSheetId="26">#REF!</definedName>
    <definedName name="FLOPEC">#REF!</definedName>
    <definedName name="FMB" localSheetId="17">#REF!</definedName>
    <definedName name="FMB" localSheetId="22">#REF!</definedName>
    <definedName name="FMB" localSheetId="26">#REF!</definedName>
    <definedName name="FMB">#REF!</definedName>
    <definedName name="FODESEC" localSheetId="17">#REF!</definedName>
    <definedName name="FODESEC" localSheetId="22">#REF!</definedName>
    <definedName name="FODESEC">#REF!</definedName>
    <definedName name="FOREXPORT">[18]H!$A$2:$F$86</definedName>
    <definedName name="fsd" localSheetId="17" hidden="1">#REF!</definedName>
    <definedName name="fsd" localSheetId="22" hidden="1">#REF!</definedName>
    <definedName name="fsd" localSheetId="26" hidden="1">#REF!</definedName>
    <definedName name="fsd" hidden="1">#REF!</definedName>
    <definedName name="fsdfsdfasdfasdfasd" localSheetId="17" hidden="1">#REF!</definedName>
    <definedName name="fsdfsdfasdfasdfasd" localSheetId="22" hidden="1">#REF!</definedName>
    <definedName name="fsdfsdfasdfasdfasd" hidden="1">#REF!</definedName>
    <definedName name="FUNDOBL" localSheetId="12">#REF!</definedName>
    <definedName name="FUNDOBL" localSheetId="17">#REF!</definedName>
    <definedName name="FUNDOBL" localSheetId="22">#REF!</definedName>
    <definedName name="FUNDOBL">#REF!</definedName>
    <definedName name="FUNDOBLB" localSheetId="17">#REF!</definedName>
    <definedName name="FUNDOBLB" localSheetId="22">#REF!</definedName>
    <definedName name="FUNDOBLB">#REF!</definedName>
    <definedName name="g" localSheetId="17">#REF!</definedName>
    <definedName name="g" localSheetId="22">#REF!</definedName>
    <definedName name="g">#REF!</definedName>
    <definedName name="GCB" localSheetId="17">#REF!</definedName>
    <definedName name="GCB" localSheetId="22">#REF!</definedName>
    <definedName name="GCB">#REF!</definedName>
    <definedName name="GCB_NGDP">#N/A</definedName>
    <definedName name="GCEI" localSheetId="17">#REF!</definedName>
    <definedName name="GCEI" localSheetId="22">#REF!</definedName>
    <definedName name="GCEI" localSheetId="26">#REF!</definedName>
    <definedName name="GCEI">#REF!</definedName>
    <definedName name="GCENL" localSheetId="17">#REF!</definedName>
    <definedName name="GCENL" localSheetId="22">#REF!</definedName>
    <definedName name="GCENL" localSheetId="26">#REF!</definedName>
    <definedName name="GCENL">#REF!</definedName>
    <definedName name="GCND" localSheetId="17">#REF!</definedName>
    <definedName name="GCND" localSheetId="22">#REF!</definedName>
    <definedName name="GCND" localSheetId="26">#REF!</definedName>
    <definedName name="GCND">#REF!</definedName>
    <definedName name="GCND_NGDP" localSheetId="17">#REF!</definedName>
    <definedName name="GCND_NGDP" localSheetId="22">#REF!</definedName>
    <definedName name="GCND_NGDP">#REF!</definedName>
    <definedName name="GCRG" localSheetId="17">#REF!</definedName>
    <definedName name="GCRG" localSheetId="22">#REF!</definedName>
    <definedName name="GCRG">#REF!</definedName>
    <definedName name="ggb">'[42]budget-G'!$A$1:$W$109</definedName>
    <definedName name="GGB_NGDP">#N/A</definedName>
    <definedName name="ggbeu" localSheetId="17">#REF!</definedName>
    <definedName name="ggbeu" localSheetId="22">#REF!</definedName>
    <definedName name="ggbeu" localSheetId="26">#REF!</definedName>
    <definedName name="ggbeu">#REF!</definedName>
    <definedName name="ggblg" localSheetId="17">#REF!</definedName>
    <definedName name="ggblg" localSheetId="22">#REF!</definedName>
    <definedName name="ggblg" localSheetId="26">#REF!</definedName>
    <definedName name="ggblg">#REF!</definedName>
    <definedName name="ggbls" localSheetId="17">#REF!</definedName>
    <definedName name="ggbls" localSheetId="22">#REF!</definedName>
    <definedName name="ggbls" localSheetId="26">#REF!</definedName>
    <definedName name="ggbls">#REF!</definedName>
    <definedName name="ggbss" localSheetId="17">#REF!</definedName>
    <definedName name="ggbss" localSheetId="22">#REF!</definedName>
    <definedName name="ggbss">#REF!</definedName>
    <definedName name="gge">[42]Expenditures!$A$1:$AC$62</definedName>
    <definedName name="GGED" localSheetId="17">#REF!</definedName>
    <definedName name="GGED" localSheetId="22">#REF!</definedName>
    <definedName name="GGED" localSheetId="26">#REF!</definedName>
    <definedName name="GGED">#REF!</definedName>
    <definedName name="GGEI" localSheetId="17">#REF!</definedName>
    <definedName name="GGEI" localSheetId="22">#REF!</definedName>
    <definedName name="GGEI" localSheetId="26">#REF!</definedName>
    <definedName name="GGEI">#REF!</definedName>
    <definedName name="GGENL" localSheetId="17">#REF!</definedName>
    <definedName name="GGENL" localSheetId="22">#REF!</definedName>
    <definedName name="GGENL" localSheetId="26">#REF!</definedName>
    <definedName name="GGENL">#REF!</definedName>
    <definedName name="ggg" localSheetId="3" hidden="1">{"Riqfin97",#N/A,FALSE,"Tran";"Riqfinpro",#N/A,FALSE,"Tran"}</definedName>
    <definedName name="ggg" localSheetId="9" hidden="1">{"Riqfin97",#N/A,FALSE,"Tran";"Riqfinpro",#N/A,FALSE,"Tran"}</definedName>
    <definedName name="ggg" localSheetId="17" hidden="1">{"Riqfin97",#N/A,FALSE,"Tran";"Riqfinpro",#N/A,FALSE,"Tran"}</definedName>
    <definedName name="ggg" localSheetId="26" hidden="1">{"Riqfin97",#N/A,FALSE,"Tran";"Riqfinpro",#N/A,FALSE,"Tran"}</definedName>
    <definedName name="ggg" localSheetId="35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1" hidden="1">{"Riqfin97",#N/A,FALSE,"Tran";"Riqfinpro",#N/A,FALSE,"Tran"}</definedName>
    <definedName name="ggg" localSheetId="6" hidden="1">{"Riqfin97",#N/A,FALSE,"Tran";"Riqfinpro",#N/A,FALSE,"Tran"}</definedName>
    <definedName name="ggg" localSheetId="39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gg" localSheetId="22" hidden="1">'[43]J(Priv.Cap)'!#REF!</definedName>
    <definedName name="ggggg" hidden="1">'[43]J(Priv.Cap)'!#REF!</definedName>
    <definedName name="ggggggg">[19]!ggggggg</definedName>
    <definedName name="GGND" localSheetId="17">#REF!</definedName>
    <definedName name="GGND" localSheetId="22">#REF!</definedName>
    <definedName name="GGND" localSheetId="26">#REF!</definedName>
    <definedName name="GGND">#REF!</definedName>
    <definedName name="ggr">[42]Revenues!$A$1:$AD$58</definedName>
    <definedName name="GGRG" localSheetId="17">#REF!</definedName>
    <definedName name="GGRG" localSheetId="22">#REF!</definedName>
    <definedName name="GGRG" localSheetId="26">#REF!</definedName>
    <definedName name="GGRG">#REF!</definedName>
    <definedName name="ghfgf" localSheetId="22" hidden="1">'[5]Time series'!#REF!</definedName>
    <definedName name="ghfgf" hidden="1">'[5]Time series'!#REF!</definedName>
    <definedName name="gjgfgk" localSheetId="22" hidden="1">'[5]Time series'!#REF!</definedName>
    <definedName name="gjgfgk" hidden="1">'[5]Time series'!#REF!</definedName>
    <definedName name="GPee_2" localSheetId="17">[24]Graf14_Graf15!#REF!</definedName>
    <definedName name="GPee_2" localSheetId="22">[24]Graf14_Graf15!#REF!</definedName>
    <definedName name="GPee_2" localSheetId="26">[24]Graf14_Graf15!#REF!</definedName>
    <definedName name="GPee_2">[24]Graf14_Graf15!#REF!</definedName>
    <definedName name="GPer_2" localSheetId="22">[24]Graf14_Graf15!#REF!</definedName>
    <definedName name="GPer_2" localSheetId="26">[24]Graf14_Graf15!#REF!</definedName>
    <definedName name="GPer_2">[24]Graf14_Graf15!#REF!</definedName>
    <definedName name="HDP" localSheetId="22">'[44]Graf 47'!#REF!</definedName>
    <definedName name="HDP">'[44]Graf 47'!#REF!</definedName>
    <definedName name="HDPn_1n" localSheetId="17">[45]makro!$B$27</definedName>
    <definedName name="HDPn_1n">[45]makro!$B$27</definedName>
    <definedName name="HDPn_2" localSheetId="17">[46]makro!$C$5</definedName>
    <definedName name="HDPn_2">[46]makro!$C$5</definedName>
    <definedName name="HDPn_2n" localSheetId="17">[46]makro!$C$27</definedName>
    <definedName name="HDPn_2n">[46]makro!$C$27</definedName>
    <definedName name="HDPn_3" localSheetId="17">[46]makro!$D$5</definedName>
    <definedName name="HDPn_3">[46]makro!$D$5</definedName>
    <definedName name="HDPn_3n" localSheetId="17">[46]makro!$D$27</definedName>
    <definedName name="HDPn_3n">[46]makro!$D$27</definedName>
    <definedName name="HDPn_4" localSheetId="17">[46]makro!$E$5</definedName>
    <definedName name="HDPn_4">[46]makro!$E$5</definedName>
    <definedName name="HDPn_4n" localSheetId="17">[46]makro!$E$27</definedName>
    <definedName name="HDPn_4n">[46]makro!$E$27</definedName>
    <definedName name="HDPn_5" localSheetId="17">[46]makro!$F$5</definedName>
    <definedName name="HDPn_5">[46]makro!$F$5</definedName>
    <definedName name="HDPn_5n" localSheetId="17">[46]makro!$F$27</definedName>
    <definedName name="HDPn_5n">[46]makro!$F$27</definedName>
    <definedName name="HDPn_6" localSheetId="17">[46]makro!$G$5</definedName>
    <definedName name="HDPn_6">[46]makro!$G$5</definedName>
    <definedName name="HDPn_6n" localSheetId="17">[46]makro!$G$27</definedName>
    <definedName name="HDPn_6n">[46]makro!$G$27</definedName>
    <definedName name="HDPnbk_2" localSheetId="17">[46]makro!$C$16</definedName>
    <definedName name="HDPnbk_2">[46]makro!$C$16</definedName>
    <definedName name="HDPnbk_2n" localSheetId="17">[46]makro!$C$38</definedName>
    <definedName name="HDPnbk_2n">[46]makro!$C$38</definedName>
    <definedName name="HDPnbk_3" localSheetId="17">[46]makro!$D$16</definedName>
    <definedName name="HDPnbk_3">[46]makro!$D$16</definedName>
    <definedName name="HDPnbk_3n" localSheetId="17">[46]makro!$D$38</definedName>
    <definedName name="HDPnbk_3n">[46]makro!$D$38</definedName>
    <definedName name="HDPnbk_4" localSheetId="17">[46]makro!$E$16</definedName>
    <definedName name="HDPnbk_4">[46]makro!$E$16</definedName>
    <definedName name="HDPnbk_4n" localSheetId="17">[46]makro!$E$38</definedName>
    <definedName name="HDPnbk_4n">[46]makro!$E$38</definedName>
    <definedName name="HDPnbk_5" localSheetId="17">[46]makro!$F$16</definedName>
    <definedName name="HDPnbk_5">[46]makro!$F$16</definedName>
    <definedName name="HDPnbk_5n" localSheetId="17">[46]makro!$F$38</definedName>
    <definedName name="HDPnbk_5n">[46]makro!$F$38</definedName>
    <definedName name="HDPnbk_6" localSheetId="17">[46]makro!$G$16</definedName>
    <definedName name="HDPnbk_6">[46]makro!$G$16</definedName>
    <definedName name="HDPnbk_6n" localSheetId="17">[46]makro!$G$38</definedName>
    <definedName name="HDPnbk_6n">[46]makro!$G$38</definedName>
    <definedName name="HDPr_2" localSheetId="17">[46]makro!$C$4</definedName>
    <definedName name="HDPr_2">[46]makro!$C$4</definedName>
    <definedName name="HDPr_2n" localSheetId="17">[46]makro!$C$26</definedName>
    <definedName name="HDPr_2n">[46]makro!$C$26</definedName>
    <definedName name="HDPr_3" localSheetId="17">[46]makro!$D$4</definedName>
    <definedName name="HDPr_3">[46]makro!$D$4</definedName>
    <definedName name="HDPr_3n" localSheetId="17">[46]makro!$D$26</definedName>
    <definedName name="HDPr_3n">[46]makro!$D$26</definedName>
    <definedName name="HDPr_4" localSheetId="17">[46]makro!$E$4</definedName>
    <definedName name="HDPr_4">[46]makro!$E$4</definedName>
    <definedName name="HDPr_4n" localSheetId="17">[46]makro!$E$26</definedName>
    <definedName name="HDPr_4n">[46]makro!$E$26</definedName>
    <definedName name="HDPr_5" localSheetId="17">[46]makro!$F$4</definedName>
    <definedName name="HDPr_5">[46]makro!$F$4</definedName>
    <definedName name="HDPr_5n" localSheetId="17">[46]makro!$F$26</definedName>
    <definedName name="HDPr_5n">[46]makro!$F$26</definedName>
    <definedName name="HDPr_6" localSheetId="17">[46]makro!$G$4</definedName>
    <definedName name="HDPr_6">[46]makro!$G$4</definedName>
    <definedName name="HDPr_6n" localSheetId="17">[46]makro!$G$26</definedName>
    <definedName name="HDPr_6n">[46]makro!$G$26</definedName>
    <definedName name="help" localSheetId="17" hidden="1">'[5]Time series'!#REF!</definedName>
    <definedName name="help" localSheetId="22" hidden="1">'[5]Time series'!#REF!</definedName>
    <definedName name="help" hidden="1">'[5]Time series'!#REF!</definedName>
    <definedName name="hgfd" localSheetId="3" hidden="1">{#N/A,#N/A,FALSE,"I";#N/A,#N/A,FALSE,"J";#N/A,#N/A,FALSE,"K";#N/A,#N/A,FALSE,"L";#N/A,#N/A,FALSE,"M";#N/A,#N/A,FALSE,"N";#N/A,#N/A,FALSE,"O"}</definedName>
    <definedName name="hgfd" localSheetId="9" hidden="1">{#N/A,#N/A,FALSE,"I";#N/A,#N/A,FALSE,"J";#N/A,#N/A,FALSE,"K";#N/A,#N/A,FALSE,"L";#N/A,#N/A,FALSE,"M";#N/A,#N/A,FALSE,"N";#N/A,#N/A,FALSE,"O"}</definedName>
    <definedName name="hgfd" localSheetId="17" hidden="1">{#N/A,#N/A,FALSE,"I";#N/A,#N/A,FALSE,"J";#N/A,#N/A,FALSE,"K";#N/A,#N/A,FALSE,"L";#N/A,#N/A,FALSE,"M";#N/A,#N/A,FALSE,"N";#N/A,#N/A,FALSE,"O"}</definedName>
    <definedName name="hgfd" localSheetId="26" hidden="1">{#N/A,#N/A,FALSE,"I";#N/A,#N/A,FALSE,"J";#N/A,#N/A,FALSE,"K";#N/A,#N/A,FALSE,"L";#N/A,#N/A,FALSE,"M";#N/A,#N/A,FALSE,"N";#N/A,#N/A,FALSE,"O"}</definedName>
    <definedName name="hgfd" localSheetId="35" hidden="1">{#N/A,#N/A,FALSE,"I";#N/A,#N/A,FALSE,"J";#N/A,#N/A,FALSE,"K";#N/A,#N/A,FALSE,"L";#N/A,#N/A,FALSE,"M";#N/A,#N/A,FALSE,"N";#N/A,#N/A,FALSE,"O"}</definedName>
    <definedName name="hgfd" localSheetId="5" hidden="1">{#N/A,#N/A,FALSE,"I";#N/A,#N/A,FALSE,"J";#N/A,#N/A,FALSE,"K";#N/A,#N/A,FALSE,"L";#N/A,#N/A,FALSE,"M";#N/A,#N/A,FALSE,"N";#N/A,#N/A,FALSE,"O"}</definedName>
    <definedName name="hgfd" localSheetId="7" hidden="1">{#N/A,#N/A,FALSE,"I";#N/A,#N/A,FALSE,"J";#N/A,#N/A,FALSE,"K";#N/A,#N/A,FALSE,"L";#N/A,#N/A,FALSE,"M";#N/A,#N/A,FALSE,"N";#N/A,#N/A,FALSE,"O"}</definedName>
    <definedName name="hgfd" localSheetId="6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22" hidden="1">'[47]J(Priv.Cap)'!#REF!</definedName>
    <definedName name="hhh" hidden="1">'[47]J(Priv.Cap)'!#REF!</definedName>
    <definedName name="hhhhhhh">[19]!hhhhhhh</definedName>
    <definedName name="hjjh" localSheetId="22" hidden="1">'[5]Time series'!#REF!</definedName>
    <definedName name="hjjh" hidden="1">'[5]Time series'!#REF!</definedName>
    <definedName name="HTML_CodePage" hidden="1">1252</definedName>
    <definedName name="HTML_Control" localSheetId="3" hidden="1">{"'Resources'!$A$1:$W$34","'Balance Sheet'!$A$1:$W$58","'SFD'!$A$1:$J$52"}</definedName>
    <definedName name="HTML_Control" localSheetId="9" hidden="1">{"'Resources'!$A$1:$W$34","'Balance Sheet'!$A$1:$W$58","'SFD'!$A$1:$J$52"}</definedName>
    <definedName name="HTML_Control" localSheetId="17" hidden="1">{"'Resources'!$A$1:$W$34","'Balance Sheet'!$A$1:$W$58","'SFD'!$A$1:$J$52"}</definedName>
    <definedName name="HTML_Control" localSheetId="26" hidden="1">{"'Resources'!$A$1:$W$34","'Balance Sheet'!$A$1:$W$58","'SFD'!$A$1:$J$52"}</definedName>
    <definedName name="HTML_Control" localSheetId="35" hidden="1">{"'Resources'!$A$1:$W$34","'Balance Sheet'!$A$1:$W$58","'SFD'!$A$1:$J$52"}</definedName>
    <definedName name="HTML_Control" localSheetId="5" hidden="1">{"'Resources'!$A$1:$W$34","'Balance Sheet'!$A$1:$W$58","'SFD'!$A$1:$J$52"}</definedName>
    <definedName name="HTML_Control" localSheetId="7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17">#REF!</definedName>
    <definedName name="CHART" localSheetId="22">#REF!</definedName>
    <definedName name="CHART" localSheetId="26">#REF!</definedName>
    <definedName name="CHART">#REF!</definedName>
    <definedName name="chart4" localSheetId="3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26" hidden="1">{#N/A,#N/A,FALSE,"CB";#N/A,#N/A,FALSE,"CMB";#N/A,#N/A,FALSE,"NBFI"}</definedName>
    <definedName name="chart4" localSheetId="35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HILE" localSheetId="17">#REF!</definedName>
    <definedName name="CHILE" localSheetId="22">#REF!</definedName>
    <definedName name="CHILE" localSheetId="26">#REF!</definedName>
    <definedName name="CHILE">#REF!</definedName>
    <definedName name="CHK" localSheetId="17">#REF!</definedName>
    <definedName name="CHK" localSheetId="22">#REF!</definedName>
    <definedName name="CHK" localSheetId="26">#REF!</definedName>
    <definedName name="CHK">#REF!</definedName>
    <definedName name="i" localSheetId="17">#REF!</definedName>
    <definedName name="i" localSheetId="22">#REF!</definedName>
    <definedName name="i" localSheetId="26">#REF!</definedName>
    <definedName name="i">#REF!</definedName>
    <definedName name="IESS" localSheetId="17">#REF!</definedName>
    <definedName name="IESS" localSheetId="22">#REF!</definedName>
    <definedName name="IESS">#REF!</definedName>
    <definedName name="ii" localSheetId="3" hidden="1">{"Tab1",#N/A,FALSE,"P";"Tab2",#N/A,FALSE,"P"}</definedName>
    <definedName name="ii" localSheetId="9" hidden="1">{"Tab1",#N/A,FALSE,"P";"Tab2",#N/A,FALSE,"P"}</definedName>
    <definedName name="ii" localSheetId="17" hidden="1">{"Tab1",#N/A,FALSE,"P";"Tab2",#N/A,FALSE,"P"}</definedName>
    <definedName name="ii" localSheetId="26" hidden="1">{"Tab1",#N/A,FALSE,"P";"Tab2",#N/A,FALSE,"P"}</definedName>
    <definedName name="ii" localSheetId="35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1" hidden="1">{"Tab1",#N/A,FALSE,"P";"Tab2",#N/A,FALSE,"P"}</definedName>
    <definedName name="ii" localSheetId="6" hidden="1">{"Tab1",#N/A,FALSE,"P";"Tab2",#N/A,FALSE,"P"}</definedName>
    <definedName name="ii" localSheetId="39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_pilier_2" localSheetId="22">[24]Graf14_Graf15!#REF!</definedName>
    <definedName name="II_pilier_2">[24]Graf14_Graf15!#REF!</definedName>
    <definedName name="II_pillar_figure" localSheetId="22">[24]Graf14_Graf15!#REF!</definedName>
    <definedName name="II_pillar_figure">[24]Graf14_Graf15!#REF!</definedName>
    <definedName name="ima" localSheetId="17">#REF!</definedName>
    <definedName name="ima" localSheetId="22">#REF!</definedName>
    <definedName name="ima" localSheetId="26">#REF!</definedName>
    <definedName name="ima">#REF!</definedName>
    <definedName name="IMPn_2" localSheetId="17">[46]makro!$C$17</definedName>
    <definedName name="IMPn_2">[46]makro!$C$17</definedName>
    <definedName name="IMPn_2n" localSheetId="17">[46]makro!$C$39</definedName>
    <definedName name="IMPn_2n">[46]makro!$C$39</definedName>
    <definedName name="IMPn_3" localSheetId="17">[46]makro!$D$17</definedName>
    <definedName name="IMPn_3">[46]makro!$D$17</definedName>
    <definedName name="IMPn_3n" localSheetId="17">[46]makro!$D$39</definedName>
    <definedName name="IMPn_3n">[46]makro!$D$39</definedName>
    <definedName name="IMPn_4" localSheetId="17">[46]makro!$E$17</definedName>
    <definedName name="IMPn_4">[46]makro!$E$17</definedName>
    <definedName name="IMPn_4n" localSheetId="17">[46]makro!$E$39</definedName>
    <definedName name="IMPn_4n">[46]makro!$E$39</definedName>
    <definedName name="IMPn_5" localSheetId="17">[46]makro!$F$17</definedName>
    <definedName name="IMPn_5">[46]makro!$F$17</definedName>
    <definedName name="IMPn_5n" localSheetId="17">[46]makro!$F$39</definedName>
    <definedName name="IMPn_5n">[46]makro!$F$39</definedName>
    <definedName name="IMPn_6" localSheetId="17">[46]makro!$G$17</definedName>
    <definedName name="IMPn_6">[46]makro!$G$17</definedName>
    <definedName name="IMPn_6n" localSheetId="17">[46]makro!$G$39</definedName>
    <definedName name="IMPn_6n">[46]makro!$G$39</definedName>
    <definedName name="IN1_" localSheetId="17">#REF!</definedName>
    <definedName name="IN1_" localSheetId="22">#REF!</definedName>
    <definedName name="IN1_" localSheetId="26">#REF!</definedName>
    <definedName name="IN1_">#REF!</definedName>
    <definedName name="IN2_" localSheetId="17">#REF!</definedName>
    <definedName name="IN2_" localSheetId="22">#REF!</definedName>
    <definedName name="IN2_" localSheetId="26">#REF!</definedName>
    <definedName name="IN2_">#REF!</definedName>
    <definedName name="INB">[25]B!$K$6:$T$6</definedName>
    <definedName name="INC">[25]C!$H$6:$I$6</definedName>
    <definedName name="ind" localSheetId="17">#REF!</definedName>
    <definedName name="ind" localSheetId="22">#REF!</definedName>
    <definedName name="ind" localSheetId="26">#REF!</definedName>
    <definedName name="ind">#REF!</definedName>
    <definedName name="INECEL" localSheetId="17">#REF!</definedName>
    <definedName name="INECEL" localSheetId="22">#REF!</definedName>
    <definedName name="INECEL" localSheetId="26">#REF!</definedName>
    <definedName name="INECEL">#REF!</definedName>
    <definedName name="inflation" localSheetId="17" hidden="1">[48]TAB34!#REF!</definedName>
    <definedName name="inflation" localSheetId="22" hidden="1">[48]TAB34!#REF!</definedName>
    <definedName name="inflation" hidden="1">[48]TAB34!#REF!</definedName>
    <definedName name="INPUT_2" localSheetId="12">[1]Input!#REF!</definedName>
    <definedName name="INPUT_2" localSheetId="17">[1]Input!#REF!</definedName>
    <definedName name="INPUT_2" localSheetId="22">[1]Input!#REF!</definedName>
    <definedName name="INPUT_2">[1]Input!#REF!</definedName>
    <definedName name="INPUT_4" localSheetId="12">[1]Input!#REF!</definedName>
    <definedName name="INPUT_4" localSheetId="22">[1]Input!#REF!</definedName>
    <definedName name="INPUT_4">[1]Input!#REF!</definedName>
    <definedName name="IPee_2" localSheetId="12">[24]Graf14_Graf15!#REF!</definedName>
    <definedName name="IPee_2" localSheetId="22">[24]Graf14_Graf15!#REF!</definedName>
    <definedName name="IPee_2">[24]Graf14_Graf15!#REF!</definedName>
    <definedName name="IPer_2" localSheetId="22">[24]Graf14_Graf15!#REF!</definedName>
    <definedName name="IPer_2">[24]Graf14_Graf15!#REF!</definedName>
    <definedName name="IT" localSheetId="22">[24]Graf14_Graf15!#REF!</definedName>
    <definedName name="IT">[24]Graf14_Graf15!#REF!</definedName>
    <definedName name="IT_2" localSheetId="22">[24]Graf14_Graf15!#REF!</definedName>
    <definedName name="IT_2">[24]Graf14_Graf15!#REF!</definedName>
    <definedName name="IT_2_bracket_2" localSheetId="22">[24]Graf14_Graf15!#REF!</definedName>
    <definedName name="IT_2_bracket_2">[24]Graf14_Graf15!#REF!</definedName>
    <definedName name="jhgf" localSheetId="3" hidden="1">{"MONA",#N/A,FALSE,"S"}</definedName>
    <definedName name="jhgf" localSheetId="9" hidden="1">{"MONA",#N/A,FALSE,"S"}</definedName>
    <definedName name="jhgf" localSheetId="17" hidden="1">{"MONA",#N/A,FALSE,"S"}</definedName>
    <definedName name="jhgf" localSheetId="26" hidden="1">{"MONA",#N/A,FALSE,"S"}</definedName>
    <definedName name="jhgf" localSheetId="35" hidden="1">{"MONA",#N/A,FALSE,"S"}</definedName>
    <definedName name="jhgf" localSheetId="5" hidden="1">{"MONA",#N/A,FALSE,"S"}</definedName>
    <definedName name="jhgf" localSheetId="7" hidden="1">{"MONA",#N/A,FALSE,"S"}</definedName>
    <definedName name="jhgf" localSheetId="6" hidden="1">{"MONA",#N/A,FALSE,"S"}</definedName>
    <definedName name="jhgf" hidden="1">{"MONA",#N/A,FALSE,"S"}</definedName>
    <definedName name="jhhhg" localSheetId="22" hidden="1">'[5]Time series'!#REF!</definedName>
    <definedName name="jhhhg" hidden="1">'[5]Time series'!#REF!</definedName>
    <definedName name="jj" localSheetId="3" hidden="1">{"Riqfin97",#N/A,FALSE,"Tran";"Riqfinpro",#N/A,FALSE,"Tran"}</definedName>
    <definedName name="jj" localSheetId="9" hidden="1">{"Riqfin97",#N/A,FALSE,"Tran";"Riqfinpro",#N/A,FALSE,"Tran"}</definedName>
    <definedName name="jj" localSheetId="17" hidden="1">{"Riqfin97",#N/A,FALSE,"Tran";"Riqfinpro",#N/A,FALSE,"Tran"}</definedName>
    <definedName name="jj" localSheetId="26" hidden="1">{"Riqfin97",#N/A,FALSE,"Tran";"Riqfinpro",#N/A,FALSE,"Tran"}</definedName>
    <definedName name="jj" localSheetId="35" hidden="1">{"Riqfin97",#N/A,FALSE,"Tran";"Riqfinpro",#N/A,FALSE,"Tran"}</definedName>
    <definedName name="jj" localSheetId="5" hidden="1">{"Riqfin97",#N/A,FALSE,"Tran";"Riqfinpro",#N/A,FALSE,"Tran"}</definedName>
    <definedName name="jj" localSheetId="7" hidden="1">{"Riqfin97",#N/A,FALSE,"Tran";"Riqfinpro",#N/A,FALSE,"Tran"}</definedName>
    <definedName name="jj" localSheetId="1" hidden="1">{"Riqfin97",#N/A,FALSE,"Tran";"Riqfinpro",#N/A,FALSE,"Tran"}</definedName>
    <definedName name="jj" localSheetId="6" hidden="1">{"Riqfin97",#N/A,FALSE,"Tran";"Riqfinpro",#N/A,FALSE,"Tran"}</definedName>
    <definedName name="jj" localSheetId="39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j" localSheetId="22" hidden="1">[49]M!#REF!</definedName>
    <definedName name="jjj" hidden="1">[49]M!#REF!</definedName>
    <definedName name="jjjjjj" localSheetId="22" hidden="1">'[43]J(Priv.Cap)'!#REF!</definedName>
    <definedName name="jjjjjj" hidden="1">'[43]J(Priv.Cap)'!#REF!</definedName>
    <definedName name="kjg" localSheetId="3" hidden="1">{#N/A,#N/A,FALSE,"SimInp1";#N/A,#N/A,FALSE,"SimInp2";#N/A,#N/A,FALSE,"SimOut1";#N/A,#N/A,FALSE,"SimOut2";#N/A,#N/A,FALSE,"SimOut3";#N/A,#N/A,FALSE,"SimOut4";#N/A,#N/A,FALSE,"SimOut5"}</definedName>
    <definedName name="kjg" localSheetId="9" hidden="1">{#N/A,#N/A,FALSE,"SimInp1";#N/A,#N/A,FALSE,"SimInp2";#N/A,#N/A,FALSE,"SimOut1";#N/A,#N/A,FALSE,"SimOut2";#N/A,#N/A,FALSE,"SimOut3";#N/A,#N/A,FALSE,"SimOut4";#N/A,#N/A,FALSE,"SimOut5"}</definedName>
    <definedName name="kjg" localSheetId="17" hidden="1">{#N/A,#N/A,FALSE,"SimInp1";#N/A,#N/A,FALSE,"SimInp2";#N/A,#N/A,FALSE,"SimOut1";#N/A,#N/A,FALSE,"SimOut2";#N/A,#N/A,FALSE,"SimOut3";#N/A,#N/A,FALSE,"SimOut4";#N/A,#N/A,FALSE,"SimOut5"}</definedName>
    <definedName name="kjg" localSheetId="26" hidden="1">{#N/A,#N/A,FALSE,"SimInp1";#N/A,#N/A,FALSE,"SimInp2";#N/A,#N/A,FALSE,"SimOut1";#N/A,#N/A,FALSE,"SimOut2";#N/A,#N/A,FALSE,"SimOut3";#N/A,#N/A,FALSE,"SimOut4";#N/A,#N/A,FALSE,"SimOut5"}</definedName>
    <definedName name="kjg" localSheetId="35" hidden="1">{#N/A,#N/A,FALSE,"SimInp1";#N/A,#N/A,FALSE,"SimInp2";#N/A,#N/A,FALSE,"SimOut1";#N/A,#N/A,FALSE,"SimOut2";#N/A,#N/A,FALSE,"SimOut3";#N/A,#N/A,FALSE,"SimOut4";#N/A,#N/A,FALSE,"SimOut5"}</definedName>
    <definedName name="kjg" localSheetId="5" hidden="1">{#N/A,#N/A,FALSE,"SimInp1";#N/A,#N/A,FALSE,"SimInp2";#N/A,#N/A,FALSE,"SimOut1";#N/A,#N/A,FALSE,"SimOut2";#N/A,#N/A,FALSE,"SimOut3";#N/A,#N/A,FALSE,"SimOut4";#N/A,#N/A,FALSE,"SimOut5"}</definedName>
    <definedName name="kjg" localSheetId="7" hidden="1">{#N/A,#N/A,FALSE,"SimInp1";#N/A,#N/A,FALSE,"SimInp2";#N/A,#N/A,FALSE,"SimOut1";#N/A,#N/A,FALSE,"SimOut2";#N/A,#N/A,FALSE,"SimOut3";#N/A,#N/A,FALSE,"SimOut4";#N/A,#N/A,FALSE,"SimOut5"}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3" hidden="1">{"Tab1",#N/A,FALSE,"P";"Tab2",#N/A,FALSE,"P"}</definedName>
    <definedName name="kk" localSheetId="9" hidden="1">{"Tab1",#N/A,FALSE,"P";"Tab2",#N/A,FALSE,"P"}</definedName>
    <definedName name="kk" localSheetId="17" hidden="1">{"Tab1",#N/A,FALSE,"P";"Tab2",#N/A,FALSE,"P"}</definedName>
    <definedName name="kk" localSheetId="26" hidden="1">{"Tab1",#N/A,FALSE,"P";"Tab2",#N/A,FALSE,"P"}</definedName>
    <definedName name="kk" localSheetId="35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1" hidden="1">{"Tab1",#N/A,FALSE,"P";"Tab2",#N/A,FALSE,"P"}</definedName>
    <definedName name="kk" localSheetId="6" hidden="1">{"Tab1",#N/A,FALSE,"P";"Tab2",#N/A,FALSE,"P"}</definedName>
    <definedName name="kk" localSheetId="39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k" localSheetId="3" hidden="1">{"Tab1",#N/A,FALSE,"P";"Tab2",#N/A,FALSE,"P"}</definedName>
    <definedName name="kkk" localSheetId="9" hidden="1">{"Tab1",#N/A,FALSE,"P";"Tab2",#N/A,FALSE,"P"}</definedName>
    <definedName name="kkk" localSheetId="17" hidden="1">{"Tab1",#N/A,FALSE,"P";"Tab2",#N/A,FALSE,"P"}</definedName>
    <definedName name="kkk" localSheetId="26" hidden="1">{"Tab1",#N/A,FALSE,"P";"Tab2",#N/A,FALSE,"P"}</definedName>
    <definedName name="kkk" localSheetId="35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1" hidden="1">{"Tab1",#N/A,FALSE,"P";"Tab2",#N/A,FALSE,"P"}</definedName>
    <definedName name="kkk" localSheetId="6" hidden="1">{"Tab1",#N/A,FALSE,"P";"Tab2",#N/A,FALSE,"P"}</definedName>
    <definedName name="kkk" localSheetId="39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22" hidden="1">[37]M!#REF!</definedName>
    <definedName name="kkkk" hidden="1">[37]M!#REF!</definedName>
    <definedName name="Konto" localSheetId="17">#REF!</definedName>
    <definedName name="Konto" localSheetId="22">#REF!</definedName>
    <definedName name="Konto" localSheetId="26">#REF!</definedName>
    <definedName name="Konto">#REF!</definedName>
    <definedName name="KSDn_2" localSheetId="17">[46]makro!$C$7</definedName>
    <definedName name="KSDn_2">[46]makro!$C$7</definedName>
    <definedName name="KSDn_2_up" localSheetId="17">[46]makro!$C$8</definedName>
    <definedName name="KSDn_2_up">[46]makro!$C$8</definedName>
    <definedName name="KSDn_2n" localSheetId="17">[46]makro!$C$29</definedName>
    <definedName name="KSDn_2n">[46]makro!$C$29</definedName>
    <definedName name="KSDn_2n_up" localSheetId="17">[46]makro!$C$30</definedName>
    <definedName name="KSDn_2n_up">[46]makro!$C$30</definedName>
    <definedName name="KSDn_3" localSheetId="17">[46]makro!$D$7</definedName>
    <definedName name="KSDn_3">[46]makro!$D$7</definedName>
    <definedName name="KSDn_3_up" localSheetId="17">[46]makro!$D$8</definedName>
    <definedName name="KSDn_3_up">[46]makro!$D$8</definedName>
    <definedName name="KSDn_3n" localSheetId="17">[46]makro!$D$29</definedName>
    <definedName name="KSDn_3n">[46]makro!$D$29</definedName>
    <definedName name="KSDn_3n_up" localSheetId="17">[46]makro!$D$30</definedName>
    <definedName name="KSDn_3n_up">[46]makro!$D$30</definedName>
    <definedName name="KSDn_4" localSheetId="17">[46]makro!$E$7</definedName>
    <definedName name="KSDn_4">[46]makro!$E$7</definedName>
    <definedName name="KSDn_4_up" localSheetId="17">[46]makro!$E$8</definedName>
    <definedName name="KSDn_4_up">[46]makro!$E$8</definedName>
    <definedName name="KSDn_4n" localSheetId="17">[46]makro!$E$29</definedName>
    <definedName name="KSDn_4n">[46]makro!$E$29</definedName>
    <definedName name="KSDn_4n_up" localSheetId="17">[46]makro!$E$30</definedName>
    <definedName name="KSDn_4n_up">[46]makro!$E$30</definedName>
    <definedName name="KSDn_5" localSheetId="17">[46]makro!$F$7</definedName>
    <definedName name="KSDn_5">[46]makro!$F$7</definedName>
    <definedName name="KSDn_5_up" localSheetId="17">[46]makro!$F$8</definedName>
    <definedName name="KSDn_5_up">[46]makro!$F$8</definedName>
    <definedName name="KSDn_5n" localSheetId="17">[46]makro!$F$29</definedName>
    <definedName name="KSDn_5n">[46]makro!$F$29</definedName>
    <definedName name="KSDn_5n_up" localSheetId="17">[46]makro!$F$30</definedName>
    <definedName name="KSDn_5n_up">[46]makro!$F$30</definedName>
    <definedName name="KSDn_6" localSheetId="17">[46]makro!$G$7</definedName>
    <definedName name="KSDn_6">[46]makro!$G$7</definedName>
    <definedName name="KSDn_6_up" localSheetId="17">[46]makro!$G$8</definedName>
    <definedName name="KSDn_6_up">[46]makro!$G$8</definedName>
    <definedName name="KSDn_6n" localSheetId="17">[46]makro!$G$29</definedName>
    <definedName name="KSDn_6n">[46]makro!$G$29</definedName>
    <definedName name="KSDn_6n_up" localSheetId="17">[46]makro!$G$30</definedName>
    <definedName name="KSDn_6n_up">[46]makro!$G$30</definedName>
    <definedName name="KSDr_2" localSheetId="17">[46]makro!$C$6</definedName>
    <definedName name="KSDr_2">[46]makro!$C$6</definedName>
    <definedName name="KSDr_2n" localSheetId="17">[46]makro!$C$28</definedName>
    <definedName name="KSDr_2n">[46]makro!$C$28</definedName>
    <definedName name="KSDr_3" localSheetId="17">[46]makro!$D$6</definedName>
    <definedName name="KSDr_3">[46]makro!$D$6</definedName>
    <definedName name="KSDr_3n" localSheetId="17">[46]makro!$D$28</definedName>
    <definedName name="KSDr_3n">[46]makro!$D$28</definedName>
    <definedName name="KSDr_4" localSheetId="17">[46]makro!$E$6</definedName>
    <definedName name="KSDr_4">[46]makro!$E$6</definedName>
    <definedName name="KSDr_4n" localSheetId="17">[46]makro!$E$28</definedName>
    <definedName name="KSDr_4n">[46]makro!$E$28</definedName>
    <definedName name="KSDr_5" localSheetId="17">[46]makro!$F$6</definedName>
    <definedName name="KSDr_5">[46]makro!$F$6</definedName>
    <definedName name="KSDr_5n" localSheetId="17">[46]makro!$F$28</definedName>
    <definedName name="KSDr_5n">[46]makro!$F$28</definedName>
    <definedName name="KSDr_6" localSheetId="17">[46]makro!$G$6</definedName>
    <definedName name="KSDr_6">[46]makro!$G$6</definedName>
    <definedName name="KSDr_6n" localSheetId="17">[46]makro!$G$28</definedName>
    <definedName name="KSDr_6n">[46]makro!$G$28</definedName>
    <definedName name="kumul1" localSheetId="17">#REF!</definedName>
    <definedName name="kumul1" localSheetId="22">#REF!</definedName>
    <definedName name="kumul1" localSheetId="26">#REF!</definedName>
    <definedName name="kumul1">#REF!</definedName>
    <definedName name="kumul2" localSheetId="17">#REF!</definedName>
    <definedName name="kumul2" localSheetId="22">#REF!</definedName>
    <definedName name="kumul2" localSheetId="26">#REF!</definedName>
    <definedName name="kumul2">#REF!</definedName>
    <definedName name="kvart1" localSheetId="12">#REF!</definedName>
    <definedName name="kvart1" localSheetId="17">#REF!</definedName>
    <definedName name="kvart1" localSheetId="22">#REF!</definedName>
    <definedName name="kvart1">#REF!</definedName>
    <definedName name="kvart2" localSheetId="17">#REF!</definedName>
    <definedName name="kvart2" localSheetId="22">#REF!</definedName>
    <definedName name="kvart2">#REF!</definedName>
    <definedName name="kvart3" localSheetId="17">#REF!</definedName>
    <definedName name="kvart3" localSheetId="22">#REF!</definedName>
    <definedName name="kvart3">#REF!</definedName>
    <definedName name="kvart4" localSheetId="17">#REF!</definedName>
    <definedName name="kvart4" localSheetId="22">#REF!</definedName>
    <definedName name="kvart4">#REF!</definedName>
    <definedName name="ll" localSheetId="3" hidden="1">{"Tab1",#N/A,FALSE,"P";"Tab2",#N/A,FALSE,"P"}</definedName>
    <definedName name="ll" localSheetId="9" hidden="1">{"Tab1",#N/A,FALSE,"P";"Tab2",#N/A,FALSE,"P"}</definedName>
    <definedName name="ll" localSheetId="17" hidden="1">{"Tab1",#N/A,FALSE,"P";"Tab2",#N/A,FALSE,"P"}</definedName>
    <definedName name="ll" localSheetId="26" hidden="1">{"Tab1",#N/A,FALSE,"P";"Tab2",#N/A,FALSE,"P"}</definedName>
    <definedName name="ll" localSheetId="35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1" hidden="1">{"Tab1",#N/A,FALSE,"P";"Tab2",#N/A,FALSE,"P"}</definedName>
    <definedName name="ll" localSheetId="6" hidden="1">{"Tab1",#N/A,FALSE,"P";"Tab2",#N/A,FALSE,"P"}</definedName>
    <definedName name="ll" localSheetId="39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3" hidden="1">{"Riqfin97",#N/A,FALSE,"Tran";"Riqfinpro",#N/A,FALSE,"Tran"}</definedName>
    <definedName name="lll" localSheetId="9" hidden="1">{"Riqfin97",#N/A,FALSE,"Tran";"Riqfinpro",#N/A,FALSE,"Tran"}</definedName>
    <definedName name="lll" localSheetId="17" hidden="1">{"Riqfin97",#N/A,FALSE,"Tran";"Riqfinpro",#N/A,FALSE,"Tran"}</definedName>
    <definedName name="lll" localSheetId="26" hidden="1">{"Riqfin97",#N/A,FALSE,"Tran";"Riqfinpro",#N/A,FALSE,"Tran"}</definedName>
    <definedName name="lll" localSheetId="35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1" hidden="1">{"Riqfin97",#N/A,FALSE,"Tran";"Riqfinpro",#N/A,FALSE,"Tran"}</definedName>
    <definedName name="lll" localSheetId="6" hidden="1">{"Riqfin97",#N/A,FALSE,"Tran";"Riqfinpro",#N/A,FALSE,"Tran"}</definedName>
    <definedName name="lll" localSheetId="39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22" hidden="1">[49]M!#REF!</definedName>
    <definedName name="llll" hidden="1">[49]M!#REF!</definedName>
    <definedName name="ls">[36]LS!$A$1:$E$65536</definedName>
    <definedName name="LUR">#N/A</definedName>
    <definedName name="Malaysia" localSheetId="17">#REF!</definedName>
    <definedName name="Malaysia" localSheetId="22">#REF!</definedName>
    <definedName name="Malaysia" localSheetId="26">#REF!</definedName>
    <definedName name="Malaysia">#REF!</definedName>
    <definedName name="MB_2" localSheetId="17">[46]makro!$C$11</definedName>
    <definedName name="MB_2">[46]makro!$C$11</definedName>
    <definedName name="MB_2n" localSheetId="17">[46]makro!$C$33</definedName>
    <definedName name="MB_2n">[46]makro!$C$33</definedName>
    <definedName name="MB_3" localSheetId="17">[46]makro!$D$11</definedName>
    <definedName name="MB_3">[46]makro!$D$11</definedName>
    <definedName name="MB_3n" localSheetId="17">[46]makro!$D$33</definedName>
    <definedName name="MB_3n">[46]makro!$D$33</definedName>
    <definedName name="MB_4" localSheetId="17">[46]makro!$E$11</definedName>
    <definedName name="MB_4">[46]makro!$E$11</definedName>
    <definedName name="MB_4n" localSheetId="17">[46]makro!$E$33</definedName>
    <definedName name="MB_4n">[46]makro!$E$33</definedName>
    <definedName name="MB_5" localSheetId="17">[46]makro!$F$11</definedName>
    <definedName name="MB_5">[46]makro!$F$11</definedName>
    <definedName name="MB_5n" localSheetId="17">[46]makro!$F$33</definedName>
    <definedName name="MB_5n">[46]makro!$F$33</definedName>
    <definedName name="MB_6" localSheetId="17">[46]makro!$G$11</definedName>
    <definedName name="MB_6">[46]makro!$G$11</definedName>
    <definedName name="MB_6n" localSheetId="17">[46]makro!$G$33</definedName>
    <definedName name="MB_6n">[46]makro!$G$33</definedName>
    <definedName name="MCV">#N/A</definedName>
    <definedName name="MCV_B">#N/A</definedName>
    <definedName name="MCV_B1" localSheetId="12">'[22]WEO-BOP'!#REF!</definedName>
    <definedName name="MCV_B1" localSheetId="22">'[22]WEO-BOP'!#REF!</definedName>
    <definedName name="MCV_B1">'[22]WEO-BOP'!#REF!</definedName>
    <definedName name="MCV_D">#N/A</definedName>
    <definedName name="MCV_N">#N/A</definedName>
    <definedName name="MCV_T">#N/A</definedName>
    <definedName name="MENORES" localSheetId="17">#REF!</definedName>
    <definedName name="MENORES" localSheetId="22">#REF!</definedName>
    <definedName name="MENORES" localSheetId="26">#REF!</definedName>
    <definedName name="MENORES">#REF!</definedName>
    <definedName name="mesec1" localSheetId="17">#REF!</definedName>
    <definedName name="mesec1" localSheetId="22">#REF!</definedName>
    <definedName name="mesec1" localSheetId="26">#REF!</definedName>
    <definedName name="mesec1">#REF!</definedName>
    <definedName name="mesec2" localSheetId="17">#REF!</definedName>
    <definedName name="mesec2" localSheetId="22">#REF!</definedName>
    <definedName name="mesec2" localSheetId="26">#REF!</definedName>
    <definedName name="mesec2">#REF!</definedName>
    <definedName name="mf" localSheetId="3" hidden="1">{"Tab1",#N/A,FALSE,"P";"Tab2",#N/A,FALSE,"P"}</definedName>
    <definedName name="mf" localSheetId="9" hidden="1">{"Tab1",#N/A,FALSE,"P";"Tab2",#N/A,FALSE,"P"}</definedName>
    <definedName name="mf" localSheetId="17" hidden="1">{"Tab1",#N/A,FALSE,"P";"Tab2",#N/A,FALSE,"P"}</definedName>
    <definedName name="mf" localSheetId="26" hidden="1">{"Tab1",#N/A,FALSE,"P";"Tab2",#N/A,FALSE,"P"}</definedName>
    <definedName name="mf" localSheetId="35" hidden="1">{"Tab1",#N/A,FALSE,"P";"Tab2",#N/A,FALSE,"P"}</definedName>
    <definedName name="mf" localSheetId="5" hidden="1">{"Tab1",#N/A,FALSE,"P";"Tab2",#N/A,FALSE,"P"}</definedName>
    <definedName name="mf" localSheetId="7" hidden="1">{"Tab1",#N/A,FALSE,"P";"Tab2",#N/A,FALSE,"P"}</definedName>
    <definedName name="mf" localSheetId="1" hidden="1">{"Tab1",#N/A,FALSE,"P";"Tab2",#N/A,FALSE,"P"}</definedName>
    <definedName name="mf" localSheetId="6" hidden="1">{"Tab1",#N/A,FALSE,"P";"Tab2",#N/A,FALSE,"P"}</definedName>
    <definedName name="mf" localSheetId="39" hidden="1">{"Tab1",#N/A,FALSE,"P";"Tab2",#N/A,FALSE,"P"}</definedName>
    <definedName name="mf" localSheetId="15" hidden="1">{"Tab1",#N/A,FALSE,"P";"Tab2",#N/A,FALSE,"P"}</definedName>
    <definedName name="mf" hidden="1">{"Tab1",#N/A,FALSE,"P";"Tab2",#N/A,FALSE,"P"}</definedName>
    <definedName name="MFISCAL" localSheetId="22">'[3]Annual Raw Data'!#REF!</definedName>
    <definedName name="MFISCAL">'[3]Annual Raw Data'!#REF!</definedName>
    <definedName name="mflowsa" localSheetId="22">[16]!mflowsa</definedName>
    <definedName name="mflowsa">[16]!mflowsa</definedName>
    <definedName name="mflowsq" localSheetId="22">[16]!mflowsq</definedName>
    <definedName name="mflowsq">[16]!mflowsq</definedName>
    <definedName name="MICRO" localSheetId="17">#REF!</definedName>
    <definedName name="MICRO" localSheetId="22">#REF!</definedName>
    <definedName name="MICRO" localSheetId="26">#REF!</definedName>
    <definedName name="MICRO">#REF!</definedName>
    <definedName name="min_VZ" localSheetId="17">[24]Graf14_Graf15!#REF!</definedName>
    <definedName name="min_VZ" localSheetId="22">[24]Graf14_Graf15!#REF!</definedName>
    <definedName name="min_VZ" localSheetId="26">[24]Graf14_Graf15!#REF!</definedName>
    <definedName name="min_VZ">[24]Graf14_Graf15!#REF!</definedName>
    <definedName name="MISC3" localSheetId="17">#REF!</definedName>
    <definedName name="MISC3" localSheetId="22">#REF!</definedName>
    <definedName name="MISC3" localSheetId="26">#REF!</definedName>
    <definedName name="MISC3">#REF!</definedName>
    <definedName name="MISC4" localSheetId="17">[1]OUTPUT!#REF!</definedName>
    <definedName name="MISC4" localSheetId="22">[1]OUTPUT!#REF!</definedName>
    <definedName name="MISC4" localSheetId="26">[1]OUTPUT!#REF!</definedName>
    <definedName name="MISC4">[1]OUTPUT!#REF!</definedName>
    <definedName name="mmm" localSheetId="3" hidden="1">{"Riqfin97",#N/A,FALSE,"Tran";"Riqfinpro",#N/A,FALSE,"Tran"}</definedName>
    <definedName name="mmm" localSheetId="9" hidden="1">{"Riqfin97",#N/A,FALSE,"Tran";"Riqfinpro",#N/A,FALSE,"Tran"}</definedName>
    <definedName name="mmm" localSheetId="17" hidden="1">{"Riqfin97",#N/A,FALSE,"Tran";"Riqfinpro",#N/A,FALSE,"Tran"}</definedName>
    <definedName name="mmm" localSheetId="26" hidden="1">{"Riqfin97",#N/A,FALSE,"Tran";"Riqfinpro",#N/A,FALSE,"Tran"}</definedName>
    <definedName name="mmm" localSheetId="35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1" hidden="1">{"Riqfin97",#N/A,FALSE,"Tran";"Riqfinpro",#N/A,FALSE,"Tran"}</definedName>
    <definedName name="mmm" localSheetId="6" hidden="1">{"Riqfin97",#N/A,FALSE,"Tran";"Riqfinpro",#N/A,FALSE,"Tran"}</definedName>
    <definedName name="mmm" localSheetId="39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3" hidden="1">{"Tab1",#N/A,FALSE,"P";"Tab2",#N/A,FALSE,"P"}</definedName>
    <definedName name="mmmm" localSheetId="9" hidden="1">{"Tab1",#N/A,FALSE,"P";"Tab2",#N/A,FALSE,"P"}</definedName>
    <definedName name="mmmm" localSheetId="17" hidden="1">{"Tab1",#N/A,FALSE,"P";"Tab2",#N/A,FALSE,"P"}</definedName>
    <definedName name="mmmm" localSheetId="26" hidden="1">{"Tab1",#N/A,FALSE,"P";"Tab2",#N/A,FALSE,"P"}</definedName>
    <definedName name="mmmm" localSheetId="35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1" hidden="1">{"Tab1",#N/A,FALSE,"P";"Tab2",#N/A,FALSE,"P"}</definedName>
    <definedName name="mmmm" localSheetId="6" hidden="1">{"Tab1",#N/A,FALSE,"P";"Tab2",#N/A,FALSE,"P"}</definedName>
    <definedName name="mmmm" localSheetId="39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ON_SM" localSheetId="17">#REF!</definedName>
    <definedName name="MON_SM" localSheetId="22">#REF!</definedName>
    <definedName name="MON_SM" localSheetId="26">#REF!</definedName>
    <definedName name="MON_SM">#REF!</definedName>
    <definedName name="MONF_SM" localSheetId="17">#REF!</definedName>
    <definedName name="MONF_SM" localSheetId="22">#REF!</definedName>
    <definedName name="MONF_SM" localSheetId="26">#REF!</definedName>
    <definedName name="MONF_SM">#REF!</definedName>
    <definedName name="MONTH">[18]REER!$D$140:$E$199</definedName>
    <definedName name="mstocksa" localSheetId="22">[16]!mstocksa</definedName>
    <definedName name="mstocksa">[16]!mstocksa</definedName>
    <definedName name="mstocksq" localSheetId="22">[16]!mstocksq</definedName>
    <definedName name="mstocksq">[16]!mstocksq</definedName>
    <definedName name="MTO" localSheetId="17">#REF!</definedName>
    <definedName name="MTO" localSheetId="22">#REF!</definedName>
    <definedName name="MTO" localSheetId="26">#REF!</definedName>
    <definedName name="MTO">#REF!</definedName>
    <definedName name="Municipios" localSheetId="17">#REF!</definedName>
    <definedName name="Municipios" localSheetId="22">#REF!</definedName>
    <definedName name="Municipios" localSheetId="26">#REF!</definedName>
    <definedName name="Municipios">#REF!</definedName>
    <definedName name="MVZ_1.5x" localSheetId="17">[24]Graf14_Graf15!#REF!</definedName>
    <definedName name="MVZ_1.5x" localSheetId="22">[24]Graf14_Graf15!#REF!</definedName>
    <definedName name="MVZ_1.5x" localSheetId="26">[24]Graf14_Graf15!#REF!</definedName>
    <definedName name="MVZ_1.5x">[24]Graf14_Graf15!#REF!</definedName>
    <definedName name="MVZ_4x" localSheetId="22">[24]Graf14_Graf15!#REF!</definedName>
    <definedName name="MVZ_4x" localSheetId="26">[24]Graf14_Graf15!#REF!</definedName>
    <definedName name="MVZ_4x">[24]Graf14_Graf15!#REF!</definedName>
    <definedName name="MVZ_5x" localSheetId="22">[24]Graf14_Graf15!#REF!</definedName>
    <definedName name="MVZ_5x" localSheetId="26">[24]Graf14_Graf15!#REF!</definedName>
    <definedName name="MVZ_5x">[24]Graf14_Graf15!#REF!</definedName>
    <definedName name="MW" localSheetId="22">[24]Graf14_Graf15!#REF!</definedName>
    <definedName name="MW" localSheetId="26">[24]Graf14_Graf15!#REF!</definedName>
    <definedName name="MW">[24]Graf14_Graf15!#REF!</definedName>
    <definedName name="MW_2" localSheetId="22">[24]Graf14_Graf15!#REF!</definedName>
    <definedName name="MW_2" localSheetId="26">[24]Graf14_Graf15!#REF!</definedName>
    <definedName name="MW_2">[24]Graf14_Graf15!#REF!</definedName>
    <definedName name="NACTCURRENT" localSheetId="17">#REF!</definedName>
    <definedName name="NACTCURRENT" localSheetId="22">#REF!</definedName>
    <definedName name="NACTCURRENT" localSheetId="26">#REF!</definedName>
    <definedName name="NACTCURRENT">#REF!</definedName>
    <definedName name="nam1out" localSheetId="17">#REF!</definedName>
    <definedName name="nam1out" localSheetId="22">#REF!</definedName>
    <definedName name="nam1out" localSheetId="26">#REF!</definedName>
    <definedName name="nam1out">#REF!</definedName>
    <definedName name="nam2in" localSheetId="17">#REF!</definedName>
    <definedName name="nam2in" localSheetId="22">#REF!</definedName>
    <definedName name="nam2in" localSheetId="26">#REF!</definedName>
    <definedName name="nam2in">#REF!</definedName>
    <definedName name="nam2out" localSheetId="17">#REF!</definedName>
    <definedName name="nam2out" localSheetId="22">#REF!</definedName>
    <definedName name="nam2out">#REF!</definedName>
    <definedName name="NAMB">[18]REER!$AY$143:$BB$143</definedName>
    <definedName name="namcr" localSheetId="3">'[2]Tab ann curr'!#REF!</definedName>
    <definedName name="namcr" localSheetId="9">'[2]Tab ann curr'!#REF!</definedName>
    <definedName name="namcr" localSheetId="22">'[2]Tab ann curr'!#REF!</definedName>
    <definedName name="namcr" localSheetId="26">'[2]Tab ann curr'!#REF!</definedName>
    <definedName name="namcr" localSheetId="35">'[2]Tab ann curr'!#REF!</definedName>
    <definedName name="namcr" localSheetId="5">'[2]Tab ann curr'!#REF!</definedName>
    <definedName name="namcr" localSheetId="7">'[2]Tab ann curr'!#REF!</definedName>
    <definedName name="namcr" localSheetId="6">'[2]Tab ann curr'!#REF!</definedName>
    <definedName name="namcr">'[2]Tab ann curr'!#REF!</definedName>
    <definedName name="namcs" localSheetId="22">'[2]Tab ann cst'!#REF!</definedName>
    <definedName name="namcs" localSheetId="26">'[2]Tab ann cst'!#REF!</definedName>
    <definedName name="namcs">'[2]Tab ann cst'!#REF!</definedName>
    <definedName name="name_AD">[30]Sheet1!$A$20</definedName>
    <definedName name="name_EXP">[30]Sheet1!$N$54:$N$71</definedName>
    <definedName name="name_FISC" localSheetId="17">#REF!</definedName>
    <definedName name="name_FISC" localSheetId="22">#REF!</definedName>
    <definedName name="name_FISC" localSheetId="26">#REF!</definedName>
    <definedName name="name_FISC">#REF!</definedName>
    <definedName name="nameIntLiq" localSheetId="17">#REF!</definedName>
    <definedName name="nameIntLiq" localSheetId="22">#REF!</definedName>
    <definedName name="nameIntLiq" localSheetId="26">#REF!</definedName>
    <definedName name="nameIntLiq">#REF!</definedName>
    <definedName name="nameMoney" localSheetId="17">#REF!</definedName>
    <definedName name="nameMoney" localSheetId="22">#REF!</definedName>
    <definedName name="nameMoney" localSheetId="26">#REF!</definedName>
    <definedName name="nameMoney">#REF!</definedName>
    <definedName name="nameRATES" localSheetId="17">#REF!</definedName>
    <definedName name="nameRATES" localSheetId="22">#REF!</definedName>
    <definedName name="nameRATES">#REF!</definedName>
    <definedName name="nameRAWQ" localSheetId="17">'[31]Raw Data'!#REF!</definedName>
    <definedName name="nameRAWQ" localSheetId="22">'[31]Raw Data'!#REF!</definedName>
    <definedName name="nameRAWQ">'[31]Raw Data'!#REF!</definedName>
    <definedName name="nameReal" localSheetId="17">#REF!</definedName>
    <definedName name="nameReal" localSheetId="22">#REF!</definedName>
    <definedName name="nameReal" localSheetId="26">#REF!</definedName>
    <definedName name="nameReal">#REF!</definedName>
    <definedName name="names" localSheetId="17">#REF!</definedName>
    <definedName name="names" localSheetId="22">#REF!</definedName>
    <definedName name="names" localSheetId="26">#REF!</definedName>
    <definedName name="names">#REF!</definedName>
    <definedName name="NAMES_fidr_r" localSheetId="17">[29]monthly!#REF!</definedName>
    <definedName name="NAMES_fidr_r" localSheetId="22">[29]monthly!#REF!</definedName>
    <definedName name="NAMES_fidr_r" localSheetId="26">[29]monthly!#REF!</definedName>
    <definedName name="NAMES_fidr_r">[29]monthly!#REF!</definedName>
    <definedName name="names_figb_r" localSheetId="22">[29]monthly!#REF!</definedName>
    <definedName name="names_figb_r" localSheetId="26">[29]monthly!#REF!</definedName>
    <definedName name="names_figb_r">[29]monthly!#REF!</definedName>
    <definedName name="names_w" localSheetId="17">#REF!</definedName>
    <definedName name="names_w" localSheetId="22">#REF!</definedName>
    <definedName name="names_w" localSheetId="26">#REF!</definedName>
    <definedName name="names_w">#REF!</definedName>
    <definedName name="names1in" localSheetId="17">#REF!</definedName>
    <definedName name="names1in" localSheetId="22">#REF!</definedName>
    <definedName name="names1in" localSheetId="26">#REF!</definedName>
    <definedName name="names1in">#REF!</definedName>
    <definedName name="NAMESB" localSheetId="17">#REF!</definedName>
    <definedName name="NAMESB" localSheetId="22">#REF!</definedName>
    <definedName name="NAMESB" localSheetId="26">#REF!</definedName>
    <definedName name="NAMESB">#REF!</definedName>
    <definedName name="namesc" localSheetId="17">#REF!</definedName>
    <definedName name="namesc" localSheetId="22">#REF!</definedName>
    <definedName name="namesc">#REF!</definedName>
    <definedName name="NAMESG" localSheetId="17">#REF!</definedName>
    <definedName name="NAMESG" localSheetId="22">#REF!</definedName>
    <definedName name="NAMESG">#REF!</definedName>
    <definedName name="namesm" localSheetId="17">#REF!</definedName>
    <definedName name="namesm" localSheetId="22">#REF!</definedName>
    <definedName name="namesm">#REF!</definedName>
    <definedName name="NAMESQ" localSheetId="17">#REF!</definedName>
    <definedName name="NAMESQ" localSheetId="22">#REF!</definedName>
    <definedName name="NAMESQ">#REF!</definedName>
    <definedName name="namesr" localSheetId="17">#REF!</definedName>
    <definedName name="namesr" localSheetId="22">#REF!</definedName>
    <definedName name="namesr">#REF!</definedName>
    <definedName name="namestran">[25]transfer!$C$1:$O$1</definedName>
    <definedName name="namgdp" localSheetId="17">#REF!</definedName>
    <definedName name="namgdp" localSheetId="22">#REF!</definedName>
    <definedName name="namgdp" localSheetId="26">#REF!</definedName>
    <definedName name="namgdp">#REF!</definedName>
    <definedName name="NAMIN" localSheetId="17">#REF!</definedName>
    <definedName name="NAMIN" localSheetId="22">#REF!</definedName>
    <definedName name="NAMIN" localSheetId="26">#REF!</definedName>
    <definedName name="NAMIN">#REF!</definedName>
    <definedName name="namin1">[18]REER!$F$1:$BP$1</definedName>
    <definedName name="namin2">[18]REER!$F$138:$AA$138</definedName>
    <definedName name="namind" localSheetId="3">'[2]work Q real'!#REF!</definedName>
    <definedName name="namind" localSheetId="9">'[2]work Q real'!#REF!</definedName>
    <definedName name="namind" localSheetId="22">'[2]work Q real'!#REF!</definedName>
    <definedName name="namind" localSheetId="26">'[2]work Q real'!#REF!</definedName>
    <definedName name="namind" localSheetId="35">'[2]work Q real'!#REF!</definedName>
    <definedName name="namind" localSheetId="5">'[2]work Q real'!#REF!</definedName>
    <definedName name="namind" localSheetId="7">'[2]work Q real'!#REF!</definedName>
    <definedName name="namind" localSheetId="6">'[2]work Q real'!#REF!</definedName>
    <definedName name="namind">'[2]work Q real'!#REF!</definedName>
    <definedName name="naminm" localSheetId="17">#REF!</definedName>
    <definedName name="naminm" localSheetId="22">#REF!</definedName>
    <definedName name="naminm" localSheetId="26">#REF!</definedName>
    <definedName name="naminm">#REF!</definedName>
    <definedName name="naminq" localSheetId="17">#REF!</definedName>
    <definedName name="naminq" localSheetId="22">#REF!</definedName>
    <definedName name="naminq" localSheetId="26">#REF!</definedName>
    <definedName name="naminq">#REF!</definedName>
    <definedName name="namm" localSheetId="17">#REF!</definedName>
    <definedName name="namm" localSheetId="22">#REF!</definedName>
    <definedName name="namm" localSheetId="26">#REF!</definedName>
    <definedName name="namm">#REF!</definedName>
    <definedName name="NAMOUT" localSheetId="17">#REF!</definedName>
    <definedName name="NAMOUT" localSheetId="22">#REF!</definedName>
    <definedName name="NAMOUT">#REF!</definedName>
    <definedName name="namout1">[18]REER!$F$2:$AA$2</definedName>
    <definedName name="namoutm" localSheetId="17">#REF!</definedName>
    <definedName name="namoutm" localSheetId="22">#REF!</definedName>
    <definedName name="namoutm" localSheetId="26">#REF!</definedName>
    <definedName name="namoutm">#REF!</definedName>
    <definedName name="namoutq" localSheetId="17">#REF!</definedName>
    <definedName name="namoutq" localSheetId="22">#REF!</definedName>
    <definedName name="namoutq" localSheetId="26">#REF!</definedName>
    <definedName name="namoutq">#REF!</definedName>
    <definedName name="namprofit">[18]C!$O$1:$Z$1</definedName>
    <definedName name="namq" localSheetId="17">#REF!</definedName>
    <definedName name="namq" localSheetId="22">#REF!</definedName>
    <definedName name="namq" localSheetId="26">#REF!</definedName>
    <definedName name="namq">#REF!</definedName>
    <definedName name="namq1" localSheetId="17">#REF!</definedName>
    <definedName name="namq1" localSheetId="22">#REF!</definedName>
    <definedName name="namq1" localSheetId="26">#REF!</definedName>
    <definedName name="namq1">#REF!</definedName>
    <definedName name="namq2" localSheetId="17">#REF!</definedName>
    <definedName name="namq2" localSheetId="22">#REF!</definedName>
    <definedName name="namq2" localSheetId="26">#REF!</definedName>
    <definedName name="namq2">#REF!</definedName>
    <definedName name="namreer">[18]REER!$AY$143:$BF$143</definedName>
    <definedName name="namsgdp" localSheetId="17">#REF!</definedName>
    <definedName name="namsgdp" localSheetId="22">#REF!</definedName>
    <definedName name="namsgdp" localSheetId="26">#REF!</definedName>
    <definedName name="namsgdp">#REF!</definedName>
    <definedName name="namtin" localSheetId="17">#REF!</definedName>
    <definedName name="namtin" localSheetId="22">#REF!</definedName>
    <definedName name="namtin" localSheetId="26">#REF!</definedName>
    <definedName name="namtin">#REF!</definedName>
    <definedName name="namtout" localSheetId="17">#REF!</definedName>
    <definedName name="namtout" localSheetId="22">#REF!</definedName>
    <definedName name="namtout" localSheetId="26">#REF!</definedName>
    <definedName name="namtout">#REF!</definedName>
    <definedName name="namulc">[18]REER!$BI$1:$BP$1</definedName>
    <definedName name="_xlnm.Print_Titles" localSheetId="12">#REF!,#REF!</definedName>
    <definedName name="_xlnm.Print_Titles" localSheetId="17">#REF!,#REF!</definedName>
    <definedName name="_xlnm.Print_Titles" localSheetId="22">#REF!,#REF!</definedName>
    <definedName name="_xlnm.Print_Titles" localSheetId="26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3">[24]Graf14_Graf15!#REF!</definedName>
    <definedName name="NCZD" localSheetId="9">[24]Graf14_Graf15!#REF!</definedName>
    <definedName name="NCZD" localSheetId="17">[24]Graf14_Graf15!#REF!</definedName>
    <definedName name="NCZD" localSheetId="22">[24]Graf14_Graf15!#REF!</definedName>
    <definedName name="NCZD" localSheetId="26">[24]Graf14_Graf15!#REF!</definedName>
    <definedName name="NCZD" localSheetId="35">[24]Graf14_Graf15!#REF!</definedName>
    <definedName name="NCZD" localSheetId="5">[24]Graf14_Graf15!#REF!</definedName>
    <definedName name="NCZD" localSheetId="7">[24]Graf14_Graf15!#REF!</definedName>
    <definedName name="NCZD" localSheetId="6">[24]Graf14_Graf15!#REF!</definedName>
    <definedName name="NCZD">[24]Graf14_Graf15!#REF!</definedName>
    <definedName name="NCZD_2" localSheetId="17">[24]Graf14_Graf15!#REF!</definedName>
    <definedName name="NCZD_2" localSheetId="22">[24]Graf14_Graf15!#REF!</definedName>
    <definedName name="NCZD_2" localSheetId="26">[24]Graf14_Graf15!#REF!</definedName>
    <definedName name="NCZD_2">[24]Graf14_Graf15!#REF!</definedName>
    <definedName name="NEER">[18]REER!$AY$144:$AY$206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17">#REF!</definedName>
    <definedName name="NGDPA" localSheetId="22">#REF!</definedName>
    <definedName name="NGDPA" localSheetId="26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3" hidden="1">{"Riqfin97",#N/A,FALSE,"Tran";"Riqfinpro",#N/A,FALSE,"Tran"}</definedName>
    <definedName name="nn" localSheetId="9" hidden="1">{"Riqfin97",#N/A,FALSE,"Tran";"Riqfinpro",#N/A,FALSE,"Tran"}</definedName>
    <definedName name="nn" localSheetId="17" hidden="1">{"Riqfin97",#N/A,FALSE,"Tran";"Riqfinpro",#N/A,FALSE,"Tran"}</definedName>
    <definedName name="nn" localSheetId="26" hidden="1">{"Riqfin97",#N/A,FALSE,"Tran";"Riqfinpro",#N/A,FALSE,"Tran"}</definedName>
    <definedName name="nn" localSheetId="35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1" hidden="1">{"Riqfin97",#N/A,FALSE,"Tran";"Riqfinpro",#N/A,FALSE,"Tran"}</definedName>
    <definedName name="nn" localSheetId="6" hidden="1">{"Riqfin97",#N/A,FALSE,"Tran";"Riqfinpro",#N/A,FALSE,"Tran"}</definedName>
    <definedName name="nn" localSheetId="39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n" localSheetId="3" hidden="1">{"Tab1",#N/A,FALSE,"P";"Tab2",#N/A,FALSE,"P"}</definedName>
    <definedName name="nnn" localSheetId="9" hidden="1">{"Tab1",#N/A,FALSE,"P";"Tab2",#N/A,FALSE,"P"}</definedName>
    <definedName name="nnn" localSheetId="17" hidden="1">{"Tab1",#N/A,FALSE,"P";"Tab2",#N/A,FALSE,"P"}</definedName>
    <definedName name="nnn" localSheetId="26" hidden="1">{"Tab1",#N/A,FALSE,"P";"Tab2",#N/A,FALSE,"P"}</definedName>
    <definedName name="nnn" localSheetId="35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1" hidden="1">{"Tab1",#N/A,FALSE,"P";"Tab2",#N/A,FALSE,"P"}</definedName>
    <definedName name="nnn" localSheetId="6" hidden="1">{"Tab1",#N/A,FALSE,"P";"Tab2",#N/A,FALSE,"P"}</definedName>
    <definedName name="nnn" localSheetId="39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OMINAL" localSheetId="17">#REF!</definedName>
    <definedName name="NOMINAL" localSheetId="22">#REF!</definedName>
    <definedName name="NOMINAL" localSheetId="26">#REF!</definedName>
    <definedName name="NOMINAL">#REF!</definedName>
    <definedName name="NPee_2" localSheetId="17">[24]Graf14_Graf15!#REF!</definedName>
    <definedName name="NPee_2" localSheetId="22">[24]Graf14_Graf15!#REF!</definedName>
    <definedName name="NPee_2" localSheetId="26">[24]Graf14_Graf15!#REF!</definedName>
    <definedName name="NPee_2">[24]Graf14_Graf15!#REF!</definedName>
    <definedName name="NPer_2" localSheetId="22">[24]Graf14_Graf15!#REF!</definedName>
    <definedName name="NPer_2" localSheetId="26">[24]Graf14_Graf15!#REF!</definedName>
    <definedName name="NPer_2">[24]Graf14_Graf15!#REF!</definedName>
    <definedName name="NTDD_RG">[19]!NTDD_RG</definedName>
    <definedName name="NX">#N/A</definedName>
    <definedName name="NX_R">#N/A</definedName>
    <definedName name="NXG_RG">#N/A</definedName>
    <definedName name="_xlnm.Print_Area">#N/A</definedName>
    <definedName name="Odh" localSheetId="17">#REF!</definedName>
    <definedName name="Odh" localSheetId="22">#REF!</definedName>
    <definedName name="Odh" localSheetId="26">#REF!</definedName>
    <definedName name="Odh">#REF!</definedName>
    <definedName name="oliu" localSheetId="3" hidden="1">{"WEO",#N/A,FALSE,"T"}</definedName>
    <definedName name="oliu" localSheetId="9" hidden="1">{"WEO",#N/A,FALSE,"T"}</definedName>
    <definedName name="oliu" localSheetId="17" hidden="1">{"WEO",#N/A,FALSE,"T"}</definedName>
    <definedName name="oliu" localSheetId="26" hidden="1">{"WEO",#N/A,FALSE,"T"}</definedName>
    <definedName name="oliu" localSheetId="35" hidden="1">{"WEO",#N/A,FALSE,"T"}</definedName>
    <definedName name="oliu" localSheetId="5" hidden="1">{"WEO",#N/A,FALSE,"T"}</definedName>
    <definedName name="oliu" localSheetId="7" hidden="1">{"WEO",#N/A,FALSE,"T"}</definedName>
    <definedName name="oliu" localSheetId="6" hidden="1">{"WEO",#N/A,FALSE,"T"}</definedName>
    <definedName name="oliu" hidden="1">{"WEO",#N/A,FALSE,"T"}</definedName>
    <definedName name="oo" localSheetId="3" hidden="1">{"Riqfin97",#N/A,FALSE,"Tran";"Riqfinpro",#N/A,FALSE,"Tran"}</definedName>
    <definedName name="oo" localSheetId="9" hidden="1">{"Riqfin97",#N/A,FALSE,"Tran";"Riqfinpro",#N/A,FALSE,"Tran"}</definedName>
    <definedName name="oo" localSheetId="17" hidden="1">{"Riqfin97",#N/A,FALSE,"Tran";"Riqfinpro",#N/A,FALSE,"Tran"}</definedName>
    <definedName name="oo" localSheetId="26" hidden="1">{"Riqfin97",#N/A,FALSE,"Tran";"Riqfinpro",#N/A,FALSE,"Tran"}</definedName>
    <definedName name="oo" localSheetId="35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1" hidden="1">{"Riqfin97",#N/A,FALSE,"Tran";"Riqfinpro",#N/A,FALSE,"Tran"}</definedName>
    <definedName name="oo" localSheetId="6" hidden="1">{"Riqfin97",#N/A,FALSE,"Tran";"Riqfinpro",#N/A,FALSE,"Tran"}</definedName>
    <definedName name="oo" localSheetId="39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3" hidden="1">{"Tab1",#N/A,FALSE,"P";"Tab2",#N/A,FALSE,"P"}</definedName>
    <definedName name="ooo" localSheetId="9" hidden="1">{"Tab1",#N/A,FALSE,"P";"Tab2",#N/A,FALSE,"P"}</definedName>
    <definedName name="ooo" localSheetId="17" hidden="1">{"Tab1",#N/A,FALSE,"P";"Tab2",#N/A,FALSE,"P"}</definedName>
    <definedName name="ooo" localSheetId="26" hidden="1">{"Tab1",#N/A,FALSE,"P";"Tab2",#N/A,FALSE,"P"}</definedName>
    <definedName name="ooo" localSheetId="35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1" hidden="1">{"Tab1",#N/A,FALSE,"P";"Tab2",#N/A,FALSE,"P"}</definedName>
    <definedName name="ooo" localSheetId="6" hidden="1">{"Tab1",#N/A,FALSE,"P";"Tab2",#N/A,FALSE,"P"}</definedName>
    <definedName name="ooo" localSheetId="39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S2015_new" localSheetId="12">#REF!</definedName>
    <definedName name="OS2015_new" localSheetId="17">#REF!</definedName>
    <definedName name="OS2015_new" localSheetId="22">#REF!</definedName>
    <definedName name="OS2015_new">#REF!</definedName>
    <definedName name="other" localSheetId="17">#REF!</definedName>
    <definedName name="other" localSheetId="22">#REF!</definedName>
    <definedName name="other" localSheetId="26">#REF!</definedName>
    <definedName name="other">#REF!</definedName>
    <definedName name="Otras_Residuales" localSheetId="17">#REF!</definedName>
    <definedName name="Otras_Residuales" localSheetId="22">#REF!</definedName>
    <definedName name="Otras_Residuales" localSheetId="26">#REF!</definedName>
    <definedName name="Otras_Residuales">#REF!</definedName>
    <definedName name="out">[50]output!$A$3:$P$128</definedName>
    <definedName name="OUTB">[25]B!$D$6:$H$6</definedName>
    <definedName name="outc">[25]C!$C$6:$D$6</definedName>
    <definedName name="output" localSheetId="17">#REF!</definedName>
    <definedName name="output" localSheetId="22">#REF!</definedName>
    <definedName name="output" localSheetId="26">#REF!</definedName>
    <definedName name="output">#REF!</definedName>
    <definedName name="output_projections">[51]projections!$A$3:$R$108</definedName>
    <definedName name="output1">[21]output!$A$1:$J$122</definedName>
    <definedName name="p" localSheetId="3" hidden="1">{"Riqfin97",#N/A,FALSE,"Tran";"Riqfinpro",#N/A,FALSE,"Tran"}</definedName>
    <definedName name="p" localSheetId="9" hidden="1">{"Riqfin97",#N/A,FALSE,"Tran";"Riqfinpro",#N/A,FALSE,"Tran"}</definedName>
    <definedName name="p" localSheetId="17" hidden="1">{"Riqfin97",#N/A,FALSE,"Tran";"Riqfinpro",#N/A,FALSE,"Tran"}</definedName>
    <definedName name="p" localSheetId="26" hidden="1">{"Riqfin97",#N/A,FALSE,"Tran";"Riqfinpro",#N/A,FALSE,"Tran"}</definedName>
    <definedName name="p" localSheetId="35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1" hidden="1">{"Riqfin97",#N/A,FALSE,"Tran";"Riqfinpro",#N/A,FALSE,"Tran"}</definedName>
    <definedName name="p" localSheetId="6" hidden="1">{"Riqfin97",#N/A,FALSE,"Tran";"Riqfinpro",#N/A,FALSE,"Tran"}</definedName>
    <definedName name="p" localSheetId="39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ge_4" localSheetId="17">#REF!</definedName>
    <definedName name="Page_4" localSheetId="22">#REF!</definedName>
    <definedName name="Page_4" localSheetId="26">#REF!</definedName>
    <definedName name="Page_4">#REF!</definedName>
    <definedName name="page2" localSheetId="17">#REF!</definedName>
    <definedName name="page2" localSheetId="22">#REF!</definedName>
    <definedName name="page2" localSheetId="26">#REF!</definedName>
    <definedName name="page2">#REF!</definedName>
    <definedName name="pata" localSheetId="3" hidden="1">{"Tab1",#N/A,FALSE,"P";"Tab2",#N/A,FALSE,"P"}</definedName>
    <definedName name="pata" localSheetId="9" hidden="1">{"Tab1",#N/A,FALSE,"P";"Tab2",#N/A,FALSE,"P"}</definedName>
    <definedName name="pata" localSheetId="17" hidden="1">{"Tab1",#N/A,FALSE,"P";"Tab2",#N/A,FALSE,"P"}</definedName>
    <definedName name="pata" localSheetId="26" hidden="1">{"Tab1",#N/A,FALSE,"P";"Tab2",#N/A,FALSE,"P"}</definedName>
    <definedName name="pata" localSheetId="35" hidden="1">{"Tab1",#N/A,FALSE,"P";"Tab2",#N/A,FALSE,"P"}</definedName>
    <definedName name="pata" localSheetId="5" hidden="1">{"Tab1",#N/A,FALSE,"P";"Tab2",#N/A,FALSE,"P"}</definedName>
    <definedName name="pata" localSheetId="7" hidden="1">{"Tab1",#N/A,FALSE,"P";"Tab2",#N/A,FALSE,"P"}</definedName>
    <definedName name="pata" localSheetId="1" hidden="1">{"Tab1",#N/A,FALSE,"P";"Tab2",#N/A,FALSE,"P"}</definedName>
    <definedName name="pata" localSheetId="6" hidden="1">{"Tab1",#N/A,FALSE,"P";"Tab2",#N/A,FALSE,"P"}</definedName>
    <definedName name="pata" localSheetId="39" hidden="1">{"Tab1",#N/A,FALSE,"P";"Tab2",#N/A,FALSE,"P"}</definedName>
    <definedName name="pata" localSheetId="15" hidden="1">{"Tab1",#N/A,FALSE,"P";"Tab2",#N/A,FALSE,"P"}</definedName>
    <definedName name="pata" hidden="1">{"Tab1",#N/A,FALSE,"P";"Tab2",#N/A,FALSE,"P"}</definedName>
    <definedName name="PCPIG">#N/A</definedName>
    <definedName name="Petroecuador" localSheetId="17">#REF!</definedName>
    <definedName name="Petroecuador" localSheetId="22">#REF!</definedName>
    <definedName name="Petroecuador" localSheetId="26">#REF!</definedName>
    <definedName name="Petroecuador">#REF!</definedName>
    <definedName name="pchar00memu.m" localSheetId="12">[29]monthly!#REF!</definedName>
    <definedName name="pchar00memu.m" localSheetId="17">[29]monthly!#REF!</definedName>
    <definedName name="pchar00memu.m" localSheetId="22">[29]monthly!#REF!</definedName>
    <definedName name="pchar00memu.m">[29]monthly!#REF!</definedName>
    <definedName name="podatki" localSheetId="17">#REF!</definedName>
    <definedName name="podatki" localSheetId="22">#REF!</definedName>
    <definedName name="podatki" localSheetId="26">#REF!</definedName>
    <definedName name="podatki">#REF!</definedName>
    <definedName name="Ports" localSheetId="17">#REF!</definedName>
    <definedName name="Ports" localSheetId="22">#REF!</definedName>
    <definedName name="Ports" localSheetId="26">#REF!</definedName>
    <definedName name="Ports">#REF!</definedName>
    <definedName name="pp" localSheetId="3" hidden="1">{"Riqfin97",#N/A,FALSE,"Tran";"Riqfinpro",#N/A,FALSE,"Tran"}</definedName>
    <definedName name="pp" localSheetId="9" hidden="1">{"Riqfin97",#N/A,FALSE,"Tran";"Riqfinpro",#N/A,FALSE,"Tran"}</definedName>
    <definedName name="pp" localSheetId="17" hidden="1">{"Riqfin97",#N/A,FALSE,"Tran";"Riqfinpro",#N/A,FALSE,"Tran"}</definedName>
    <definedName name="pp" localSheetId="26" hidden="1">{"Riqfin97",#N/A,FALSE,"Tran";"Riqfinpro",#N/A,FALSE,"Tran"}</definedName>
    <definedName name="pp" localSheetId="35" hidden="1">{"Riqfin97",#N/A,FALSE,"Tran";"Riqfinpro",#N/A,FALSE,"Tran"}</definedName>
    <definedName name="pp" localSheetId="5" hidden="1">{"Riqfin97",#N/A,FALSE,"Tran";"Riqfinpro",#N/A,FALSE,"Tran"}</definedName>
    <definedName name="pp" localSheetId="7" hidden="1">{"Riqfin97",#N/A,FALSE,"Tran";"Riqfinpro",#N/A,FALSE,"Tran"}</definedName>
    <definedName name="pp" localSheetId="1" hidden="1">{"Riqfin97",#N/A,FALSE,"Tran";"Riqfinpro",#N/A,FALSE,"Tran"}</definedName>
    <definedName name="pp" localSheetId="6" hidden="1">{"Riqfin97",#N/A,FALSE,"Tran";"Riqfinpro",#N/A,FALSE,"Tran"}</definedName>
    <definedName name="pp" localSheetId="39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3" hidden="1">{"Riqfin97",#N/A,FALSE,"Tran";"Riqfinpro",#N/A,FALSE,"Tran"}</definedName>
    <definedName name="ppp" localSheetId="9" hidden="1">{"Riqfin97",#N/A,FALSE,"Tran";"Riqfinpro",#N/A,FALSE,"Tran"}</definedName>
    <definedName name="ppp" localSheetId="17" hidden="1">{"Riqfin97",#N/A,FALSE,"Tran";"Riqfinpro",#N/A,FALSE,"Tran"}</definedName>
    <definedName name="ppp" localSheetId="26" hidden="1">{"Riqfin97",#N/A,FALSE,"Tran";"Riqfinpro",#N/A,FALSE,"Tran"}</definedName>
    <definedName name="ppp" localSheetId="35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1" hidden="1">{"Riqfin97",#N/A,FALSE,"Tran";"Riqfinpro",#N/A,FALSE,"Tran"}</definedName>
    <definedName name="ppp" localSheetId="6" hidden="1">{"Riqfin97",#N/A,FALSE,"Tran";"Riqfinpro",#N/A,FALSE,"Tran"}</definedName>
    <definedName name="ppp" localSheetId="39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17">#REF!</definedName>
    <definedName name="pri" localSheetId="22">#REF!</definedName>
    <definedName name="pri" localSheetId="26">#REF!</definedName>
    <definedName name="pri">#REF!</definedName>
    <definedName name="Print" localSheetId="17">#REF!</definedName>
    <definedName name="Print" localSheetId="22">#REF!</definedName>
    <definedName name="Print" localSheetId="26">#REF!</definedName>
    <definedName name="Print">#REF!</definedName>
    <definedName name="PRINT1" localSheetId="17">[52]Index!#REF!</definedName>
    <definedName name="PRINT1" localSheetId="22">[52]Index!#REF!</definedName>
    <definedName name="PRINT1" localSheetId="26">[52]Index!#REF!</definedName>
    <definedName name="PRINT1">[52]Index!#REF!</definedName>
    <definedName name="PRINT2" localSheetId="22">[52]Index!#REF!</definedName>
    <definedName name="PRINT2" localSheetId="26">[52]Index!#REF!</definedName>
    <definedName name="PRINT2">[52]Index!#REF!</definedName>
    <definedName name="PRINT3" localSheetId="22">[52]Index!#REF!</definedName>
    <definedName name="PRINT3" localSheetId="26">[52]Index!#REF!</definedName>
    <definedName name="PRINT3">[52]Index!#REF!</definedName>
    <definedName name="PrintThis_Links">[39]Links!$A$1:$F$33</definedName>
    <definedName name="profit">[18]C!$O$1:$T$1</definedName>
    <definedName name="prorač">[53]Prorač!$A:$IV</definedName>
    <definedName name="PvNee_2" localSheetId="12">[24]Graf14_Graf15!#REF!</definedName>
    <definedName name="PvNee_2" localSheetId="22">[24]Graf14_Graf15!#REF!</definedName>
    <definedName name="PvNee_2">[24]Graf14_Graf15!#REF!</definedName>
    <definedName name="PvNer_2" localSheetId="12">[24]Graf14_Graf15!#REF!</definedName>
    <definedName name="PvNer_2" localSheetId="22">[24]Graf14_Graf15!#REF!</definedName>
    <definedName name="PvNer_2">[24]Graf14_Graf15!#REF!</definedName>
    <definedName name="Q6_" localSheetId="17">#REF!</definedName>
    <definedName name="Q6_" localSheetId="22">#REF!</definedName>
    <definedName name="Q6_" localSheetId="26">#REF!</definedName>
    <definedName name="Q6_">#REF!</definedName>
    <definedName name="QFISCAL" localSheetId="3">'[3]Quarterly Raw Data'!#REF!</definedName>
    <definedName name="QFISCAL" localSheetId="9">'[3]Quarterly Raw Data'!#REF!</definedName>
    <definedName name="QFISCAL" localSheetId="17">'[3]Quarterly Raw Data'!#REF!</definedName>
    <definedName name="QFISCAL" localSheetId="22">'[3]Quarterly Raw Data'!#REF!</definedName>
    <definedName name="QFISCAL" localSheetId="26">'[3]Quarterly Raw Data'!#REF!</definedName>
    <definedName name="QFISCAL" localSheetId="35">'[3]Quarterly Raw Data'!#REF!</definedName>
    <definedName name="QFISCAL" localSheetId="5">'[3]Quarterly Raw Data'!#REF!</definedName>
    <definedName name="QFISCAL" localSheetId="7">'[3]Quarterly Raw Data'!#REF!</definedName>
    <definedName name="QFISCAL" localSheetId="6">'[3]Quarterly Raw Data'!#REF!</definedName>
    <definedName name="QFISCAL">'[3]Quarterly Raw Data'!#REF!</definedName>
    <definedName name="qq" localSheetId="22" hidden="1">'[47]J(Priv.Cap)'!#REF!</definedName>
    <definedName name="qq" localSheetId="1" hidden="1">'[47]J(Priv.Cap)'!#REF!</definedName>
    <definedName name="qq" localSheetId="39" hidden="1">'[47]J(Priv.Cap)'!#REF!</definedName>
    <definedName name="qq" localSheetId="15" hidden="1">'[47]J(Priv.Cap)'!#REF!</definedName>
    <definedName name="qq" hidden="1">'[47]J(Priv.Cap)'!#REF!</definedName>
    <definedName name="qtab_35" localSheetId="12">'[54]i1-CA'!#REF!</definedName>
    <definedName name="qtab_35" localSheetId="22">'[54]i1-CA'!#REF!</definedName>
    <definedName name="qtab_35">'[54]i1-CA'!#REF!</definedName>
    <definedName name="QTAB7" localSheetId="12">'[3]Quarterly MacroFlow'!#REF!</definedName>
    <definedName name="QTAB7" localSheetId="22">'[3]Quarterly MacroFlow'!#REF!</definedName>
    <definedName name="QTAB7">'[3]Quarterly MacroFlow'!#REF!</definedName>
    <definedName name="QTAB7A" localSheetId="12">'[3]Quarterly MacroFlow'!#REF!</definedName>
    <definedName name="QTAB7A" localSheetId="22">'[3]Quarterly MacroFlow'!#REF!</definedName>
    <definedName name="QTAB7A">'[3]Quarterly MacroFlow'!#REF!</definedName>
    <definedName name="quest1" localSheetId="17">#REF!</definedName>
    <definedName name="quest1" localSheetId="22">#REF!</definedName>
    <definedName name="quest1" localSheetId="26">#REF!</definedName>
    <definedName name="quest1">#REF!</definedName>
    <definedName name="quest2" localSheetId="17">#REF!</definedName>
    <definedName name="quest2" localSheetId="22">#REF!</definedName>
    <definedName name="quest2" localSheetId="26">#REF!</definedName>
    <definedName name="quest2">#REF!</definedName>
    <definedName name="quest3" localSheetId="17">#REF!</definedName>
    <definedName name="quest3" localSheetId="22">#REF!</definedName>
    <definedName name="quest3" localSheetId="26">#REF!</definedName>
    <definedName name="quest3">#REF!</definedName>
    <definedName name="quest4" localSheetId="17">#REF!</definedName>
    <definedName name="quest4" localSheetId="22">#REF!</definedName>
    <definedName name="quest4">#REF!</definedName>
    <definedName name="quest5" localSheetId="17">#REF!</definedName>
    <definedName name="quest5" localSheetId="22">#REF!</definedName>
    <definedName name="quest5">#REF!</definedName>
    <definedName name="quest6" localSheetId="17">#REF!</definedName>
    <definedName name="quest6" localSheetId="22">#REF!</definedName>
    <definedName name="quest6">#REF!</definedName>
    <definedName name="quest7" localSheetId="17">#REF!</definedName>
    <definedName name="quest7" localSheetId="22">#REF!</definedName>
    <definedName name="quest7">#REF!</definedName>
    <definedName name="QW" localSheetId="17">#REF!</definedName>
    <definedName name="QW" localSheetId="22">#REF!</definedName>
    <definedName name="QW">#REF!</definedName>
    <definedName name="REAL" localSheetId="17">#REF!</definedName>
    <definedName name="REAL" localSheetId="22">#REF!</definedName>
    <definedName name="REAL">#REF!</definedName>
    <definedName name="REALANNUAL" localSheetId="17">#REF!</definedName>
    <definedName name="REALANNUAL" localSheetId="22">#REF!</definedName>
    <definedName name="REALANNUAL">#REF!</definedName>
    <definedName name="realizacia">[55]Sheet1!$A$1:$I$406</definedName>
    <definedName name="realizacija">[55]Sheet1!$A$1:$I$406</definedName>
    <definedName name="REALNACT" localSheetId="17">#REF!</definedName>
    <definedName name="REALNACT" localSheetId="22">#REF!</definedName>
    <definedName name="REALNACT" localSheetId="26">#REF!</definedName>
    <definedName name="REALNACT">#REF!</definedName>
    <definedName name="red_26" localSheetId="17">#REF!</definedName>
    <definedName name="red_26" localSheetId="22">#REF!</definedName>
    <definedName name="red_26" localSheetId="26">#REF!</definedName>
    <definedName name="red_26">#REF!</definedName>
    <definedName name="red_33" localSheetId="17">#REF!</definedName>
    <definedName name="red_33" localSheetId="22">#REF!</definedName>
    <definedName name="red_33" localSheetId="26">#REF!</definedName>
    <definedName name="red_33">#REF!</definedName>
    <definedName name="red_34" localSheetId="17">#REF!</definedName>
    <definedName name="red_34" localSheetId="22">#REF!</definedName>
    <definedName name="red_34">#REF!</definedName>
    <definedName name="red_35" localSheetId="17">#REF!</definedName>
    <definedName name="red_35" localSheetId="22">#REF!</definedName>
    <definedName name="red_35">#REF!</definedName>
    <definedName name="REDTbl3" localSheetId="17">#REF!</definedName>
    <definedName name="REDTbl3" localSheetId="22">#REF!</definedName>
    <definedName name="REDTbl3">#REF!</definedName>
    <definedName name="REDTbl4" localSheetId="17">#REF!</definedName>
    <definedName name="REDTbl4" localSheetId="22">#REF!</definedName>
    <definedName name="REDTbl4">#REF!</definedName>
    <definedName name="REDTbl5" localSheetId="17">#REF!</definedName>
    <definedName name="REDTbl5" localSheetId="22">#REF!</definedName>
    <definedName name="REDTbl5">#REF!</definedName>
    <definedName name="REDTbl6" localSheetId="17">#REF!</definedName>
    <definedName name="REDTbl6" localSheetId="22">#REF!</definedName>
    <definedName name="REDTbl6">#REF!</definedName>
    <definedName name="REDTbl7" localSheetId="17">#REF!</definedName>
    <definedName name="REDTbl7" localSheetId="22">#REF!</definedName>
    <definedName name="REDTbl7">#REF!</definedName>
    <definedName name="REERCPI">[18]REER!$AZ$144:$AZ$206</definedName>
    <definedName name="REERPPI">[18]REER!$BB$144:$BB$206</definedName>
    <definedName name="RefVintage">[27]readme!$B$4</definedName>
    <definedName name="REGISTERALL" localSheetId="17">#REF!</definedName>
    <definedName name="REGISTERALL" localSheetId="22">#REF!</definedName>
    <definedName name="REGISTERALL" localSheetId="26">#REF!</definedName>
    <definedName name="REGISTERALL">#REF!</definedName>
    <definedName name="RFSee_2" localSheetId="17">[24]Graf14_Graf15!#REF!</definedName>
    <definedName name="RFSee_2" localSheetId="22">[24]Graf14_Graf15!#REF!</definedName>
    <definedName name="RFSee_2" localSheetId="26">[24]Graf14_Graf15!#REF!</definedName>
    <definedName name="RFSee_2">[24]Graf14_Graf15!#REF!</definedName>
    <definedName name="RFSer_2" localSheetId="22">[24]Graf14_Graf15!#REF!</definedName>
    <definedName name="RFSer_2" localSheetId="26">[24]Graf14_Graf15!#REF!</definedName>
    <definedName name="RFSer_2">[24]Graf14_Graf15!#REF!</definedName>
    <definedName name="RGDPA" localSheetId="17">#REF!</definedName>
    <definedName name="RGDPA" localSheetId="22">#REF!</definedName>
    <definedName name="RGDPA" localSheetId="26">#REF!</definedName>
    <definedName name="RGDPA">#REF!</definedName>
    <definedName name="RgFdPartCsource" localSheetId="17">#REF!</definedName>
    <definedName name="RgFdPartCsource" localSheetId="22">#REF!</definedName>
    <definedName name="RgFdPartCsource" localSheetId="26">#REF!</definedName>
    <definedName name="RgFdPartCsource">#REF!</definedName>
    <definedName name="RgFdPartEseries" localSheetId="17">#REF!</definedName>
    <definedName name="RgFdPartEseries" localSheetId="22">#REF!</definedName>
    <definedName name="RgFdPartEseries" localSheetId="26">#REF!</definedName>
    <definedName name="RgFdPartEseries">#REF!</definedName>
    <definedName name="RgFdPartEsource" localSheetId="17">#REF!</definedName>
    <definedName name="RgFdPartEsource" localSheetId="22">#REF!</definedName>
    <definedName name="RgFdPartEsource">#REF!</definedName>
    <definedName name="RgFdReptCSeries" localSheetId="17">#REF!</definedName>
    <definedName name="RgFdReptCSeries" localSheetId="22">#REF!</definedName>
    <definedName name="RgFdReptCSeries">#REF!</definedName>
    <definedName name="RgFdReptCsource" localSheetId="17">#REF!</definedName>
    <definedName name="RgFdReptCsource" localSheetId="22">#REF!</definedName>
    <definedName name="RgFdReptCsource">#REF!</definedName>
    <definedName name="RgFdReptEseries" localSheetId="17">#REF!</definedName>
    <definedName name="RgFdReptEseries" localSheetId="22">#REF!</definedName>
    <definedName name="RgFdReptEseries">#REF!</definedName>
    <definedName name="RgFdReptEsource" localSheetId="17">#REF!</definedName>
    <definedName name="RgFdReptEsource" localSheetId="22">#REF!</definedName>
    <definedName name="RgFdReptEsource">#REF!</definedName>
    <definedName name="RgFdSAMethod" localSheetId="17">#REF!</definedName>
    <definedName name="RgFdSAMethod" localSheetId="22">#REF!</definedName>
    <definedName name="RgFdSAMethod">#REF!</definedName>
    <definedName name="RgFdTbBper" localSheetId="17">#REF!</definedName>
    <definedName name="RgFdTbBper" localSheetId="22">#REF!</definedName>
    <definedName name="RgFdTbBper">#REF!</definedName>
    <definedName name="RgFdTbCreate" localSheetId="17">#REF!</definedName>
    <definedName name="RgFdTbCreate" localSheetId="22">#REF!</definedName>
    <definedName name="RgFdTbCreate">#REF!</definedName>
    <definedName name="RgFdTbEper" localSheetId="17">#REF!</definedName>
    <definedName name="RgFdTbEper" localSheetId="22">#REF!</definedName>
    <definedName name="RgFdTbEper">#REF!</definedName>
    <definedName name="RGFdTbFoot" localSheetId="17">#REF!</definedName>
    <definedName name="RGFdTbFoot" localSheetId="22">#REF!</definedName>
    <definedName name="RGFdTbFoot">#REF!</definedName>
    <definedName name="RgFdTbFreq" localSheetId="17">#REF!</definedName>
    <definedName name="RgFdTbFreq" localSheetId="22">#REF!</definedName>
    <definedName name="RgFdTbFreq">#REF!</definedName>
    <definedName name="RgFdTbFreqVal" localSheetId="17">#REF!</definedName>
    <definedName name="RgFdTbFreqVal" localSheetId="22">#REF!</definedName>
    <definedName name="RgFdTbFreqVal">#REF!</definedName>
    <definedName name="RgFdTbSendto" localSheetId="17">#REF!</definedName>
    <definedName name="RgFdTbSendto" localSheetId="22">#REF!</definedName>
    <definedName name="RgFdTbSendto">#REF!</definedName>
    <definedName name="RgFdWgtMethod" localSheetId="17">#REF!</definedName>
    <definedName name="RgFdWgtMethod" localSheetId="22">#REF!</definedName>
    <definedName name="RgFdWgtMethod">#REF!</definedName>
    <definedName name="RGSPA" localSheetId="17">#REF!</definedName>
    <definedName name="RGSPA" localSheetId="22">#REF!</definedName>
    <definedName name="RGSPA">#REF!</definedName>
    <definedName name="rngBefore">[39]Main!$AB$26</definedName>
    <definedName name="rngDepartmentDrive">[39]Main!$AB$23</definedName>
    <definedName name="rngEMailAddress">[39]Main!$AB$20</definedName>
    <definedName name="rngErrorSort">[39]ErrCheck!$A$4</definedName>
    <definedName name="rngLastSave">[39]Main!$G$19</definedName>
    <definedName name="rngLastSent">[39]Main!$G$18</definedName>
    <definedName name="rngLastUpdate">[39]Links!$D$2</definedName>
    <definedName name="rngNeedsUpdate">[39]Links!$E$2</definedName>
    <definedName name="rngNews">[39]Main!$AB$27</definedName>
    <definedName name="rngQuestChecked">[39]ErrCheck!$A$3</definedName>
    <definedName name="rounding" localSheetId="22">[24]Graf14_Graf15!#REF!</definedName>
    <definedName name="rounding">[24]Graf14_Graf15!#REF!</definedName>
    <definedName name="rr" localSheetId="3" hidden="1">{"Riqfin97",#N/A,FALSE,"Tran";"Riqfinpro",#N/A,FALSE,"Tran"}</definedName>
    <definedName name="rr" localSheetId="9" hidden="1">{"Riqfin97",#N/A,FALSE,"Tran";"Riqfinpro",#N/A,FALSE,"Tran"}</definedName>
    <definedName name="rr" localSheetId="17" hidden="1">{"Riqfin97",#N/A,FALSE,"Tran";"Riqfinpro",#N/A,FALSE,"Tran"}</definedName>
    <definedName name="rr" localSheetId="26" hidden="1">{"Riqfin97",#N/A,FALSE,"Tran";"Riqfinpro",#N/A,FALSE,"Tran"}</definedName>
    <definedName name="rr" localSheetId="35" hidden="1">{"Riqfin97",#N/A,FALSE,"Tran";"Riqfinpro",#N/A,FALSE,"Tran"}</definedName>
    <definedName name="rr" localSheetId="5" hidden="1">{"Riqfin97",#N/A,FALSE,"Tran";"Riqfinpro",#N/A,FALSE,"Tran"}</definedName>
    <definedName name="rr" localSheetId="7" hidden="1">{"Riqfin97",#N/A,FALSE,"Tran";"Riqfinpro",#N/A,FALSE,"Tran"}</definedName>
    <definedName name="rr" localSheetId="1" hidden="1">{"Riqfin97",#N/A,FALSE,"Tran";"Riqfinpro",#N/A,FALSE,"Tran"}</definedName>
    <definedName name="rr" localSheetId="6" hidden="1">{"Riqfin97",#N/A,FALSE,"Tran";"Riqfinpro",#N/A,FALSE,"Tran"}</definedName>
    <definedName name="rr" localSheetId="39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3" hidden="1">{"Riqfin97",#N/A,FALSE,"Tran";"Riqfinpro",#N/A,FALSE,"Tran"}</definedName>
    <definedName name="rrr" localSheetId="9" hidden="1">{"Riqfin97",#N/A,FALSE,"Tran";"Riqfinpro",#N/A,FALSE,"Tran"}</definedName>
    <definedName name="rrr" localSheetId="17" hidden="1">{"Riqfin97",#N/A,FALSE,"Tran";"Riqfinpro",#N/A,FALSE,"Tran"}</definedName>
    <definedName name="rrr" localSheetId="26" hidden="1">{"Riqfin97",#N/A,FALSE,"Tran";"Riqfinpro",#N/A,FALSE,"Tran"}</definedName>
    <definedName name="rrr" localSheetId="35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1" hidden="1">{"Riqfin97",#N/A,FALSE,"Tran";"Riqfinpro",#N/A,FALSE,"Tran"}</definedName>
    <definedName name="rrr" localSheetId="6" hidden="1">{"Riqfin97",#N/A,FALSE,"Tran";"Riqfinpro",#N/A,FALSE,"Tran"}</definedName>
    <definedName name="rrr" localSheetId="39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ULCPPI">[18]C!$O$9:$O$71</definedName>
    <definedName name="SAPBEXrevision" hidden="1">38</definedName>
    <definedName name="SAPBEXsysID" hidden="1">"BSP"</definedName>
    <definedName name="SAPBEXwbID" hidden="1">"4GPMQGOE6GBN721YXH4DRY8ES"</definedName>
    <definedName name="sdakjkjsad" localSheetId="17" hidden="1">'[5]Time series'!#REF!</definedName>
    <definedName name="sdakjkjsad" localSheetId="22" hidden="1">'[5]Time series'!#REF!</definedName>
    <definedName name="sdakjkjsad" hidden="1">'[5]Time series'!#REF!</definedName>
    <definedName name="SECTORS" localSheetId="17">#REF!</definedName>
    <definedName name="SECTORS" localSheetId="22">#REF!</definedName>
    <definedName name="SECTORS" localSheetId="26">#REF!</definedName>
    <definedName name="SECTORS">#REF!</definedName>
    <definedName name="seitable">'[56]Sel. Ind. Tbl'!$A$3:$G$75</definedName>
    <definedName name="sencount" hidden="1">2</definedName>
    <definedName name="SPee_2" localSheetId="3">[24]Graf14_Graf15!#REF!</definedName>
    <definedName name="SPee_2" localSheetId="9">[24]Graf14_Graf15!#REF!</definedName>
    <definedName name="SPee_2" localSheetId="22">[24]Graf14_Graf15!#REF!</definedName>
    <definedName name="SPee_2" localSheetId="26">[24]Graf14_Graf15!#REF!</definedName>
    <definedName name="SPee_2" localSheetId="35">[24]Graf14_Graf15!#REF!</definedName>
    <definedName name="SPee_2" localSheetId="5">[24]Graf14_Graf15!#REF!</definedName>
    <definedName name="SPee_2" localSheetId="7">[24]Graf14_Graf15!#REF!</definedName>
    <definedName name="SPee_2" localSheetId="6">[24]Graf14_Graf15!#REF!</definedName>
    <definedName name="SPee_2">[24]Graf14_Graf15!#REF!</definedName>
    <definedName name="SPer_2" localSheetId="22">[24]Graf14_Graf15!#REF!</definedName>
    <definedName name="SPer_2" localSheetId="26">[24]Graf14_Graf15!#REF!</definedName>
    <definedName name="SPer_2">[24]Graf14_Graf15!#REF!</definedName>
    <definedName name="SprejetiProracun" localSheetId="17">#REF!</definedName>
    <definedName name="SprejetiProracun" localSheetId="22">#REF!</definedName>
    <definedName name="SprejetiProracun" localSheetId="26">#REF!</definedName>
    <definedName name="SprejetiProracun">#REF!</definedName>
    <definedName name="SR_3" localSheetId="17">#REF!</definedName>
    <definedName name="SR_3" localSheetId="22">#REF!</definedName>
    <definedName name="SR_3" localSheetId="26">#REF!</definedName>
    <definedName name="SR_3">#REF!</definedName>
    <definedName name="SR_5" localSheetId="17">#REF!</definedName>
    <definedName name="SR_5" localSheetId="22">#REF!</definedName>
    <definedName name="SR_5" localSheetId="26">#REF!</definedName>
    <definedName name="SR_5">#REF!</definedName>
    <definedName name="SS">[57]IMATA!$B$45:$B$108</definedName>
    <definedName name="StatusTable">[27]readme!$A$12:$B$21</definedName>
    <definedName name="T1.13" localSheetId="17">#REF!</definedName>
    <definedName name="T1.13" localSheetId="22">#REF!</definedName>
    <definedName name="T1.13" localSheetId="26">#REF!</definedName>
    <definedName name="T1.13">#REF!</definedName>
    <definedName name="t2q" localSheetId="17">#REF!</definedName>
    <definedName name="t2q" localSheetId="22">#REF!</definedName>
    <definedName name="t2q" localSheetId="26">#REF!</definedName>
    <definedName name="t2q">#REF!</definedName>
    <definedName name="TAB1A" localSheetId="17">#REF!</definedName>
    <definedName name="TAB1A" localSheetId="22">#REF!</definedName>
    <definedName name="TAB1A" localSheetId="26">#REF!</definedName>
    <definedName name="TAB1A">#REF!</definedName>
    <definedName name="TAB1CK" localSheetId="17">#REF!</definedName>
    <definedName name="TAB1CK" localSheetId="22">#REF!</definedName>
    <definedName name="TAB1CK">#REF!</definedName>
    <definedName name="Tab25a" localSheetId="17">#REF!</definedName>
    <definedName name="Tab25a" localSheetId="22">#REF!</definedName>
    <definedName name="Tab25a">#REF!</definedName>
    <definedName name="Tab25b" localSheetId="17">#REF!</definedName>
    <definedName name="Tab25b" localSheetId="22">#REF!</definedName>
    <definedName name="Tab25b">#REF!</definedName>
    <definedName name="TAB2A" localSheetId="17">#REF!</definedName>
    <definedName name="TAB2A" localSheetId="22">#REF!</definedName>
    <definedName name="TAB2A">#REF!</definedName>
    <definedName name="TAB5A" localSheetId="17">#REF!</definedName>
    <definedName name="TAB5A" localSheetId="22">#REF!</definedName>
    <definedName name="TAB5A">#REF!</definedName>
    <definedName name="TAB6A" localSheetId="17">'[3]Annual Tables'!#REF!</definedName>
    <definedName name="TAB6A" localSheetId="22">'[3]Annual Tables'!#REF!</definedName>
    <definedName name="TAB6A">'[3]Annual Tables'!#REF!</definedName>
    <definedName name="TAB6B" localSheetId="17">'[3]Annual Tables'!#REF!</definedName>
    <definedName name="TAB6B" localSheetId="22">'[3]Annual Tables'!#REF!</definedName>
    <definedName name="TAB6B">'[3]Annual Tables'!#REF!</definedName>
    <definedName name="TAB6C" localSheetId="17">#REF!</definedName>
    <definedName name="TAB6C" localSheetId="22">#REF!</definedName>
    <definedName name="TAB6C" localSheetId="26">#REF!</definedName>
    <definedName name="TAB6C">#REF!</definedName>
    <definedName name="TAB7A" localSheetId="17">#REF!</definedName>
    <definedName name="TAB7A" localSheetId="22">#REF!</definedName>
    <definedName name="TAB7A" localSheetId="26">#REF!</definedName>
    <definedName name="TAB7A">#REF!</definedName>
    <definedName name="tabC1" localSheetId="17">#REF!</definedName>
    <definedName name="tabC1" localSheetId="22">#REF!</definedName>
    <definedName name="tabC1" localSheetId="26">#REF!</definedName>
    <definedName name="tabC1">#REF!</definedName>
    <definedName name="tabC2" localSheetId="17">#REF!</definedName>
    <definedName name="tabC2" localSheetId="22">#REF!</definedName>
    <definedName name="tabC2">#REF!</definedName>
    <definedName name="Tabela_6a" localSheetId="17">#REF!</definedName>
    <definedName name="Tabela_6a" localSheetId="22">#REF!</definedName>
    <definedName name="Tabela_6a">#REF!</definedName>
    <definedName name="tabela3a" localSheetId="17">'[58]Table 1'!#REF!</definedName>
    <definedName name="tabela3a" localSheetId="22">'[58]Table 1'!#REF!</definedName>
    <definedName name="tabela3a">'[58]Table 1'!#REF!</definedName>
    <definedName name="Tabelaxx" localSheetId="17">#REF!</definedName>
    <definedName name="Tabelaxx" localSheetId="22">#REF!</definedName>
    <definedName name="Tabelaxx" localSheetId="26">#REF!</definedName>
    <definedName name="Tabelaxx">#REF!</definedName>
    <definedName name="tabF" localSheetId="17">#REF!</definedName>
    <definedName name="tabF" localSheetId="22">#REF!</definedName>
    <definedName name="tabF" localSheetId="26">#REF!</definedName>
    <definedName name="tabF">#REF!</definedName>
    <definedName name="tabH" localSheetId="17">#REF!</definedName>
    <definedName name="tabH" localSheetId="22">#REF!</definedName>
    <definedName name="tabH" localSheetId="26">#REF!</definedName>
    <definedName name="tabH">#REF!</definedName>
    <definedName name="tabI" localSheetId="17">#REF!</definedName>
    <definedName name="tabI" localSheetId="22">#REF!</definedName>
    <definedName name="tabI">#REF!</definedName>
    <definedName name="Table__47">[59]RED47!$A$1:$I$53</definedName>
    <definedName name="Table_2._Country_X___Public_Sector_Financing_1" localSheetId="17">#REF!</definedName>
    <definedName name="Table_2._Country_X___Public_Sector_Financing_1" localSheetId="22">#REF!</definedName>
    <definedName name="Table_2._Country_X___Public_Sector_Financing_1" localSheetId="26">#REF!</definedName>
    <definedName name="Table_2._Country_X___Public_Sector_Financing_1">#REF!</definedName>
    <definedName name="Table_4SR" localSheetId="17">#REF!</definedName>
    <definedName name="Table_4SR" localSheetId="22">#REF!</definedName>
    <definedName name="Table_4SR" localSheetId="26">#REF!</definedName>
    <definedName name="Table_4SR">#REF!</definedName>
    <definedName name="Table_debt">[60]Table!$A$3:$AB$73</definedName>
    <definedName name="TABLE1" localSheetId="17">#REF!</definedName>
    <definedName name="TABLE1" localSheetId="22">#REF!</definedName>
    <definedName name="TABLE1" localSheetId="26">#REF!</definedName>
    <definedName name="TABLE1">#REF!</definedName>
    <definedName name="Table1printarea" localSheetId="17">#REF!</definedName>
    <definedName name="Table1printarea" localSheetId="22">#REF!</definedName>
    <definedName name="Table1printarea" localSheetId="26">#REF!</definedName>
    <definedName name="Table1printarea">#REF!</definedName>
    <definedName name="table30" localSheetId="17">#REF!</definedName>
    <definedName name="table30" localSheetId="22">#REF!</definedName>
    <definedName name="table30" localSheetId="26">#REF!</definedName>
    <definedName name="table30">#REF!</definedName>
    <definedName name="TABLE31" localSheetId="17">#REF!</definedName>
    <definedName name="TABLE31" localSheetId="22">#REF!</definedName>
    <definedName name="TABLE31">#REF!</definedName>
    <definedName name="TABLE32" localSheetId="17">#REF!</definedName>
    <definedName name="TABLE32" localSheetId="22">#REF!</definedName>
    <definedName name="TABLE32">#REF!</definedName>
    <definedName name="TABLE33" localSheetId="17">#REF!</definedName>
    <definedName name="TABLE33" localSheetId="22">#REF!</definedName>
    <definedName name="TABLE33">#REF!</definedName>
    <definedName name="TABLE4" localSheetId="17">#REF!</definedName>
    <definedName name="TABLE4" localSheetId="22">#REF!</definedName>
    <definedName name="TABLE4">#REF!</definedName>
    <definedName name="table6" localSheetId="17">#REF!</definedName>
    <definedName name="table6" localSheetId="22">#REF!</definedName>
    <definedName name="table6">#REF!</definedName>
    <definedName name="table9" localSheetId="17">#REF!</definedName>
    <definedName name="table9" localSheetId="22">#REF!</definedName>
    <definedName name="table9">#REF!</definedName>
    <definedName name="tabx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E" localSheetId="12">#REF!</definedName>
    <definedName name="TAME" localSheetId="17">#REF!</definedName>
    <definedName name="TAME" localSheetId="22">#REF!</definedName>
    <definedName name="TAME">#REF!</definedName>
    <definedName name="Tbl_GFN">[60]Table_GEF!$B$2:$T$53</definedName>
    <definedName name="tblChecks">[39]ErrCheck!$A$3:$E$5</definedName>
    <definedName name="tblLinks">[39]Links!$A$4:$F$33</definedName>
    <definedName name="TEMP" localSheetId="3">[61]Data!#REF!</definedName>
    <definedName name="TEMP" localSheetId="9">[61]Data!#REF!</definedName>
    <definedName name="TEMP" localSheetId="22">[61]Data!#REF!</definedName>
    <definedName name="TEMP" localSheetId="26">[61]Data!#REF!</definedName>
    <definedName name="TEMP" localSheetId="35">[61]Data!#REF!</definedName>
    <definedName name="TEMP" localSheetId="5">[61]Data!#REF!</definedName>
    <definedName name="TEMP" localSheetId="7">[61]Data!#REF!</definedName>
    <definedName name="TEMP" localSheetId="6">[61]Data!#REF!</definedName>
    <definedName name="TEMP">[61]Data!#REF!</definedName>
    <definedName name="tempo_kles" localSheetId="22">[24]Graf14_Graf15!#REF!</definedName>
    <definedName name="tempo_kles" localSheetId="26">[24]Graf14_Graf15!#REF!</definedName>
    <definedName name="tempo_kles">[24]Graf14_Graf15!#REF!</definedName>
    <definedName name="tempo_kles_2" localSheetId="22">[24]Graf14_Graf15!#REF!</definedName>
    <definedName name="tempo_kles_2" localSheetId="26">[24]Graf14_Graf15!#REF!</definedName>
    <definedName name="tempo_kles_2">[24]Graf14_Graf15!#REF!</definedName>
    <definedName name="text" localSheetId="3" hidden="1">{#N/A,#N/A,FALSE,"CB";#N/A,#N/A,FALSE,"CMB";#N/A,#N/A,FALSE,"BSYS";#N/A,#N/A,FALSE,"NBFI";#N/A,#N/A,FALSE,"FSYS"}</definedName>
    <definedName name="text" localSheetId="9" hidden="1">{#N/A,#N/A,FALSE,"CB";#N/A,#N/A,FALSE,"CMB";#N/A,#N/A,FALSE,"BSYS";#N/A,#N/A,FALSE,"NBFI";#N/A,#N/A,FALSE,"FSYS"}</definedName>
    <definedName name="text" localSheetId="17" hidden="1">{#N/A,#N/A,FALSE,"CB";#N/A,#N/A,FALSE,"CMB";#N/A,#N/A,FALSE,"BSYS";#N/A,#N/A,FALSE,"NBFI";#N/A,#N/A,FALSE,"FSYS"}</definedName>
    <definedName name="text" localSheetId="26" hidden="1">{#N/A,#N/A,FALSE,"CB";#N/A,#N/A,FALSE,"CMB";#N/A,#N/A,FALSE,"BSYS";#N/A,#N/A,FALSE,"NBFI";#N/A,#N/A,FALSE,"FSYS"}</definedName>
    <definedName name="text" localSheetId="35" hidden="1">{#N/A,#N/A,FALSE,"CB";#N/A,#N/A,FALSE,"CMB";#N/A,#N/A,FALSE,"BSYS";#N/A,#N/A,FALSE,"NBFI";#N/A,#N/A,FALSE,"FSYS"}</definedName>
    <definedName name="text" localSheetId="5" hidden="1">{#N/A,#N/A,FALSE,"CB";#N/A,#N/A,FALSE,"CMB";#N/A,#N/A,FALSE,"BSYS";#N/A,#N/A,FALSE,"NBFI";#N/A,#N/A,FALSE,"FSYS"}</definedName>
    <definedName name="text" localSheetId="7" hidden="1">{#N/A,#N/A,FALSE,"CB";#N/A,#N/A,FALSE,"CMB";#N/A,#N/A,FALSE,"BSYS";#N/A,#N/A,FALSE,"NBFI";#N/A,#N/A,FALSE,"FSYS"}</definedName>
    <definedName name="text" localSheetId="6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[23]Q5!$E$23:$AH$23</definedName>
    <definedName name="TMGO">#N/A</definedName>
    <definedName name="TOWEO" localSheetId="17">#REF!</definedName>
    <definedName name="TOWEO" localSheetId="22">#REF!</definedName>
    <definedName name="TOWEO" localSheetId="26">#REF!</definedName>
    <definedName name="TOWEO">#REF!</definedName>
    <definedName name="TRADE3" localSheetId="12">[1]Trade!#REF!</definedName>
    <definedName name="TRADE3" localSheetId="17">[1]Trade!#REF!</definedName>
    <definedName name="TRADE3" localSheetId="22">[1]Trade!#REF!</definedName>
    <definedName name="TRADE3">[1]Trade!#REF!</definedName>
    <definedName name="trans" localSheetId="17">#REF!</definedName>
    <definedName name="trans" localSheetId="22">#REF!</definedName>
    <definedName name="trans" localSheetId="26">#REF!</definedName>
    <definedName name="trans">#REF!</definedName>
    <definedName name="Transfer_check" localSheetId="17">#REF!</definedName>
    <definedName name="Transfer_check" localSheetId="22">#REF!</definedName>
    <definedName name="Transfer_check" localSheetId="26">#REF!</definedName>
    <definedName name="Transfer_check">#REF!</definedName>
    <definedName name="TRANSNAVE" localSheetId="17">#REF!</definedName>
    <definedName name="TRANSNAVE" localSheetId="22">#REF!</definedName>
    <definedName name="TRANSNAVE" localSheetId="26">#REF!</definedName>
    <definedName name="TRANSNAVE">#REF!</definedName>
    <definedName name="tt" localSheetId="3" hidden="1">{"Tab1",#N/A,FALSE,"P";"Tab2",#N/A,FALSE,"P"}</definedName>
    <definedName name="tt" localSheetId="9" hidden="1">{"Tab1",#N/A,FALSE,"P";"Tab2",#N/A,FALSE,"P"}</definedName>
    <definedName name="tt" localSheetId="17" hidden="1">{"Tab1",#N/A,FALSE,"P";"Tab2",#N/A,FALSE,"P"}</definedName>
    <definedName name="tt" localSheetId="26" hidden="1">{"Tab1",#N/A,FALSE,"P";"Tab2",#N/A,FALSE,"P"}</definedName>
    <definedName name="tt" localSheetId="35" hidden="1">{"Tab1",#N/A,FALSE,"P";"Tab2",#N/A,FALSE,"P"}</definedName>
    <definedName name="tt" localSheetId="5" hidden="1">{"Tab1",#N/A,FALSE,"P";"Tab2",#N/A,FALSE,"P"}</definedName>
    <definedName name="tt" localSheetId="7" hidden="1">{"Tab1",#N/A,FALSE,"P";"Tab2",#N/A,FALSE,"P"}</definedName>
    <definedName name="tt" localSheetId="1" hidden="1">{"Tab1",#N/A,FALSE,"P";"Tab2",#N/A,FALSE,"P"}</definedName>
    <definedName name="tt" localSheetId="6" hidden="1">{"Tab1",#N/A,FALSE,"P";"Tab2",#N/A,FALSE,"P"}</definedName>
    <definedName name="tt" localSheetId="39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3" hidden="1">{"Tab1",#N/A,FALSE,"P";"Tab2",#N/A,FALSE,"P"}</definedName>
    <definedName name="ttt" localSheetId="9" hidden="1">{"Tab1",#N/A,FALSE,"P";"Tab2",#N/A,FALSE,"P"}</definedName>
    <definedName name="ttt" localSheetId="17" hidden="1">{"Tab1",#N/A,FALSE,"P";"Tab2",#N/A,FALSE,"P"}</definedName>
    <definedName name="ttt" localSheetId="26" hidden="1">{"Tab1",#N/A,FALSE,"P";"Tab2",#N/A,FALSE,"P"}</definedName>
    <definedName name="ttt" localSheetId="35" hidden="1">{"Tab1",#N/A,FALSE,"P";"Tab2",#N/A,FALSE,"P"}</definedName>
    <definedName name="ttt" localSheetId="5" hidden="1">{"Tab1",#N/A,FALSE,"P";"Tab2",#N/A,FALSE,"P"}</definedName>
    <definedName name="ttt" localSheetId="7" hidden="1">{"Tab1",#N/A,FALSE,"P";"Tab2",#N/A,FALSE,"P"}</definedName>
    <definedName name="ttt" localSheetId="1" hidden="1">{"Tab1",#N/A,FALSE,"P";"Tab2",#N/A,FALSE,"P"}</definedName>
    <definedName name="ttt" localSheetId="6" hidden="1">{"Tab1",#N/A,FALSE,"P";"Tab2",#N/A,FALSE,"P"}</definedName>
    <definedName name="ttt" localSheetId="39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t" localSheetId="22" hidden="1">[49]M!#REF!</definedName>
    <definedName name="ttttt" hidden="1">[49]M!#REF!</definedName>
    <definedName name="TTTTTTTTTTTT">[19]!TTTTTTTTTTTT</definedName>
    <definedName name="TXG_D">#N/A</definedName>
    <definedName name="TXGO">#N/A</definedName>
    <definedName name="u163lnulcm_x_et.m" localSheetId="22">[29]monthly!#REF!</definedName>
    <definedName name="u163lnulcm_x_et.m" localSheetId="26">[29]monthly!#REF!</definedName>
    <definedName name="u163lnulcm_x_et.m">[29]monthly!#REF!</definedName>
    <definedName name="UB_2" localSheetId="17">[46]makro!$C$14</definedName>
    <definedName name="UB_2">[46]makro!$C$14</definedName>
    <definedName name="UB_2n" localSheetId="17">[46]makro!$C$36</definedName>
    <definedName name="UB_2n">[46]makro!$C$36</definedName>
    <definedName name="UB_3" localSheetId="17">[46]makro!$D$14</definedName>
    <definedName name="UB_3">[46]makro!$D$14</definedName>
    <definedName name="UB_3n" localSheetId="17">[46]makro!$D$36</definedName>
    <definedName name="UB_3n">[46]makro!$D$36</definedName>
    <definedName name="UB_4" localSheetId="17">[46]makro!$E$14</definedName>
    <definedName name="UB_4">[46]makro!$E$14</definedName>
    <definedName name="UB_4n" localSheetId="17">[46]makro!$E$36</definedName>
    <definedName name="UB_4n">[46]makro!$E$36</definedName>
    <definedName name="UB_5" localSheetId="17">[46]makro!$F$14</definedName>
    <definedName name="UB_5">[46]makro!$F$14</definedName>
    <definedName name="UB_5n" localSheetId="17">[46]makro!$F$36</definedName>
    <definedName name="UB_5n">[46]makro!$F$36</definedName>
    <definedName name="UB_6" localSheetId="17">[46]makro!$G$14</definedName>
    <definedName name="UB_6">[46]makro!$G$14</definedName>
    <definedName name="UB_6n" localSheetId="17">[46]makro!$G$36</definedName>
    <definedName name="UB_6n">[46]makro!$G$36</definedName>
    <definedName name="ULC_CZ">[18]REER!$BU$144:$BU$206</definedName>
    <definedName name="ULC_PART">[18]REER!$BR$144:$BR$206</definedName>
    <definedName name="Universities" localSheetId="17">#REF!</definedName>
    <definedName name="Universities" localSheetId="22">#REF!</definedName>
    <definedName name="Universities" localSheetId="26">#REF!</definedName>
    <definedName name="Universities">#REF!</definedName>
    <definedName name="UPee_2" localSheetId="17">[24]Graf14_Graf15!#REF!</definedName>
    <definedName name="UPee_2" localSheetId="22">[24]Graf14_Graf15!#REF!</definedName>
    <definedName name="UPee_2" localSheetId="26">[24]Graf14_Graf15!#REF!</definedName>
    <definedName name="UPee_2">[24]Graf14_Graf15!#REF!</definedName>
    <definedName name="UPer_2" localSheetId="22">[24]Graf14_Graf15!#REF!</definedName>
    <definedName name="UPer_2" localSheetId="26">[24]Graf14_Graf15!#REF!</definedName>
    <definedName name="UPer_2">[24]Graf14_Graf15!#REF!</definedName>
    <definedName name="Uruguay">'[62]PDR vulnerability table'!$A$3:$E$65</definedName>
    <definedName name="USERNAME" localSheetId="17">#REF!</definedName>
    <definedName name="USERNAME" localSheetId="22">#REF!</definedName>
    <definedName name="USERNAME" localSheetId="26">#REF!</definedName>
    <definedName name="USERNAME">#REF!</definedName>
    <definedName name="uu" localSheetId="3" hidden="1">{"Riqfin97",#N/A,FALSE,"Tran";"Riqfinpro",#N/A,FALSE,"Tran"}</definedName>
    <definedName name="uu" localSheetId="9" hidden="1">{"Riqfin97",#N/A,FALSE,"Tran";"Riqfinpro",#N/A,FALSE,"Tran"}</definedName>
    <definedName name="uu" localSheetId="17" hidden="1">{"Riqfin97",#N/A,FALSE,"Tran";"Riqfinpro",#N/A,FALSE,"Tran"}</definedName>
    <definedName name="uu" localSheetId="26" hidden="1">{"Riqfin97",#N/A,FALSE,"Tran";"Riqfinpro",#N/A,FALSE,"Tran"}</definedName>
    <definedName name="uu" localSheetId="35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1" hidden="1">{"Riqfin97",#N/A,FALSE,"Tran";"Riqfinpro",#N/A,FALSE,"Tran"}</definedName>
    <definedName name="uu" localSheetId="6" hidden="1">{"Riqfin97",#N/A,FALSE,"Tran";"Riqfinpro",#N/A,FALSE,"Tran"}</definedName>
    <definedName name="uu" localSheetId="39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3" hidden="1">{"Riqfin97",#N/A,FALSE,"Tran";"Riqfinpro",#N/A,FALSE,"Tran"}</definedName>
    <definedName name="uuu" localSheetId="9" hidden="1">{"Riqfin97",#N/A,FALSE,"Tran";"Riqfinpro",#N/A,FALSE,"Tran"}</definedName>
    <definedName name="uuu" localSheetId="17" hidden="1">{"Riqfin97",#N/A,FALSE,"Tran";"Riqfinpro",#N/A,FALSE,"Tran"}</definedName>
    <definedName name="uuu" localSheetId="26" hidden="1">{"Riqfin97",#N/A,FALSE,"Tran";"Riqfinpro",#N/A,FALSE,"Tran"}</definedName>
    <definedName name="uuu" localSheetId="35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1" hidden="1">{"Riqfin97",#N/A,FALSE,"Tran";"Riqfinpro",#N/A,FALSE,"Tran"}</definedName>
    <definedName name="uuu" localSheetId="6" hidden="1">{"Riqfin97",#N/A,FALSE,"Tran";"Riqfinpro",#N/A,FALSE,"Tran"}</definedName>
    <definedName name="uuu" localSheetId="39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UUUUU">[19]!UUUUUUUUUUU</definedName>
    <definedName name="ValidationList" localSheetId="17">#REF!</definedName>
    <definedName name="ValidationList" localSheetId="22">#REF!</definedName>
    <definedName name="ValidationList" localSheetId="26">#REF!</definedName>
    <definedName name="ValidationList">#REF!</definedName>
    <definedName name="VeljavniProracun" localSheetId="17">#REF!</definedName>
    <definedName name="VeljavniProracun" localSheetId="22">#REF!</definedName>
    <definedName name="VeljavniProracun" localSheetId="26">#REF!</definedName>
    <definedName name="VeljavniProracun">#REF!</definedName>
    <definedName name="Venezuela" localSheetId="17">#REF!</definedName>
    <definedName name="Venezuela" localSheetId="22">#REF!</definedName>
    <definedName name="Venezuela" localSheetId="26">#REF!</definedName>
    <definedName name="Venezuela">#REF!</definedName>
    <definedName name="vv" localSheetId="3" hidden="1">{"Tab1",#N/A,FALSE,"P";"Tab2",#N/A,FALSE,"P"}</definedName>
    <definedName name="vv" localSheetId="9" hidden="1">{"Tab1",#N/A,FALSE,"P";"Tab2",#N/A,FALSE,"P"}</definedName>
    <definedName name="vv" localSheetId="17" hidden="1">{"Tab1",#N/A,FALSE,"P";"Tab2",#N/A,FALSE,"P"}</definedName>
    <definedName name="vv" localSheetId="26" hidden="1">{"Tab1",#N/A,FALSE,"P";"Tab2",#N/A,FALSE,"P"}</definedName>
    <definedName name="vv" localSheetId="35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1" hidden="1">{"Tab1",#N/A,FALSE,"P";"Tab2",#N/A,FALSE,"P"}</definedName>
    <definedName name="vv" localSheetId="6" hidden="1">{"Tab1",#N/A,FALSE,"P";"Tab2",#N/A,FALSE,"P"}</definedName>
    <definedName name="vv" localSheetId="39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v" localSheetId="3" hidden="1">{"Tab1",#N/A,FALSE,"P";"Tab2",#N/A,FALSE,"P"}</definedName>
    <definedName name="vvv" localSheetId="9" hidden="1">{"Tab1",#N/A,FALSE,"P";"Tab2",#N/A,FALSE,"P"}</definedName>
    <definedName name="vvv" localSheetId="17" hidden="1">{"Tab1",#N/A,FALSE,"P";"Tab2",#N/A,FALSE,"P"}</definedName>
    <definedName name="vvv" localSheetId="26" hidden="1">{"Tab1",#N/A,FALSE,"P";"Tab2",#N/A,FALSE,"P"}</definedName>
    <definedName name="vvv" localSheetId="35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1" hidden="1">{"Tab1",#N/A,FALSE,"P";"Tab2",#N/A,FALSE,"P"}</definedName>
    <definedName name="vvv" localSheetId="6" hidden="1">{"Tab1",#N/A,FALSE,"P";"Tab2",#N/A,FALSE,"P"}</definedName>
    <definedName name="vvv" localSheetId="39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we11pcpi.m" localSheetId="22">[29]monthly!#REF!</definedName>
    <definedName name="we11pcpi.m">[29]monthly!#REF!</definedName>
    <definedName name="WMENU" localSheetId="17">#REF!</definedName>
    <definedName name="WMENU" localSheetId="22">#REF!</definedName>
    <definedName name="WMENU" localSheetId="26">#REF!</definedName>
    <definedName name="WMENU">#REF!</definedName>
    <definedName name="wrn.1993_2002." localSheetId="3" hidden="1">{"1993_2002",#N/A,FALSE,"UnderlyingData"}</definedName>
    <definedName name="wrn.1993_2002." localSheetId="9" hidden="1">{"1993_2002",#N/A,FALSE,"UnderlyingData"}</definedName>
    <definedName name="wrn.1993_2002." localSheetId="17" hidden="1">{"1993_2002",#N/A,FALSE,"UnderlyingData"}</definedName>
    <definedName name="wrn.1993_2002." localSheetId="26" hidden="1">{"1993_2002",#N/A,FALSE,"UnderlyingData"}</definedName>
    <definedName name="wrn.1993_2002." localSheetId="35" hidden="1">{"1993_2002",#N/A,FALSE,"UnderlyingData"}</definedName>
    <definedName name="wrn.1993_2002." localSheetId="5" hidden="1">{"1993_2002",#N/A,FALSE,"UnderlyingData"}</definedName>
    <definedName name="wrn.1993_2002." localSheetId="7" hidden="1">{"1993_2002",#N/A,FALSE,"UnderlyingData"}</definedName>
    <definedName name="wrn.1993_2002." localSheetId="6" hidden="1">{"1993_2002",#N/A,FALSE,"UnderlyingData"}</definedName>
    <definedName name="wrn.1993_2002." hidden="1">{"1993_2002",#N/A,FALSE,"UnderlyingData"}</definedName>
    <definedName name="wrn.a11._.general._.government." localSheetId="3" hidden="1">{"a11 general government",#N/A,FALSE,"RED Tables"}</definedName>
    <definedName name="wrn.a11._.general._.government." localSheetId="9" hidden="1">{"a11 general government",#N/A,FALSE,"RED Tables"}</definedName>
    <definedName name="wrn.a11._.general._.government." localSheetId="17" hidden="1">{"a11 general government",#N/A,FALSE,"RED Tables"}</definedName>
    <definedName name="wrn.a11._.general._.government." localSheetId="26" hidden="1">{"a11 general government",#N/A,FALSE,"RED Tables"}</definedName>
    <definedName name="wrn.a11._.general._.government." localSheetId="35" hidden="1">{"a11 general government",#N/A,FALSE,"RED Tables"}</definedName>
    <definedName name="wrn.a11._.general._.government." localSheetId="5" hidden="1">{"a11 general government",#N/A,FALSE,"RED Tables"}</definedName>
    <definedName name="wrn.a11._.general._.government." localSheetId="7" hidden="1">{"a11 general government",#N/A,FALSE,"RED Tables"}</definedName>
    <definedName name="wrn.a11._.general._.government." localSheetId="6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3" hidden="1">{"a12 Federal Government",#N/A,FALSE,"RED Tables"}</definedName>
    <definedName name="wrn.a12._.Federal._.Government." localSheetId="9" hidden="1">{"a12 Federal Government",#N/A,FALSE,"RED Tables"}</definedName>
    <definedName name="wrn.a12._.Federal._.Government." localSheetId="17" hidden="1">{"a12 Federal Government",#N/A,FALSE,"RED Tables"}</definedName>
    <definedName name="wrn.a12._.Federal._.Government." localSheetId="26" hidden="1">{"a12 Federal Government",#N/A,FALSE,"RED Tables"}</definedName>
    <definedName name="wrn.a12._.Federal._.Government." localSheetId="35" hidden="1">{"a12 Federal Government",#N/A,FALSE,"RED Tables"}</definedName>
    <definedName name="wrn.a12._.Federal._.Government." localSheetId="5" hidden="1">{"a12 Federal Government",#N/A,FALSE,"RED Tables"}</definedName>
    <definedName name="wrn.a12._.Federal._.Government." localSheetId="7" hidden="1">{"a12 Federal Government",#N/A,FALSE,"RED Tables"}</definedName>
    <definedName name="wrn.a12._.Federal._.Government." localSheetId="6" hidden="1">{"a12 Federal Government",#N/A,FALSE,"RED Tables"}</definedName>
    <definedName name="wrn.a12._.Federal._.Government." hidden="1">{"a12 Federal Government",#N/A,FALSE,"RED Tables"}</definedName>
    <definedName name="wrn.a13._.social._.security." localSheetId="3" hidden="1">{"a13 social security",#N/A,FALSE,"RED Tables"}</definedName>
    <definedName name="wrn.a13._.social._.security." localSheetId="9" hidden="1">{"a13 social security",#N/A,FALSE,"RED Tables"}</definedName>
    <definedName name="wrn.a13._.social._.security." localSheetId="17" hidden="1">{"a13 social security",#N/A,FALSE,"RED Tables"}</definedName>
    <definedName name="wrn.a13._.social._.security." localSheetId="26" hidden="1">{"a13 social security",#N/A,FALSE,"RED Tables"}</definedName>
    <definedName name="wrn.a13._.social._.security." localSheetId="35" hidden="1">{"a13 social security",#N/A,FALSE,"RED Tables"}</definedName>
    <definedName name="wrn.a13._.social._.security." localSheetId="5" hidden="1">{"a13 social security",#N/A,FALSE,"RED Tables"}</definedName>
    <definedName name="wrn.a13._.social._.security." localSheetId="7" hidden="1">{"a13 social security",#N/A,FALSE,"RED Tables"}</definedName>
    <definedName name="wrn.a13._.social._.security." localSheetId="6" hidden="1">{"a13 social security",#N/A,FALSE,"RED Tables"}</definedName>
    <definedName name="wrn.a13._.social._.security." hidden="1">{"a13 social security",#N/A,FALSE,"RED Tables"}</definedName>
    <definedName name="wrn.a14._.regions._.and._.communities." localSheetId="3" hidden="1">{"a14 regions and communities",#N/A,FALSE,"RED Tables"}</definedName>
    <definedName name="wrn.a14._.regions._.and._.communities." localSheetId="9" hidden="1">{"a14 regions and communities",#N/A,FALSE,"RED Tables"}</definedName>
    <definedName name="wrn.a14._.regions._.and._.communities." localSheetId="17" hidden="1">{"a14 regions and communities",#N/A,FALSE,"RED Tables"}</definedName>
    <definedName name="wrn.a14._.regions._.and._.communities." localSheetId="26" hidden="1">{"a14 regions and communities",#N/A,FALSE,"RED Tables"}</definedName>
    <definedName name="wrn.a14._.regions._.and._.communities." localSheetId="35" hidden="1">{"a14 regions and communities",#N/A,FALSE,"RED Tables"}</definedName>
    <definedName name="wrn.a14._.regions._.and._.communities." localSheetId="5" hidden="1">{"a14 regions and communities",#N/A,FALSE,"RED Tables"}</definedName>
    <definedName name="wrn.a14._.regions._.and._.communities." localSheetId="7" hidden="1">{"a14 regions and communities",#N/A,FALSE,"RED Tables"}</definedName>
    <definedName name="wrn.a14._.regions._.and._.communities." localSheetId="6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3" hidden="1">{"a15 local governments",#N/A,FALSE,"RED Tables"}</definedName>
    <definedName name="wrn.a15._.local._.governments." localSheetId="9" hidden="1">{"a15 local governments",#N/A,FALSE,"RED Tables"}</definedName>
    <definedName name="wrn.a15._.local._.governments." localSheetId="17" hidden="1">{"a15 local governments",#N/A,FALSE,"RED Tables"}</definedName>
    <definedName name="wrn.a15._.local._.governments." localSheetId="26" hidden="1">{"a15 local governments",#N/A,FALSE,"RED Tables"}</definedName>
    <definedName name="wrn.a15._.local._.governments." localSheetId="35" hidden="1">{"a15 local governments",#N/A,FALSE,"RED Tables"}</definedName>
    <definedName name="wrn.a15._.local._.governments." localSheetId="5" hidden="1">{"a15 local governments",#N/A,FALSE,"RED Tables"}</definedName>
    <definedName name="wrn.a15._.local._.governments." localSheetId="7" hidden="1">{"a15 local governments",#N/A,FALSE,"RED Tables"}</definedName>
    <definedName name="wrn.a15._.local._.governments." localSheetId="6" hidden="1">{"a15 local governments",#N/A,FALSE,"RED Tables"}</definedName>
    <definedName name="wrn.a15._.local._.governments." hidden="1">{"a15 local governments",#N/A,FALSE,"RED Tables"}</definedName>
    <definedName name="wrn.BOP_MIDTERM." localSheetId="3" hidden="1">{"BOP_TAB",#N/A,FALSE,"N";"MIDTERM_TAB",#N/A,FALSE,"O"}</definedName>
    <definedName name="wrn.BOP_MIDTERM." localSheetId="9" hidden="1">{"BOP_TAB",#N/A,FALSE,"N";"MIDTERM_TAB",#N/A,FALSE,"O"}</definedName>
    <definedName name="wrn.BOP_MIDTERM." localSheetId="17" hidden="1">{"BOP_TAB",#N/A,FALSE,"N";"MIDTERM_TAB",#N/A,FALSE,"O"}</definedName>
    <definedName name="wrn.BOP_MIDTERM." localSheetId="26" hidden="1">{"BOP_TAB",#N/A,FALSE,"N";"MIDTERM_TAB",#N/A,FALSE,"O"}</definedName>
    <definedName name="wrn.BOP_MIDTERM." localSheetId="35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Graf95_96.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3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26" hidden="1">{#N/A,#N/A,FALSE,"CB";#N/A,#N/A,FALSE,"CMB";#N/A,#N/A,FALSE,"BSYS";#N/A,#N/A,FALSE,"NBFI";#N/A,#N/A,FALSE,"FSYS"}</definedName>
    <definedName name="wrn.MAIN." localSheetId="35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3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26" hidden="1">{#N/A,#N/A,FALSE,"CB";#N/A,#N/A,FALSE,"CMB";#N/A,#N/A,FALSE,"NBFI"}</definedName>
    <definedName name="wrn.MIT." localSheetId="35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3" hidden="1">{"MONA",#N/A,FALSE,"S"}</definedName>
    <definedName name="wrn.MONA." localSheetId="9" hidden="1">{"MONA",#N/A,FALSE,"S"}</definedName>
    <definedName name="wrn.MONA." localSheetId="17" hidden="1">{"MONA",#N/A,FALSE,"S"}</definedName>
    <definedName name="wrn.MONA." localSheetId="26" hidden="1">{"MONA",#N/A,FALSE,"S"}</definedName>
    <definedName name="wrn.MONA." localSheetId="35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6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3" hidden="1">{"Tab1",#N/A,FALSE,"P";"Tab2",#N/A,FALSE,"P"}</definedName>
    <definedName name="wrn.Program." localSheetId="9" hidden="1">{"Tab1",#N/A,FALSE,"P";"Tab2",#N/A,FALSE,"P"}</definedName>
    <definedName name="wrn.Program." localSheetId="17" hidden="1">{"Tab1",#N/A,FALSE,"P";"Tab2",#N/A,FALSE,"P"}</definedName>
    <definedName name="wrn.Program." localSheetId="26" hidden="1">{"Tab1",#N/A,FALSE,"P";"Tab2",#N/A,FALSE,"P"}</definedName>
    <definedName name="wrn.Program." localSheetId="35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1" hidden="1">{"Tab1",#N/A,FALSE,"P";"Tab2",#N/A,FALSE,"P"}</definedName>
    <definedName name="wrn.Program." localSheetId="6" hidden="1">{"Tab1",#N/A,FALSE,"P";"Tab2",#N/A,FALSE,"P"}</definedName>
    <definedName name="wrn.Program." localSheetId="39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Ques._.1." localSheetId="3" hidden="1">{"Ques 1",#N/A,FALSE,"NWEO138"}</definedName>
    <definedName name="wrn.Ques._.1." localSheetId="9" hidden="1">{"Ques 1",#N/A,FALSE,"NWEO138"}</definedName>
    <definedName name="wrn.Ques._.1." localSheetId="17" hidden="1">{"Ques 1",#N/A,FALSE,"NWEO138"}</definedName>
    <definedName name="wrn.Ques._.1." localSheetId="26" hidden="1">{"Ques 1",#N/A,FALSE,"NWEO138"}</definedName>
    <definedName name="wrn.Ques._.1." localSheetId="35" hidden="1">{"Ques 1",#N/A,FALSE,"NWEO138"}</definedName>
    <definedName name="wrn.Ques._.1." localSheetId="5" hidden="1">{"Ques 1",#N/A,FALSE,"NWEO138"}</definedName>
    <definedName name="wrn.Ques._.1." localSheetId="7" hidden="1">{"Ques 1",#N/A,FALSE,"NWEO138"}</definedName>
    <definedName name="wrn.Ques._.1." localSheetId="6" hidden="1">{"Ques 1",#N/A,FALSE,"NWEO138"}</definedName>
    <definedName name="wrn.Ques._.1." hidden="1">{"Ques 1",#N/A,FALSE,"NWEO138"}</definedName>
    <definedName name="wrn.R22_Data_Collection1997." localSheetId="17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Riqfin." localSheetId="3" hidden="1">{"Riqfin97",#N/A,FALSE,"Tran";"Riqfinpro",#N/A,FALSE,"Tran"}</definedName>
    <definedName name="wrn.Riqfin." localSheetId="9" hidden="1">{"Riqfin97",#N/A,FALSE,"Tran";"Riqfinpro",#N/A,FALSE,"Tran"}</definedName>
    <definedName name="wrn.Riqfin." localSheetId="17" hidden="1">{"Riqfin97",#N/A,FALSE,"Tran";"Riqfinpro",#N/A,FALSE,"Tran"}</definedName>
    <definedName name="wrn.Riqfin." localSheetId="26" hidden="1">{"Riqfin97",#N/A,FALSE,"Tran";"Riqfinpro",#N/A,FALSE,"Tran"}</definedName>
    <definedName name="wrn.Riqfin." localSheetId="35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1" hidden="1">{"Riqfin97",#N/A,FALSE,"Tran";"Riqfinpro",#N/A,FALSE,"Tran"}</definedName>
    <definedName name="wrn.Riqfin." localSheetId="6" hidden="1">{"Riqfin97",#N/A,FALSE,"Tran";"Riqfinpro",#N/A,FALSE,"Tran"}</definedName>
    <definedName name="wrn.Riqfin." localSheetId="39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Staff._.Report._.Tables." localSheetId="3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26" hidden="1">{#N/A,#N/A,FALSE,"SRFSYS";#N/A,#N/A,FALSE,"SRBSYS"}</definedName>
    <definedName name="wrn.Staff._.Report._.Tables." localSheetId="35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TabARA." localSheetId="17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WEO." localSheetId="3" hidden="1">{"WEO",#N/A,FALSE,"T"}</definedName>
    <definedName name="wrn.WEO." localSheetId="9" hidden="1">{"WEO",#N/A,FALSE,"T"}</definedName>
    <definedName name="wrn.WEO." localSheetId="17" hidden="1">{"WEO",#N/A,FALSE,"T"}</definedName>
    <definedName name="wrn.WEO." localSheetId="26" hidden="1">{"WEO",#N/A,FALSE,"T"}</definedName>
    <definedName name="wrn.WEO." localSheetId="35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6" hidden="1">{"WEO",#N/A,FALSE,"T"}</definedName>
    <definedName name="wrn.WEO." hidden="1">{"WEO",#N/A,FALSE,"T"}</definedName>
    <definedName name="ww" localSheetId="22" hidden="1">[49]M!#REF!</definedName>
    <definedName name="ww" hidden="1">[49]M!#REF!</definedName>
    <definedName name="www" localSheetId="3" hidden="1">{"Riqfin97",#N/A,FALSE,"Tran";"Riqfinpro",#N/A,FALSE,"Tran"}</definedName>
    <definedName name="www" localSheetId="9" hidden="1">{"Riqfin97",#N/A,FALSE,"Tran";"Riqfinpro",#N/A,FALSE,"Tran"}</definedName>
    <definedName name="www" localSheetId="17" hidden="1">{"Riqfin97",#N/A,FALSE,"Tran";"Riqfinpro",#N/A,FALSE,"Tran"}</definedName>
    <definedName name="www" localSheetId="26" hidden="1">{"Riqfin97",#N/A,FALSE,"Tran";"Riqfinpro",#N/A,FALSE,"Tran"}</definedName>
    <definedName name="www" localSheetId="35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1" hidden="1">{"Riqfin97",#N/A,FALSE,"Tran";"Riqfinpro",#N/A,FALSE,"Tran"}</definedName>
    <definedName name="www" localSheetId="6" hidden="1">{"Riqfin97",#N/A,FALSE,"Tran";"Riqfinpro",#N/A,FALSE,"Tran"}</definedName>
    <definedName name="www" localSheetId="39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XR">[18]REER!$AT$140:$BA$199</definedName>
    <definedName name="xx" localSheetId="3" hidden="1">{"Riqfin97",#N/A,FALSE,"Tran";"Riqfinpro",#N/A,FALSE,"Tran"}</definedName>
    <definedName name="xx" localSheetId="9" hidden="1">{"Riqfin97",#N/A,FALSE,"Tran";"Riqfinpro",#N/A,FALSE,"Tran"}</definedName>
    <definedName name="xx" localSheetId="17" hidden="1">{"Riqfin97",#N/A,FALSE,"Tran";"Riqfinpro",#N/A,FALSE,"Tran"}</definedName>
    <definedName name="xx" localSheetId="26" hidden="1">{"Riqfin97",#N/A,FALSE,"Tran";"Riqfinpro",#N/A,FALSE,"Tran"}</definedName>
    <definedName name="xx" localSheetId="35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1" hidden="1">{"Riqfin97",#N/A,FALSE,"Tran";"Riqfinpro",#N/A,FALSE,"Tran"}</definedName>
    <definedName name="xx" localSheetId="6" hidden="1">{"Riqfin97",#N/A,FALSE,"Tran";"Riqfinpro",#N/A,FALSE,"Tran"}</definedName>
    <definedName name="xx" localSheetId="39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WRS_1" localSheetId="17">#REF!</definedName>
    <definedName name="xxWRS_1" localSheetId="22">#REF!</definedName>
    <definedName name="xxWRS_1" localSheetId="26">#REF!</definedName>
    <definedName name="xxWRS_1">#REF!</definedName>
    <definedName name="xxWRS_10" localSheetId="17">#REF!</definedName>
    <definedName name="xxWRS_10" localSheetId="22">#REF!</definedName>
    <definedName name="xxWRS_10" localSheetId="26">#REF!</definedName>
    <definedName name="xxWRS_10">#REF!</definedName>
    <definedName name="xxWRS_11" localSheetId="17">#REF!</definedName>
    <definedName name="xxWRS_11" localSheetId="22">#REF!</definedName>
    <definedName name="xxWRS_11" localSheetId="26">#REF!</definedName>
    <definedName name="xxWRS_11">#REF!</definedName>
    <definedName name="xxWRS_12" localSheetId="17">#REF!</definedName>
    <definedName name="xxWRS_12" localSheetId="22">#REF!</definedName>
    <definedName name="xxWRS_12">#REF!</definedName>
    <definedName name="xxWRS_2" localSheetId="17">#REF!</definedName>
    <definedName name="xxWRS_2" localSheetId="22">#REF!</definedName>
    <definedName name="xxWRS_2">#REF!</definedName>
    <definedName name="xxWRS_6" localSheetId="17">#REF!</definedName>
    <definedName name="xxWRS_6" localSheetId="22">#REF!</definedName>
    <definedName name="xxWRS_6">#REF!</definedName>
    <definedName name="xxWRS_7" localSheetId="17">#REF!</definedName>
    <definedName name="xxWRS_7" localSheetId="22">#REF!</definedName>
    <definedName name="xxWRS_7">#REF!</definedName>
    <definedName name="xxWRS_8" localSheetId="17">#REF!</definedName>
    <definedName name="xxWRS_8" localSheetId="22">#REF!</definedName>
    <definedName name="xxWRS_8">#REF!</definedName>
    <definedName name="xxWRS_9" localSheetId="17">#REF!</definedName>
    <definedName name="xxWRS_9" localSheetId="22">#REF!</definedName>
    <definedName name="xxWRS_9">#REF!</definedName>
    <definedName name="xxxx" localSheetId="3" hidden="1">{"Riqfin97",#N/A,FALSE,"Tran";"Riqfinpro",#N/A,FALSE,"Tran"}</definedName>
    <definedName name="xxxx" localSheetId="9" hidden="1">{"Riqfin97",#N/A,FALSE,"Tran";"Riqfinpro",#N/A,FALSE,"Tran"}</definedName>
    <definedName name="xxxx" localSheetId="17" hidden="1">{"Riqfin97",#N/A,FALSE,"Tran";"Riqfinpro",#N/A,FALSE,"Tran"}</definedName>
    <definedName name="xxxx" localSheetId="26" hidden="1">{"Riqfin97",#N/A,FALSE,"Tran";"Riqfinpro",#N/A,FALSE,"Tran"}</definedName>
    <definedName name="xxxx" localSheetId="35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1" hidden="1">{"Riqfin97",#N/A,FALSE,"Tran";"Riqfinpro",#N/A,FALSE,"Tran"}</definedName>
    <definedName name="xxxx" localSheetId="6" hidden="1">{"Riqfin97",#N/A,FALSE,"Tran";"Riqfinpro",#N/A,FALSE,"Tran"}</definedName>
    <definedName name="xxxx" localSheetId="39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year" localSheetId="22">[24]Graf14_Graf15!#REF!</definedName>
    <definedName name="year">[24]Graf14_Graf15!#REF!</definedName>
    <definedName name="yy" localSheetId="3" hidden="1">{"Tab1",#N/A,FALSE,"P";"Tab2",#N/A,FALSE,"P"}</definedName>
    <definedName name="yy" localSheetId="9" hidden="1">{"Tab1",#N/A,FALSE,"P";"Tab2",#N/A,FALSE,"P"}</definedName>
    <definedName name="yy" localSheetId="17" hidden="1">{"Tab1",#N/A,FALSE,"P";"Tab2",#N/A,FALSE,"P"}</definedName>
    <definedName name="yy" localSheetId="26" hidden="1">{"Tab1",#N/A,FALSE,"P";"Tab2",#N/A,FALSE,"P"}</definedName>
    <definedName name="yy" localSheetId="35" hidden="1">{"Tab1",#N/A,FALSE,"P";"Tab2",#N/A,FALSE,"P"}</definedName>
    <definedName name="yy" localSheetId="5" hidden="1">{"Tab1",#N/A,FALSE,"P";"Tab2",#N/A,FALSE,"P"}</definedName>
    <definedName name="yy" localSheetId="7" hidden="1">{"Tab1",#N/A,FALSE,"P";"Tab2",#N/A,FALSE,"P"}</definedName>
    <definedName name="yy" localSheetId="1" hidden="1">{"Tab1",#N/A,FALSE,"P";"Tab2",#N/A,FALSE,"P"}</definedName>
    <definedName name="yy" localSheetId="6" hidden="1">{"Tab1",#N/A,FALSE,"P";"Tab2",#N/A,FALSE,"P"}</definedName>
    <definedName name="yy" localSheetId="39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3" hidden="1">{"Tab1",#N/A,FALSE,"P";"Tab2",#N/A,FALSE,"P"}</definedName>
    <definedName name="yyy" localSheetId="9" hidden="1">{"Tab1",#N/A,FALSE,"P";"Tab2",#N/A,FALSE,"P"}</definedName>
    <definedName name="yyy" localSheetId="17" hidden="1">{"Tab1",#N/A,FALSE,"P";"Tab2",#N/A,FALSE,"P"}</definedName>
    <definedName name="yyy" localSheetId="26" hidden="1">{"Tab1",#N/A,FALSE,"P";"Tab2",#N/A,FALSE,"P"}</definedName>
    <definedName name="yyy" localSheetId="35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1" hidden="1">{"Tab1",#N/A,FALSE,"P";"Tab2",#N/A,FALSE,"P"}</definedName>
    <definedName name="yyy" localSheetId="6" hidden="1">{"Tab1",#N/A,FALSE,"P";"Tab2",#N/A,FALSE,"P"}</definedName>
    <definedName name="yyy" localSheetId="39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3" hidden="1">{"Riqfin97",#N/A,FALSE,"Tran";"Riqfinpro",#N/A,FALSE,"Tran"}</definedName>
    <definedName name="yyyy" localSheetId="9" hidden="1">{"Riqfin97",#N/A,FALSE,"Tran";"Riqfinpro",#N/A,FALSE,"Tran"}</definedName>
    <definedName name="yyyy" localSheetId="17" hidden="1">{"Riqfin97",#N/A,FALSE,"Tran";"Riqfinpro",#N/A,FALSE,"Tran"}</definedName>
    <definedName name="yyyy" localSheetId="26" hidden="1">{"Riqfin97",#N/A,FALSE,"Tran";"Riqfinpro",#N/A,FALSE,"Tran"}</definedName>
    <definedName name="yyyy" localSheetId="35" hidden="1">{"Riqfin97",#N/A,FALSE,"Tran";"Riqfinpro",#N/A,FALSE,"Tran"}</definedName>
    <definedName name="yyyy" localSheetId="5" hidden="1">{"Riqfin97",#N/A,FALSE,"Tran";"Riqfinpro",#N/A,FALSE,"Tran"}</definedName>
    <definedName name="yyyy" localSheetId="7" hidden="1">{"Riqfin97",#N/A,FALSE,"Tran";"Riqfinpro",#N/A,FALSE,"Tran"}</definedName>
    <definedName name="yyyy" localSheetId="1" hidden="1">{"Riqfin97",#N/A,FALSE,"Tran";"Riqfinpro",#N/A,FALSE,"Tran"}</definedName>
    <definedName name="yyyy" localSheetId="6" hidden="1">{"Riqfin97",#N/A,FALSE,"Tran";"Riqfinpro",#N/A,FALSE,"Tran"}</definedName>
    <definedName name="yyyy" localSheetId="39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" hidden="1">MMF_TABULKA!#REF!</definedName>
    <definedName name="Z_95224721_0485_11D4_BFD1_00508B5F4DA4_.wvu.Cols" localSheetId="17" hidden="1">#REF!</definedName>
    <definedName name="Z_95224721_0485_11D4_BFD1_00508B5F4DA4_.wvu.Cols" localSheetId="22" hidden="1">#REF!</definedName>
    <definedName name="Z_95224721_0485_11D4_BFD1_00508B5F4DA4_.wvu.Cols" hidden="1">#REF!</definedName>
    <definedName name="zac_kles" localSheetId="12">[24]Graf14_Graf15!#REF!</definedName>
    <definedName name="zac_kles" localSheetId="17">[24]Graf14_Graf15!#REF!</definedName>
    <definedName name="zac_kles" localSheetId="22">[24]Graf14_Graf15!#REF!</definedName>
    <definedName name="zac_kles">[24]Graf14_Graf15!#REF!</definedName>
    <definedName name="zac_kles_2" localSheetId="12">[24]Graf14_Graf15!#REF!</definedName>
    <definedName name="zac_kles_2" localSheetId="17">[24]Graf14_Graf15!#REF!</definedName>
    <definedName name="zac_kles_2" localSheetId="22">[24]Graf14_Graf15!#REF!</definedName>
    <definedName name="zac_kles_2">[24]Graf14_Graf15!#REF!</definedName>
    <definedName name="ZPee_2" localSheetId="17">[24]Graf14_Graf15!#REF!</definedName>
    <definedName name="ZPee_2" localSheetId="22">[24]Graf14_Graf15!#REF!</definedName>
    <definedName name="ZPee_2">[24]Graf14_Graf15!#REF!</definedName>
    <definedName name="ZPer_2" localSheetId="17">[24]Graf14_Graf15!#REF!</definedName>
    <definedName name="ZPer_2" localSheetId="22">[24]Graf14_Graf15!#REF!</definedName>
    <definedName name="ZPer_2">[24]Graf14_Graf15!#REF!</definedName>
    <definedName name="zpiz">[36]ZPIZ!$A$1:$F$65536</definedName>
    <definedName name="zz" localSheetId="3" hidden="1">{"Tab1",#N/A,FALSE,"P";"Tab2",#N/A,FALSE,"P"}</definedName>
    <definedName name="zz" localSheetId="9" hidden="1">{"Tab1",#N/A,FALSE,"P";"Tab2",#N/A,FALSE,"P"}</definedName>
    <definedName name="zz" localSheetId="17" hidden="1">{"Tab1",#N/A,FALSE,"P";"Tab2",#N/A,FALSE,"P"}</definedName>
    <definedName name="zz" localSheetId="26" hidden="1">{"Tab1",#N/A,FALSE,"P";"Tab2",#N/A,FALSE,"P"}</definedName>
    <definedName name="zz" localSheetId="35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1" hidden="1">{"Tab1",#N/A,FALSE,"P";"Tab2",#N/A,FALSE,"P"}</definedName>
    <definedName name="zz" localSheetId="6" hidden="1">{"Tab1",#N/A,FALSE,"P";"Tab2",#N/A,FALSE,"P"}</definedName>
    <definedName name="zz" localSheetId="39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s">[36]ZZZS!$A$1:$E$65536</definedName>
  </definedNames>
  <calcPr calcId="162913"/>
</workbook>
</file>

<file path=xl/calcChain.xml><?xml version="1.0" encoding="utf-8"?>
<calcChain xmlns="http://schemas.openxmlformats.org/spreadsheetml/2006/main">
  <c r="K10" i="265" l="1"/>
  <c r="K8" i="265"/>
  <c r="K10" i="264" l="1"/>
  <c r="K9" i="264"/>
  <c r="K8" i="264"/>
  <c r="D13" i="262" l="1"/>
  <c r="E13" i="262" s="1"/>
  <c r="F13" i="262" s="1"/>
  <c r="G13" i="262" s="1"/>
  <c r="H13" i="262" s="1"/>
  <c r="I13" i="262" s="1"/>
  <c r="J13" i="262" s="1"/>
  <c r="K13" i="262" s="1"/>
  <c r="L13" i="262" s="1"/>
  <c r="M13" i="262" s="1"/>
  <c r="D12" i="262"/>
  <c r="E12" i="262" s="1"/>
  <c r="F12" i="262" s="1"/>
  <c r="G12" i="262" s="1"/>
  <c r="H12" i="262" s="1"/>
  <c r="I12" i="262" s="1"/>
  <c r="J12" i="262" s="1"/>
  <c r="K12" i="262" s="1"/>
  <c r="L12" i="262" s="1"/>
  <c r="M12" i="262" s="1"/>
  <c r="D11" i="262"/>
  <c r="E11" i="262" s="1"/>
  <c r="F11" i="262" s="1"/>
  <c r="G11" i="262" s="1"/>
  <c r="H11" i="262" s="1"/>
  <c r="I11" i="262" s="1"/>
  <c r="J11" i="262" s="1"/>
  <c r="K11" i="262" s="1"/>
  <c r="L11" i="262" s="1"/>
  <c r="M11" i="262" s="1"/>
  <c r="D10" i="262"/>
  <c r="E10" i="262" s="1"/>
  <c r="F10" i="262" s="1"/>
  <c r="G10" i="262" s="1"/>
  <c r="H10" i="262" s="1"/>
  <c r="I10" i="262" s="1"/>
  <c r="J10" i="262" s="1"/>
  <c r="K10" i="262" s="1"/>
  <c r="L10" i="262" s="1"/>
  <c r="M10" i="262" s="1"/>
  <c r="D9" i="262"/>
  <c r="E9" i="262" s="1"/>
  <c r="F9" i="262" s="1"/>
  <c r="G9" i="262" s="1"/>
  <c r="H9" i="262" s="1"/>
  <c r="I9" i="262" s="1"/>
  <c r="J9" i="262" s="1"/>
  <c r="K9" i="262" s="1"/>
  <c r="L9" i="262" s="1"/>
  <c r="M9" i="262" s="1"/>
  <c r="N33" i="260" l="1"/>
  <c r="O33" i="260" s="1"/>
  <c r="P33" i="260" s="1"/>
  <c r="Q33" i="260" s="1"/>
  <c r="R33" i="260" s="1"/>
  <c r="L33" i="260"/>
  <c r="K33" i="260" s="1"/>
  <c r="J33" i="260" s="1"/>
  <c r="I33" i="260" s="1"/>
  <c r="H33" i="260" s="1"/>
  <c r="G33" i="260" s="1"/>
  <c r="F33" i="260" s="1"/>
  <c r="O32" i="260"/>
  <c r="P32" i="260" s="1"/>
  <c r="Q32" i="260" s="1"/>
  <c r="R32" i="260" s="1"/>
  <c r="N32" i="260"/>
  <c r="L32" i="260"/>
  <c r="K32" i="260" s="1"/>
  <c r="J32" i="260" s="1"/>
  <c r="I32" i="260" s="1"/>
  <c r="H32" i="260" s="1"/>
  <c r="G32" i="260" s="1"/>
  <c r="F32" i="260" s="1"/>
  <c r="N31" i="260"/>
  <c r="O31" i="260" s="1"/>
  <c r="P31" i="260" s="1"/>
  <c r="Q31" i="260" s="1"/>
  <c r="R31" i="260" s="1"/>
  <c r="L31" i="260"/>
  <c r="K31" i="260" s="1"/>
  <c r="J31" i="260" s="1"/>
  <c r="I31" i="260" s="1"/>
  <c r="H31" i="260" s="1"/>
  <c r="G31" i="260" s="1"/>
  <c r="F31" i="260" s="1"/>
  <c r="N30" i="260"/>
  <c r="O30" i="260" s="1"/>
  <c r="P30" i="260" s="1"/>
  <c r="Q30" i="260" s="1"/>
  <c r="R30" i="260" s="1"/>
  <c r="L30" i="260"/>
  <c r="K30" i="260" s="1"/>
  <c r="J30" i="260" s="1"/>
  <c r="I30" i="260" s="1"/>
  <c r="H30" i="260" s="1"/>
  <c r="G30" i="260" s="1"/>
  <c r="F30" i="260" s="1"/>
  <c r="N29" i="260"/>
  <c r="O29" i="260" s="1"/>
  <c r="P29" i="260" s="1"/>
  <c r="Q29" i="260" s="1"/>
  <c r="R29" i="260" s="1"/>
  <c r="L29" i="260"/>
  <c r="K29" i="260" s="1"/>
  <c r="J29" i="260" s="1"/>
  <c r="I29" i="260" s="1"/>
  <c r="H29" i="260" s="1"/>
  <c r="G29" i="260" s="1"/>
  <c r="F29" i="260" s="1"/>
  <c r="I42" i="229" l="1"/>
  <c r="H42" i="229"/>
  <c r="F40" i="229"/>
  <c r="G39" i="229"/>
  <c r="F39" i="229"/>
  <c r="E39" i="229"/>
  <c r="E42" i="229" s="1"/>
  <c r="F37" i="229"/>
  <c r="G34" i="229"/>
  <c r="F34" i="229"/>
  <c r="F33" i="229"/>
  <c r="F29" i="229"/>
  <c r="G28" i="229"/>
  <c r="F28" i="229"/>
  <c r="F27" i="229"/>
  <c r="G24" i="229"/>
  <c r="F24" i="229"/>
  <c r="G15" i="229"/>
  <c r="F15" i="229"/>
  <c r="G14" i="229"/>
  <c r="F14" i="229"/>
  <c r="F12" i="229"/>
  <c r="F11" i="229"/>
  <c r="F10" i="229"/>
  <c r="F9" i="229"/>
  <c r="G8" i="229"/>
  <c r="G42" i="229" s="1"/>
  <c r="F8" i="229"/>
  <c r="F42" i="229" l="1"/>
  <c r="Q39" i="225"/>
  <c r="R39" i="225"/>
  <c r="C39" i="225"/>
  <c r="O39" i="225" s="1"/>
  <c r="C30" i="225"/>
  <c r="G30" i="225" s="1"/>
  <c r="S30" i="225" s="1"/>
  <c r="D30" i="225" l="1"/>
  <c r="D31" i="225"/>
  <c r="E32" i="225"/>
  <c r="F32" i="225" s="1"/>
  <c r="D32" i="225" l="1"/>
  <c r="P32" i="225" s="1"/>
  <c r="P31" i="225"/>
  <c r="E31" i="225"/>
  <c r="F31" i="225" s="1"/>
  <c r="P30" i="225"/>
  <c r="G32" i="225"/>
  <c r="S32" i="225" s="1"/>
  <c r="E33" i="225"/>
  <c r="F33" i="225" s="1"/>
  <c r="D33" i="225"/>
  <c r="P33" i="225" s="1"/>
  <c r="D39" i="225"/>
  <c r="G39" i="225" l="1"/>
  <c r="S39" i="225" s="1"/>
  <c r="P39" i="225"/>
  <c r="G31" i="225"/>
  <c r="S31" i="225" s="1"/>
  <c r="G33" i="225"/>
  <c r="S33" i="225" s="1"/>
  <c r="E34" i="225"/>
  <c r="F34" i="225" s="1"/>
  <c r="D34" i="225"/>
  <c r="P34" i="225" s="1"/>
  <c r="G34" i="225" l="1"/>
  <c r="S34" i="225" s="1"/>
  <c r="E35" i="225"/>
  <c r="F35" i="225" s="1"/>
  <c r="D35" i="225"/>
  <c r="P35" i="225" s="1"/>
  <c r="G35" i="225" l="1"/>
  <c r="S35" i="225" s="1"/>
  <c r="D36" i="225"/>
  <c r="P36" i="225" s="1"/>
  <c r="E36" i="225"/>
  <c r="F36" i="225" s="1"/>
  <c r="G36" i="225" l="1"/>
  <c r="S36" i="225" s="1"/>
  <c r="E37" i="225"/>
  <c r="F37" i="225" s="1"/>
  <c r="D37" i="225"/>
  <c r="P37" i="225" s="1"/>
  <c r="E38" i="225" l="1"/>
  <c r="F38" i="225" s="1"/>
  <c r="D38" i="225"/>
  <c r="P38" i="225" s="1"/>
  <c r="G37" i="225"/>
  <c r="S37" i="225" s="1"/>
  <c r="G38" i="225" l="1"/>
  <c r="S38" i="225" s="1"/>
  <c r="C26" i="164"/>
  <c r="D26" i="164"/>
  <c r="E26" i="164"/>
  <c r="F26" i="164"/>
  <c r="G26" i="164"/>
  <c r="H26" i="164"/>
  <c r="C27" i="164"/>
  <c r="D27" i="164"/>
  <c r="E27" i="164"/>
  <c r="F27" i="164"/>
  <c r="G27" i="164"/>
  <c r="H27" i="164"/>
  <c r="L57" i="253" l="1"/>
  <c r="K57" i="253"/>
  <c r="L56" i="253"/>
  <c r="K56" i="253"/>
  <c r="L55" i="253"/>
  <c r="K55" i="253"/>
  <c r="L54" i="253"/>
  <c r="K54" i="253"/>
  <c r="L53" i="253"/>
  <c r="K53" i="253"/>
  <c r="P51" i="253"/>
  <c r="O51" i="253"/>
  <c r="N51" i="253"/>
  <c r="M51" i="253"/>
  <c r="L51" i="253"/>
  <c r="K51" i="253"/>
  <c r="G51" i="253"/>
  <c r="F51" i="253"/>
  <c r="E51" i="253"/>
  <c r="D51" i="253"/>
  <c r="C51" i="253"/>
  <c r="B51" i="253"/>
  <c r="G50" i="253"/>
  <c r="F50" i="253"/>
  <c r="E50" i="253"/>
  <c r="D50" i="253"/>
  <c r="C50" i="253"/>
  <c r="B50" i="253"/>
  <c r="P49" i="253"/>
  <c r="O49" i="253"/>
  <c r="N49" i="253"/>
  <c r="M49" i="253"/>
  <c r="M50" i="253" s="1"/>
  <c r="L49" i="253"/>
  <c r="K49" i="253"/>
  <c r="G49" i="253"/>
  <c r="F49" i="253"/>
  <c r="E49" i="253"/>
  <c r="D49" i="253"/>
  <c r="C49" i="253"/>
  <c r="B49" i="253"/>
  <c r="G48" i="253"/>
  <c r="F48" i="253"/>
  <c r="E48" i="253"/>
  <c r="D48" i="253"/>
  <c r="C48" i="253"/>
  <c r="B48" i="253"/>
  <c r="M28" i="253"/>
  <c r="N28" i="253" s="1"/>
  <c r="M27" i="253"/>
  <c r="N27" i="253" s="1"/>
  <c r="M26" i="253"/>
  <c r="N26" i="253" s="1"/>
  <c r="M25" i="253"/>
  <c r="N25" i="253" s="1"/>
  <c r="M24" i="253"/>
  <c r="N24" i="253" s="1"/>
  <c r="P22" i="253"/>
  <c r="O22" i="253"/>
  <c r="N22" i="253"/>
  <c r="M22" i="253"/>
  <c r="L22" i="253"/>
  <c r="K22" i="253"/>
  <c r="P20" i="253"/>
  <c r="P48" i="253" s="1"/>
  <c r="O20" i="253"/>
  <c r="O48" i="253" s="1"/>
  <c r="N20" i="253"/>
  <c r="N48" i="253" s="1"/>
  <c r="M20" i="253"/>
  <c r="M48" i="253" s="1"/>
  <c r="L20" i="253"/>
  <c r="L48" i="253" s="1"/>
  <c r="K20" i="253"/>
  <c r="K48" i="253" s="1"/>
  <c r="K50" i="253" l="1"/>
  <c r="L50" i="253"/>
  <c r="P50" i="253"/>
  <c r="M55" i="253"/>
  <c r="M53" i="253"/>
  <c r="N50" i="253"/>
  <c r="O50" i="253"/>
  <c r="M57" i="253"/>
  <c r="N57" i="253"/>
  <c r="O28" i="253"/>
  <c r="N54" i="253"/>
  <c r="O25" i="253"/>
  <c r="N53" i="253"/>
  <c r="O24" i="253"/>
  <c r="N55" i="253"/>
  <c r="O26" i="253"/>
  <c r="N56" i="253"/>
  <c r="O27" i="253"/>
  <c r="M54" i="253"/>
  <c r="M56" i="253"/>
  <c r="O54" i="253" l="1"/>
  <c r="P25" i="253"/>
  <c r="P54" i="253" s="1"/>
  <c r="O55" i="253"/>
  <c r="P26" i="253"/>
  <c r="P55" i="253" s="1"/>
  <c r="P27" i="253"/>
  <c r="P56" i="253" s="1"/>
  <c r="O56" i="253"/>
  <c r="O53" i="253"/>
  <c r="P24" i="253"/>
  <c r="P53" i="253" s="1"/>
  <c r="O57" i="253"/>
  <c r="P28" i="253"/>
  <c r="P57" i="253" s="1"/>
  <c r="L39" i="123" l="1"/>
  <c r="M39" i="123"/>
  <c r="N39" i="123"/>
  <c r="J38" i="123"/>
  <c r="J33" i="123"/>
  <c r="J34" i="123"/>
  <c r="J35" i="123"/>
  <c r="J36" i="123"/>
  <c r="J37" i="123"/>
  <c r="J32" i="123"/>
  <c r="J25" i="123"/>
  <c r="J24" i="123"/>
  <c r="J28" i="123"/>
  <c r="L10" i="123"/>
  <c r="M10" i="123"/>
  <c r="N10" i="123"/>
  <c r="L11" i="123"/>
  <c r="M11" i="123"/>
  <c r="N11" i="123"/>
  <c r="Y20" i="143" l="1"/>
  <c r="W20" i="143"/>
  <c r="U19" i="143"/>
  <c r="H28" i="106" l="1"/>
  <c r="I28" i="106"/>
  <c r="G28" i="106"/>
  <c r="M19" i="143" l="1"/>
  <c r="N19" i="143"/>
  <c r="O19" i="143"/>
  <c r="P19" i="143"/>
  <c r="Q19" i="143"/>
  <c r="R19" i="143"/>
  <c r="S19" i="143"/>
  <c r="T19" i="143"/>
  <c r="V19" i="143"/>
  <c r="W19" i="143"/>
  <c r="M18" i="143"/>
  <c r="M20" i="143" s="1"/>
  <c r="N18" i="143"/>
  <c r="N20" i="143" s="1"/>
  <c r="O18" i="143"/>
  <c r="P18" i="143"/>
  <c r="P20" i="143" s="1"/>
  <c r="Q18" i="143"/>
  <c r="Q20" i="143" s="1"/>
  <c r="R18" i="143"/>
  <c r="S18" i="143"/>
  <c r="T18" i="143"/>
  <c r="T20" i="143" s="1"/>
  <c r="U18" i="143"/>
  <c r="U20" i="143" s="1"/>
  <c r="V20" i="143" l="1"/>
  <c r="O20" i="143"/>
  <c r="S20" i="143"/>
  <c r="R20" i="143"/>
  <c r="X20" i="143" l="1"/>
  <c r="Y19" i="143"/>
  <c r="X19" i="143"/>
  <c r="M10" i="143"/>
  <c r="O10" i="143"/>
  <c r="P10" i="143"/>
  <c r="Q10" i="143"/>
  <c r="L10" i="143" l="1"/>
  <c r="N10" i="143"/>
  <c r="M9" i="143" l="1"/>
  <c r="N9" i="143"/>
  <c r="O9" i="143"/>
  <c r="P9" i="143"/>
  <c r="Q9" i="143"/>
  <c r="L9" i="143"/>
  <c r="U34" i="193" l="1"/>
  <c r="V34" i="193"/>
  <c r="W34" i="193"/>
  <c r="U35" i="193"/>
  <c r="V35" i="193"/>
  <c r="W35" i="193"/>
  <c r="U36" i="193"/>
  <c r="V36" i="193"/>
  <c r="W36" i="193"/>
  <c r="U37" i="193"/>
  <c r="V37" i="193"/>
  <c r="W37" i="193"/>
  <c r="U38" i="193"/>
  <c r="V38" i="193"/>
  <c r="W38" i="193"/>
  <c r="U39" i="193"/>
  <c r="V39" i="193"/>
  <c r="W39" i="193"/>
  <c r="U40" i="193"/>
  <c r="V40" i="193"/>
  <c r="W40" i="193"/>
  <c r="U41" i="193"/>
  <c r="V41" i="193"/>
  <c r="W41" i="193"/>
  <c r="U42" i="193"/>
  <c r="V42" i="193"/>
  <c r="W42" i="193"/>
  <c r="U43" i="193"/>
  <c r="V43" i="193"/>
  <c r="W43" i="193"/>
  <c r="U44" i="193"/>
  <c r="V44" i="193"/>
  <c r="W44" i="193"/>
  <c r="V33" i="193"/>
  <c r="W33" i="193"/>
  <c r="W6" i="193" s="1"/>
  <c r="W93" i="193" s="1"/>
  <c r="U33" i="193"/>
  <c r="I25" i="106"/>
  <c r="H25" i="106"/>
  <c r="K11" i="106"/>
  <c r="L11" i="106"/>
  <c r="J11" i="106"/>
  <c r="K7" i="106"/>
  <c r="N7" i="106" s="1"/>
  <c r="L7" i="106"/>
  <c r="O7" i="106" s="1"/>
  <c r="J7" i="106"/>
  <c r="M7" i="106" s="1"/>
  <c r="F9" i="106"/>
  <c r="G9" i="106"/>
  <c r="H9" i="106"/>
  <c r="I9" i="106"/>
  <c r="F10" i="106"/>
  <c r="G10" i="106"/>
  <c r="H10" i="106"/>
  <c r="I10" i="106"/>
  <c r="F11" i="106"/>
  <c r="G11" i="106"/>
  <c r="H11" i="106"/>
  <c r="I11" i="106"/>
  <c r="F12" i="106"/>
  <c r="G12" i="106"/>
  <c r="H12" i="106"/>
  <c r="I12" i="106"/>
  <c r="F13" i="106"/>
  <c r="G13" i="106"/>
  <c r="H13" i="106"/>
  <c r="I13" i="106"/>
  <c r="F16" i="106"/>
  <c r="G16" i="106"/>
  <c r="H16" i="106"/>
  <c r="I16" i="106"/>
  <c r="F17" i="106"/>
  <c r="G17" i="106"/>
  <c r="H17" i="106"/>
  <c r="I17" i="106"/>
  <c r="F18" i="106"/>
  <c r="G18" i="106"/>
  <c r="H18" i="106"/>
  <c r="I18" i="106"/>
  <c r="F19" i="106"/>
  <c r="G19" i="106"/>
  <c r="H19" i="106"/>
  <c r="I19" i="106"/>
  <c r="F20" i="106"/>
  <c r="G20" i="106"/>
  <c r="H20" i="106"/>
  <c r="I20" i="106"/>
  <c r="F21" i="106"/>
  <c r="G21" i="106"/>
  <c r="H21" i="106"/>
  <c r="I21" i="106"/>
  <c r="F22" i="106"/>
  <c r="G22" i="106"/>
  <c r="H22" i="106"/>
  <c r="I22" i="106"/>
  <c r="F23" i="106"/>
  <c r="G23" i="106"/>
  <c r="H23" i="106"/>
  <c r="I23" i="106"/>
  <c r="E23" i="106"/>
  <c r="E22" i="106"/>
  <c r="E21" i="106"/>
  <c r="E20" i="106"/>
  <c r="E19" i="106"/>
  <c r="E18" i="106"/>
  <c r="E17" i="106"/>
  <c r="E16" i="106"/>
  <c r="E15" i="106"/>
  <c r="E13" i="106"/>
  <c r="E12" i="106"/>
  <c r="E11" i="106"/>
  <c r="E10" i="106"/>
  <c r="E9" i="106"/>
  <c r="F8" i="106"/>
  <c r="G8" i="106"/>
  <c r="G14" i="106" s="1"/>
  <c r="H8" i="106"/>
  <c r="I8" i="106"/>
  <c r="V95" i="193"/>
  <c r="K9" i="106" s="1"/>
  <c r="W95" i="193"/>
  <c r="L9" i="106" s="1"/>
  <c r="U95" i="193"/>
  <c r="J21" i="106" s="1"/>
  <c r="L20" i="106" l="1"/>
  <c r="O20" i="106"/>
  <c r="L19" i="106"/>
  <c r="L18" i="106"/>
  <c r="O18" i="106" s="1"/>
  <c r="L10" i="106"/>
  <c r="L17" i="106"/>
  <c r="L16" i="106"/>
  <c r="O16" i="106" s="1"/>
  <c r="L23" i="106"/>
  <c r="O23" i="106" s="1"/>
  <c r="L15" i="106"/>
  <c r="W94" i="193"/>
  <c r="L22" i="106"/>
  <c r="O22" i="106" s="1"/>
  <c r="L12" i="106"/>
  <c r="V6" i="193"/>
  <c r="K8" i="106" s="1"/>
  <c r="N8" i="106" s="1"/>
  <c r="L21" i="106"/>
  <c r="J9" i="106"/>
  <c r="J13" i="106"/>
  <c r="J18" i="106"/>
  <c r="M18" i="106" s="1"/>
  <c r="J22" i="106"/>
  <c r="M22" i="106" s="1"/>
  <c r="L13" i="106"/>
  <c r="J10" i="106"/>
  <c r="J15" i="106"/>
  <c r="J19" i="106"/>
  <c r="M19" i="106" s="1"/>
  <c r="J23" i="106"/>
  <c r="M23" i="106" s="1"/>
  <c r="K22" i="106"/>
  <c r="N22" i="106" s="1"/>
  <c r="K20" i="106"/>
  <c r="N20" i="106" s="1"/>
  <c r="K18" i="106"/>
  <c r="N18" i="106" s="1"/>
  <c r="K16" i="106"/>
  <c r="N16" i="106" s="1"/>
  <c r="K12" i="106"/>
  <c r="K10" i="106"/>
  <c r="U6" i="193"/>
  <c r="J8" i="106" s="1"/>
  <c r="K13" i="106"/>
  <c r="J16" i="106"/>
  <c r="M16" i="106" s="1"/>
  <c r="J20" i="106"/>
  <c r="M20" i="106" s="1"/>
  <c r="J12" i="106"/>
  <c r="J17" i="106"/>
  <c r="K23" i="106"/>
  <c r="N23" i="106" s="1"/>
  <c r="K21" i="106"/>
  <c r="N21" i="106" s="1"/>
  <c r="K19" i="106"/>
  <c r="N19" i="106" s="1"/>
  <c r="K17" i="106"/>
  <c r="K15" i="106"/>
  <c r="K26" i="106" s="1"/>
  <c r="O21" i="106"/>
  <c r="O19" i="106"/>
  <c r="O17" i="106"/>
  <c r="M17" i="106"/>
  <c r="M21" i="106"/>
  <c r="N17" i="106"/>
  <c r="F14" i="106"/>
  <c r="I14" i="106"/>
  <c r="H14" i="106"/>
  <c r="L8" i="106"/>
  <c r="V93" i="193"/>
  <c r="V94" i="193" s="1"/>
  <c r="J26" i="106"/>
  <c r="L24" i="106" l="1"/>
  <c r="K14" i="106"/>
  <c r="L26" i="106"/>
  <c r="J14" i="106"/>
  <c r="J24" i="106"/>
  <c r="K24" i="106"/>
  <c r="U93" i="193"/>
  <c r="U94" i="193" s="1"/>
  <c r="O8" i="106"/>
  <c r="L14" i="106"/>
  <c r="P46" i="193" l="1"/>
  <c r="F15" i="106" s="1"/>
  <c r="Q46" i="193"/>
  <c r="R46" i="193"/>
  <c r="H15" i="106" s="1"/>
  <c r="S46" i="193"/>
  <c r="P47" i="193"/>
  <c r="Q47" i="193" l="1"/>
  <c r="G15" i="106"/>
  <c r="R93" i="193"/>
  <c r="R94" i="193" s="1"/>
  <c r="H24" i="106"/>
  <c r="N24" i="106" s="1"/>
  <c r="H26" i="106"/>
  <c r="N26" i="106" s="1"/>
  <c r="N15" i="106"/>
  <c r="R47" i="193"/>
  <c r="F24" i="106"/>
  <c r="F26" i="106"/>
  <c r="S47" i="193"/>
  <c r="I15" i="106"/>
  <c r="S93" i="193"/>
  <c r="S94" i="193" s="1"/>
  <c r="E10" i="102"/>
  <c r="F10" i="102"/>
  <c r="G10" i="102"/>
  <c r="H10" i="102"/>
  <c r="D10" i="102"/>
  <c r="G24" i="106" l="1"/>
  <c r="M24" i="106" s="1"/>
  <c r="G26" i="106"/>
  <c r="M26" i="106" s="1"/>
  <c r="M15" i="106"/>
  <c r="O15" i="106"/>
  <c r="I26" i="106"/>
  <c r="O26" i="106" s="1"/>
  <c r="I24" i="106"/>
  <c r="O24" i="106" s="1"/>
  <c r="K27" i="223"/>
  <c r="J27" i="223"/>
  <c r="I27" i="223"/>
  <c r="H27" i="223"/>
  <c r="G27" i="223"/>
  <c r="F27" i="223"/>
  <c r="E27" i="223"/>
  <c r="D27" i="223"/>
  <c r="C27" i="223"/>
  <c r="K26" i="223"/>
  <c r="J26" i="223"/>
  <c r="I26" i="223"/>
  <c r="H26" i="223"/>
  <c r="G26" i="223"/>
  <c r="F26" i="223"/>
  <c r="E26" i="223"/>
  <c r="D26" i="223"/>
  <c r="C26" i="223"/>
  <c r="K25" i="223"/>
  <c r="J25" i="223"/>
  <c r="I25" i="223"/>
  <c r="H25" i="223"/>
  <c r="G25" i="223"/>
  <c r="F25" i="223"/>
  <c r="E25" i="223"/>
  <c r="D25" i="223"/>
  <c r="C25" i="223"/>
  <c r="K24" i="223"/>
  <c r="J24" i="223"/>
  <c r="I24" i="223"/>
  <c r="H24" i="223"/>
  <c r="G24" i="223"/>
  <c r="F24" i="223"/>
  <c r="E24" i="223"/>
  <c r="D24" i="223"/>
  <c r="C24" i="223"/>
  <c r="K23" i="223"/>
  <c r="J23" i="223"/>
  <c r="I23" i="223"/>
  <c r="H23" i="223"/>
  <c r="G23" i="223"/>
  <c r="F23" i="223"/>
  <c r="E23" i="223"/>
  <c r="D23" i="223"/>
  <c r="C23" i="223"/>
  <c r="K22" i="223"/>
  <c r="J22" i="223"/>
  <c r="I22" i="223"/>
  <c r="H22" i="223"/>
  <c r="G22" i="223"/>
  <c r="F22" i="223"/>
  <c r="E22" i="223"/>
  <c r="D22" i="223"/>
  <c r="C22" i="223"/>
  <c r="K21" i="223"/>
  <c r="J21" i="223"/>
  <c r="I21" i="223"/>
  <c r="H21" i="223"/>
  <c r="G21" i="223"/>
  <c r="F21" i="223"/>
  <c r="E21" i="223"/>
  <c r="D21" i="223"/>
  <c r="C21" i="223"/>
  <c r="K20" i="223"/>
  <c r="J20" i="223"/>
  <c r="I20" i="223"/>
  <c r="H20" i="223"/>
  <c r="G20" i="223"/>
  <c r="F20" i="223"/>
  <c r="E20" i="223"/>
  <c r="D20" i="223"/>
  <c r="J18" i="223"/>
  <c r="H18" i="223"/>
  <c r="F18" i="223"/>
  <c r="D18" i="223"/>
  <c r="C18" i="223"/>
  <c r="C20" i="223"/>
  <c r="N40" i="123" l="1"/>
  <c r="M40" i="123"/>
  <c r="L40" i="123"/>
  <c r="N7" i="123" l="1"/>
  <c r="N8" i="123"/>
  <c r="N9" i="123"/>
  <c r="N12" i="123"/>
  <c r="N13" i="123"/>
  <c r="N15" i="123"/>
  <c r="N16" i="123"/>
  <c r="N17" i="123"/>
  <c r="N18" i="123"/>
  <c r="N19" i="123"/>
  <c r="N20" i="123"/>
  <c r="N21" i="123"/>
  <c r="N22" i="123"/>
  <c r="N23" i="123"/>
  <c r="N25" i="123"/>
  <c r="N26" i="123"/>
  <c r="N27" i="123"/>
  <c r="N28" i="123"/>
  <c r="N29" i="123"/>
  <c r="N30" i="123"/>
  <c r="N31" i="123"/>
  <c r="N32" i="123"/>
  <c r="N33" i="123"/>
  <c r="N34" i="123"/>
  <c r="N35" i="123"/>
  <c r="N36" i="123"/>
  <c r="N37" i="123"/>
  <c r="N38" i="123"/>
  <c r="M7" i="123"/>
  <c r="M8" i="123"/>
  <c r="M9" i="123"/>
  <c r="M12" i="123"/>
  <c r="M13" i="123"/>
  <c r="M15" i="123"/>
  <c r="M16" i="123"/>
  <c r="M17" i="123"/>
  <c r="M18" i="123"/>
  <c r="M19" i="123"/>
  <c r="M20" i="123"/>
  <c r="M21" i="123"/>
  <c r="M22" i="123"/>
  <c r="M23" i="123"/>
  <c r="M25" i="123"/>
  <c r="M26" i="123"/>
  <c r="M27" i="123"/>
  <c r="M28" i="123"/>
  <c r="M29" i="123"/>
  <c r="M30" i="123"/>
  <c r="M31" i="123"/>
  <c r="M32" i="123"/>
  <c r="M33" i="123"/>
  <c r="M34" i="123"/>
  <c r="M35" i="123"/>
  <c r="M36" i="123"/>
  <c r="M37" i="123"/>
  <c r="M38" i="123"/>
  <c r="M6" i="123"/>
  <c r="N6" i="123"/>
  <c r="L7" i="123"/>
  <c r="L8" i="123"/>
  <c r="L9" i="123"/>
  <c r="L12" i="123"/>
  <c r="L13" i="123"/>
  <c r="L14" i="123"/>
  <c r="L15" i="123"/>
  <c r="L16" i="123"/>
  <c r="L17" i="123"/>
  <c r="L18" i="123"/>
  <c r="L19" i="123"/>
  <c r="L20" i="123"/>
  <c r="L21" i="123"/>
  <c r="L22" i="123"/>
  <c r="L23" i="123"/>
  <c r="L24" i="123"/>
  <c r="L25" i="123"/>
  <c r="L26" i="123"/>
  <c r="L27" i="123"/>
  <c r="L28" i="123"/>
  <c r="L29" i="123"/>
  <c r="L30" i="123"/>
  <c r="L31" i="123"/>
  <c r="L32" i="123"/>
  <c r="L33" i="123"/>
  <c r="L34" i="123"/>
  <c r="L35" i="123"/>
  <c r="L36" i="123"/>
  <c r="L37" i="123"/>
  <c r="L38" i="123"/>
  <c r="L6" i="123"/>
  <c r="J23" i="123" l="1"/>
  <c r="H21" i="164" l="1"/>
  <c r="H22" i="164"/>
  <c r="H23" i="164"/>
  <c r="H24" i="164"/>
  <c r="H25" i="164"/>
  <c r="O31" i="225" l="1"/>
  <c r="O32" i="225"/>
  <c r="O33" i="225"/>
  <c r="O34" i="225"/>
  <c r="O35" i="225"/>
  <c r="O36" i="225"/>
  <c r="O37" i="225"/>
  <c r="O38" i="225"/>
  <c r="O30" i="225"/>
  <c r="R31" i="225" l="1"/>
  <c r="Q31" i="225"/>
  <c r="R32" i="225" l="1"/>
  <c r="Q32" i="225"/>
  <c r="R33" i="225" l="1"/>
  <c r="Q33" i="225"/>
  <c r="R34" i="225" l="1"/>
  <c r="Q34" i="225"/>
  <c r="R35" i="225" l="1"/>
  <c r="Q35" i="225"/>
  <c r="R36" i="225" l="1"/>
  <c r="Q36" i="225"/>
  <c r="R37" i="225" l="1"/>
  <c r="Q37" i="225"/>
  <c r="R38" i="225" l="1"/>
  <c r="Q38" i="225"/>
  <c r="J18" i="193" l="1"/>
  <c r="M8" i="106" l="1"/>
  <c r="E24" i="106" l="1"/>
  <c r="M9" i="106" l="1"/>
  <c r="N9" i="106"/>
  <c r="O9" i="106"/>
  <c r="M10" i="106"/>
  <c r="N10" i="106"/>
  <c r="O10" i="106"/>
  <c r="M11" i="106"/>
  <c r="N11" i="106"/>
  <c r="O11" i="106"/>
  <c r="M12" i="106"/>
  <c r="N12" i="106"/>
  <c r="O12" i="106"/>
  <c r="M13" i="106"/>
  <c r="N13" i="106"/>
  <c r="O13" i="106"/>
  <c r="N14" i="106" l="1"/>
  <c r="M14" i="106"/>
  <c r="O14" i="106"/>
  <c r="M5" i="123" l="1"/>
  <c r="N5" i="123"/>
  <c r="L5" i="123"/>
  <c r="E19" i="102"/>
  <c r="F19" i="102"/>
  <c r="G19" i="102"/>
  <c r="H19" i="102"/>
  <c r="E20" i="102"/>
  <c r="F20" i="102"/>
  <c r="G20" i="102"/>
  <c r="H20" i="102"/>
  <c r="E21" i="102"/>
  <c r="F21" i="102"/>
  <c r="G21" i="102"/>
  <c r="H21" i="102"/>
  <c r="D20" i="102"/>
  <c r="D21" i="102"/>
  <c r="D19" i="102"/>
  <c r="D31" i="217"/>
  <c r="E31" i="217"/>
  <c r="D32" i="217"/>
  <c r="E32" i="217"/>
  <c r="D33" i="217"/>
  <c r="E33" i="217"/>
  <c r="D34" i="217"/>
  <c r="E34" i="217"/>
  <c r="D35" i="217"/>
  <c r="E35" i="217"/>
  <c r="D36" i="217"/>
  <c r="E36" i="217"/>
  <c r="D37" i="217"/>
  <c r="E37" i="217"/>
  <c r="D38" i="217"/>
  <c r="E38" i="217"/>
  <c r="D39" i="217"/>
  <c r="E39" i="217"/>
  <c r="D40" i="217"/>
  <c r="E40" i="217"/>
  <c r="D41" i="217"/>
  <c r="E41" i="217"/>
  <c r="D42" i="217"/>
  <c r="E42" i="217"/>
  <c r="D43" i="217"/>
  <c r="E43" i="217"/>
  <c r="D44" i="217"/>
  <c r="E44" i="217"/>
  <c r="D45" i="217"/>
  <c r="E45" i="217"/>
  <c r="D46" i="217"/>
  <c r="E46" i="217"/>
  <c r="D47" i="217"/>
  <c r="E47" i="217"/>
  <c r="D48" i="217"/>
  <c r="E48" i="217"/>
  <c r="D49" i="217"/>
  <c r="E49" i="217"/>
  <c r="D50" i="217"/>
  <c r="E50" i="217"/>
  <c r="E30" i="217"/>
  <c r="D30" i="217"/>
  <c r="E27" i="134"/>
  <c r="F27" i="134"/>
  <c r="G27" i="134"/>
  <c r="H27" i="134"/>
  <c r="I27" i="134"/>
  <c r="J27" i="134"/>
  <c r="K27" i="134"/>
  <c r="L27" i="134"/>
  <c r="E28" i="134"/>
  <c r="F28" i="134"/>
  <c r="G28" i="134"/>
  <c r="H28" i="134"/>
  <c r="I28" i="134"/>
  <c r="J28" i="134"/>
  <c r="K28" i="134"/>
  <c r="L28" i="134"/>
  <c r="E29" i="134"/>
  <c r="F29" i="134"/>
  <c r="G29" i="134"/>
  <c r="H29" i="134"/>
  <c r="I29" i="134"/>
  <c r="J29" i="134"/>
  <c r="K29" i="134"/>
  <c r="L29" i="134"/>
  <c r="E30" i="134"/>
  <c r="F30" i="134"/>
  <c r="G30" i="134"/>
  <c r="H30" i="134"/>
  <c r="I30" i="134"/>
  <c r="J30" i="134"/>
  <c r="K30" i="134"/>
  <c r="L30" i="134"/>
  <c r="E31" i="134"/>
  <c r="F31" i="134"/>
  <c r="G31" i="134"/>
  <c r="H31" i="134"/>
  <c r="I31" i="134"/>
  <c r="J31" i="134"/>
  <c r="K31" i="134"/>
  <c r="L31" i="134"/>
  <c r="E32" i="134"/>
  <c r="F32" i="134"/>
  <c r="G32" i="134"/>
  <c r="H32" i="134"/>
  <c r="I32" i="134"/>
  <c r="J32" i="134"/>
  <c r="K32" i="134"/>
  <c r="L32" i="134"/>
  <c r="E33" i="134"/>
  <c r="F33" i="134"/>
  <c r="G33" i="134"/>
  <c r="H33" i="134"/>
  <c r="I33" i="134"/>
  <c r="J33" i="134"/>
  <c r="K33" i="134"/>
  <c r="L33" i="134"/>
  <c r="E34" i="134"/>
  <c r="F34" i="134"/>
  <c r="G34" i="134"/>
  <c r="H34" i="134"/>
  <c r="I34" i="134"/>
  <c r="J34" i="134"/>
  <c r="K34" i="134"/>
  <c r="L34" i="134"/>
  <c r="E35" i="134"/>
  <c r="F35" i="134"/>
  <c r="G35" i="134"/>
  <c r="H35" i="134"/>
  <c r="I35" i="134"/>
  <c r="J35" i="134"/>
  <c r="K35" i="134"/>
  <c r="L35" i="134"/>
  <c r="E36" i="134"/>
  <c r="F36" i="134"/>
  <c r="G36" i="134"/>
  <c r="H36" i="134"/>
  <c r="I36" i="134"/>
  <c r="J36" i="134"/>
  <c r="K36" i="134"/>
  <c r="L36" i="134"/>
  <c r="E37" i="134"/>
  <c r="F37" i="134"/>
  <c r="G37" i="134"/>
  <c r="H37" i="134"/>
  <c r="I37" i="134"/>
  <c r="J37" i="134"/>
  <c r="K37" i="134"/>
  <c r="L37" i="134"/>
  <c r="E38" i="134"/>
  <c r="F38" i="134"/>
  <c r="G38" i="134"/>
  <c r="H38" i="134"/>
  <c r="I38" i="134"/>
  <c r="J38" i="134"/>
  <c r="K38" i="134"/>
  <c r="L38" i="134"/>
  <c r="E39" i="134"/>
  <c r="F39" i="134"/>
  <c r="G39" i="134"/>
  <c r="H39" i="134"/>
  <c r="I39" i="134"/>
  <c r="J39" i="134"/>
  <c r="K39" i="134"/>
  <c r="L39" i="134"/>
  <c r="E40" i="134"/>
  <c r="F40" i="134"/>
  <c r="G40" i="134"/>
  <c r="H40" i="134"/>
  <c r="I40" i="134"/>
  <c r="J40" i="134"/>
  <c r="K40" i="134"/>
  <c r="L40" i="134"/>
  <c r="E41" i="134"/>
  <c r="F41" i="134"/>
  <c r="G41" i="134"/>
  <c r="H41" i="134"/>
  <c r="I41" i="134"/>
  <c r="J41" i="134"/>
  <c r="K41" i="134"/>
  <c r="L41" i="134"/>
  <c r="F26" i="134"/>
  <c r="G26" i="134"/>
  <c r="H26" i="134"/>
  <c r="I26" i="134"/>
  <c r="J26" i="134"/>
  <c r="K26" i="134"/>
  <c r="L26" i="134"/>
  <c r="E26" i="134"/>
  <c r="C22" i="164" l="1"/>
  <c r="D22" i="164"/>
  <c r="E22" i="164"/>
  <c r="F22" i="164"/>
  <c r="G22" i="164"/>
  <c r="C23" i="164"/>
  <c r="D23" i="164"/>
  <c r="E23" i="164"/>
  <c r="F23" i="164"/>
  <c r="G23" i="164"/>
  <c r="C24" i="164"/>
  <c r="D24" i="164"/>
  <c r="E24" i="164"/>
  <c r="F24" i="164"/>
  <c r="G24" i="164"/>
  <c r="C25" i="164"/>
  <c r="D25" i="164"/>
  <c r="E25" i="164"/>
  <c r="F25" i="164"/>
  <c r="G25" i="164"/>
  <c r="G21" i="164"/>
  <c r="C21" i="164"/>
  <c r="D21" i="164"/>
  <c r="E21" i="164"/>
  <c r="F21" i="164"/>
  <c r="M93" i="193" l="1"/>
  <c r="J44" i="193" l="1"/>
  <c r="I44" i="193"/>
  <c r="J43" i="193"/>
  <c r="I43" i="193"/>
  <c r="J41" i="193"/>
  <c r="I41" i="193"/>
  <c r="J39" i="193"/>
  <c r="I39" i="193"/>
  <c r="J38" i="193"/>
  <c r="I38" i="193"/>
  <c r="J37" i="193"/>
  <c r="I37" i="193"/>
  <c r="J36" i="193"/>
  <c r="I36" i="193"/>
  <c r="J35" i="193"/>
  <c r="I35" i="193"/>
  <c r="J30" i="193"/>
  <c r="J29" i="193" s="1"/>
  <c r="I30" i="193"/>
  <c r="I29" i="193" s="1"/>
  <c r="J25" i="193"/>
  <c r="J24" i="193"/>
  <c r="J22" i="193"/>
  <c r="J20" i="193"/>
  <c r="J19" i="193"/>
  <c r="I18" i="193"/>
  <c r="J11" i="193"/>
  <c r="I11" i="193"/>
  <c r="J10" i="193"/>
  <c r="J9" i="193"/>
  <c r="J8" i="193" s="1"/>
  <c r="I9" i="193"/>
  <c r="J90" i="193"/>
  <c r="I90" i="193"/>
  <c r="H90" i="193"/>
  <c r="F90" i="193"/>
  <c r="C90" i="193"/>
  <c r="J89" i="193"/>
  <c r="I89" i="193"/>
  <c r="H89" i="193"/>
  <c r="E89" i="193"/>
  <c r="J88" i="193"/>
  <c r="I88" i="193"/>
  <c r="H88" i="193"/>
  <c r="G88" i="193"/>
  <c r="F88" i="193"/>
  <c r="E88" i="193"/>
  <c r="D88" i="193"/>
  <c r="D87" i="193" s="1"/>
  <c r="C88" i="193"/>
  <c r="C87" i="193" s="1"/>
  <c r="G87" i="193"/>
  <c r="J85" i="193"/>
  <c r="J83" i="193"/>
  <c r="I83" i="193"/>
  <c r="H83" i="193"/>
  <c r="G83" i="193"/>
  <c r="J82" i="193"/>
  <c r="I82" i="193"/>
  <c r="H82" i="193"/>
  <c r="G82" i="193"/>
  <c r="F82" i="193"/>
  <c r="E82" i="193"/>
  <c r="D82" i="193"/>
  <c r="C82" i="193"/>
  <c r="J78" i="193"/>
  <c r="H78" i="193"/>
  <c r="G78" i="193"/>
  <c r="F78" i="193"/>
  <c r="E78" i="193"/>
  <c r="D78" i="193"/>
  <c r="C78" i="193"/>
  <c r="J71" i="193"/>
  <c r="I71" i="193"/>
  <c r="H71" i="193"/>
  <c r="G71" i="193"/>
  <c r="F71" i="193"/>
  <c r="E71" i="193"/>
  <c r="D71" i="193"/>
  <c r="C71" i="193"/>
  <c r="J69" i="193"/>
  <c r="I69" i="193"/>
  <c r="H69" i="193"/>
  <c r="J68" i="193"/>
  <c r="I68" i="193"/>
  <c r="H68" i="193"/>
  <c r="J66" i="193"/>
  <c r="I66" i="193"/>
  <c r="H66" i="193"/>
  <c r="G66" i="193"/>
  <c r="F66" i="193"/>
  <c r="E66" i="193"/>
  <c r="D66" i="193"/>
  <c r="C66" i="193"/>
  <c r="J65" i="193"/>
  <c r="I65" i="193"/>
  <c r="H65" i="193"/>
  <c r="G65" i="193"/>
  <c r="F65" i="193"/>
  <c r="E65" i="193"/>
  <c r="D65" i="193"/>
  <c r="C65" i="193"/>
  <c r="I64" i="193"/>
  <c r="J63" i="193"/>
  <c r="I63" i="193"/>
  <c r="H63" i="193"/>
  <c r="G63" i="193"/>
  <c r="F63" i="193"/>
  <c r="E63" i="193"/>
  <c r="D63" i="193"/>
  <c r="C63" i="193"/>
  <c r="J62" i="193"/>
  <c r="I62" i="193"/>
  <c r="H62" i="193"/>
  <c r="G62" i="193"/>
  <c r="F62" i="193"/>
  <c r="E62" i="193"/>
  <c r="D62" i="193"/>
  <c r="C62" i="193"/>
  <c r="J60" i="193"/>
  <c r="I60" i="193"/>
  <c r="H60" i="193"/>
  <c r="G60" i="193"/>
  <c r="F60" i="193"/>
  <c r="E60" i="193"/>
  <c r="D60" i="193"/>
  <c r="C60" i="193"/>
  <c r="J59" i="193"/>
  <c r="I59" i="193"/>
  <c r="H59" i="193"/>
  <c r="G59" i="193"/>
  <c r="F59" i="193"/>
  <c r="E59" i="193"/>
  <c r="D59" i="193"/>
  <c r="C59" i="193"/>
  <c r="J58" i="193"/>
  <c r="I58" i="193"/>
  <c r="H58" i="193"/>
  <c r="G58" i="193"/>
  <c r="F58" i="193"/>
  <c r="E58" i="193"/>
  <c r="D58" i="193"/>
  <c r="C58" i="193"/>
  <c r="I57" i="193"/>
  <c r="H57" i="193"/>
  <c r="G57" i="193"/>
  <c r="F57" i="193"/>
  <c r="E57" i="193"/>
  <c r="D57" i="193"/>
  <c r="C57" i="193"/>
  <c r="J56" i="193"/>
  <c r="I56" i="193"/>
  <c r="H56" i="193"/>
  <c r="G56" i="193"/>
  <c r="F56" i="193"/>
  <c r="E56" i="193"/>
  <c r="D56" i="193"/>
  <c r="J55" i="193"/>
  <c r="I55" i="193"/>
  <c r="H55" i="193"/>
  <c r="G55" i="193"/>
  <c r="F55" i="193"/>
  <c r="E55" i="193"/>
  <c r="D55" i="193"/>
  <c r="C55" i="193"/>
  <c r="J54" i="193"/>
  <c r="I54" i="193"/>
  <c r="H54" i="193"/>
  <c r="G54" i="193"/>
  <c r="F54" i="193"/>
  <c r="E54" i="193"/>
  <c r="D54" i="193"/>
  <c r="C54" i="193"/>
  <c r="J52" i="193"/>
  <c r="I52" i="193"/>
  <c r="H52" i="193"/>
  <c r="G52" i="193"/>
  <c r="F52" i="193"/>
  <c r="E52" i="193"/>
  <c r="D52" i="193"/>
  <c r="C52" i="193"/>
  <c r="J50" i="193"/>
  <c r="J49" i="193"/>
  <c r="I49" i="193"/>
  <c r="H49" i="193"/>
  <c r="G49" i="193"/>
  <c r="F49" i="193"/>
  <c r="E49" i="193"/>
  <c r="D49" i="193"/>
  <c r="C49" i="193"/>
  <c r="H44" i="193"/>
  <c r="G44" i="193"/>
  <c r="F44" i="193"/>
  <c r="E44" i="193"/>
  <c r="D44" i="193"/>
  <c r="C44" i="193"/>
  <c r="H43" i="193"/>
  <c r="G43" i="193"/>
  <c r="F43" i="193"/>
  <c r="E43" i="193"/>
  <c r="D43" i="193"/>
  <c r="C43" i="193"/>
  <c r="H41" i="193"/>
  <c r="G41" i="193"/>
  <c r="F41" i="193"/>
  <c r="E41" i="193"/>
  <c r="D41" i="193"/>
  <c r="C41" i="193"/>
  <c r="H39" i="193"/>
  <c r="G39" i="193"/>
  <c r="F39" i="193"/>
  <c r="E39" i="193"/>
  <c r="D39" i="193"/>
  <c r="C39" i="193"/>
  <c r="H37" i="193"/>
  <c r="G37" i="193"/>
  <c r="F37" i="193"/>
  <c r="E37" i="193"/>
  <c r="D37" i="193"/>
  <c r="C37" i="193"/>
  <c r="H36" i="193"/>
  <c r="G36" i="193"/>
  <c r="F36" i="193"/>
  <c r="E36" i="193"/>
  <c r="D36" i="193"/>
  <c r="C36" i="193"/>
  <c r="H35" i="193"/>
  <c r="G35" i="193"/>
  <c r="F35" i="193"/>
  <c r="E35" i="193"/>
  <c r="D35" i="193"/>
  <c r="C35" i="193"/>
  <c r="H31" i="193"/>
  <c r="H30" i="193"/>
  <c r="G30" i="193"/>
  <c r="G29" i="193" s="1"/>
  <c r="G28" i="193" s="1"/>
  <c r="F30" i="193"/>
  <c r="F29" i="193" s="1"/>
  <c r="F28" i="193" s="1"/>
  <c r="E30" i="193"/>
  <c r="E29" i="193" s="1"/>
  <c r="E28" i="193" s="1"/>
  <c r="D30" i="193"/>
  <c r="D29" i="193" s="1"/>
  <c r="C30" i="193"/>
  <c r="C29" i="193" s="1"/>
  <c r="C20" i="193"/>
  <c r="H18" i="193"/>
  <c r="G18" i="193"/>
  <c r="F18" i="193"/>
  <c r="E18" i="193"/>
  <c r="D18" i="193"/>
  <c r="C18" i="193"/>
  <c r="H11" i="193"/>
  <c r="G11" i="193"/>
  <c r="F11" i="193"/>
  <c r="E11" i="193"/>
  <c r="D11" i="193"/>
  <c r="C11" i="193"/>
  <c r="H9" i="193"/>
  <c r="H8" i="193" s="1"/>
  <c r="G9" i="193"/>
  <c r="G8" i="193" s="1"/>
  <c r="F9" i="193"/>
  <c r="E9" i="193"/>
  <c r="D9" i="193"/>
  <c r="C9" i="193"/>
  <c r="E8" i="193" l="1"/>
  <c r="F8" i="193"/>
  <c r="H29" i="193"/>
  <c r="H28" i="193" s="1"/>
  <c r="C61" i="193"/>
  <c r="J34" i="193"/>
  <c r="J33" i="193" s="1"/>
  <c r="E87" i="193"/>
  <c r="E86" i="193" s="1"/>
  <c r="H53" i="193"/>
  <c r="H48" i="193" s="1"/>
  <c r="J53" i="193"/>
  <c r="J48" i="193" s="1"/>
  <c r="E61" i="193"/>
  <c r="I61" i="193"/>
  <c r="D53" i="193"/>
  <c r="D48" i="193" s="1"/>
  <c r="I87" i="193"/>
  <c r="I86" i="193" s="1"/>
  <c r="F53" i="193"/>
  <c r="F48" i="193" s="1"/>
  <c r="F87" i="193"/>
  <c r="F86" i="193" s="1"/>
  <c r="I8" i="193"/>
  <c r="I40" i="193"/>
  <c r="E53" i="193"/>
  <c r="E48" i="193" s="1"/>
  <c r="I53" i="193"/>
  <c r="I48" i="193" s="1"/>
  <c r="D61" i="193"/>
  <c r="H61" i="193"/>
  <c r="J87" i="193"/>
  <c r="J86" i="193" s="1"/>
  <c r="J40" i="193"/>
  <c r="I34" i="193"/>
  <c r="I33" i="193" s="1"/>
  <c r="C53" i="193"/>
  <c r="C48" i="193" s="1"/>
  <c r="G53" i="193"/>
  <c r="G48" i="193" s="1"/>
  <c r="F61" i="193"/>
  <c r="J61" i="193"/>
  <c r="G61" i="193"/>
  <c r="H87" i="193"/>
  <c r="H86" i="193" s="1"/>
  <c r="G86" i="193"/>
  <c r="C86" i="193"/>
  <c r="D86" i="193"/>
  <c r="K46" i="193" l="1"/>
  <c r="K47" i="193" s="1"/>
  <c r="J46" i="193"/>
  <c r="J47" i="193" s="1"/>
  <c r="N6" i="193" l="1"/>
  <c r="N7" i="193" l="1"/>
  <c r="N93" i="193"/>
  <c r="N94" i="193" l="1"/>
  <c r="Q93" i="193" l="1"/>
  <c r="Q94" i="193" s="1"/>
  <c r="H40" i="193" l="1"/>
  <c r="G40" i="193"/>
  <c r="F40" i="193"/>
  <c r="D40" i="193"/>
  <c r="C40" i="193"/>
  <c r="E40" i="193"/>
  <c r="H34" i="193"/>
  <c r="H33" i="193" s="1"/>
  <c r="G34" i="193"/>
  <c r="G33" i="193" s="1"/>
  <c r="F34" i="193"/>
  <c r="F33" i="193" s="1"/>
  <c r="E34" i="193"/>
  <c r="E33" i="193" s="1"/>
  <c r="D34" i="193"/>
  <c r="D33" i="193" s="1"/>
  <c r="C34" i="193"/>
  <c r="C33" i="193" s="1"/>
  <c r="D28" i="193"/>
  <c r="L6" i="193"/>
  <c r="D8" i="193"/>
  <c r="C8" i="193"/>
  <c r="O6" i="193"/>
  <c r="C28" i="193"/>
  <c r="O93" i="193" l="1"/>
  <c r="O94" i="193" s="1"/>
  <c r="E8" i="106"/>
  <c r="L7" i="193"/>
  <c r="L93" i="193"/>
  <c r="L94" i="193" s="1"/>
  <c r="M7" i="193"/>
  <c r="E6" i="193"/>
  <c r="E7" i="193" s="1"/>
  <c r="K6" i="193"/>
  <c r="K7" i="193" s="1"/>
  <c r="D6" i="193"/>
  <c r="D7" i="193" s="1"/>
  <c r="C6" i="193"/>
  <c r="C7" i="193" s="1"/>
  <c r="F6" i="193"/>
  <c r="F7" i="193" s="1"/>
  <c r="J6" i="193"/>
  <c r="J7" i="193" s="1"/>
  <c r="G46" i="193"/>
  <c r="G47" i="193" s="1"/>
  <c r="E46" i="193"/>
  <c r="E47" i="193" s="1"/>
  <c r="H6" i="193"/>
  <c r="H7" i="193" s="1"/>
  <c r="I6" i="193"/>
  <c r="I7" i="193" s="1"/>
  <c r="H46" i="193"/>
  <c r="C46" i="193"/>
  <c r="C47" i="193" s="1"/>
  <c r="G6" i="193"/>
  <c r="G7" i="193" s="1"/>
  <c r="O7" i="193"/>
  <c r="I46" i="193"/>
  <c r="I47" i="193" s="1"/>
  <c r="D46" i="193"/>
  <c r="F46" i="193"/>
  <c r="E26" i="106" l="1"/>
  <c r="E14" i="106"/>
  <c r="K93" i="193"/>
  <c r="K94" i="193" s="1"/>
  <c r="H93" i="193"/>
  <c r="H94" i="193" s="1"/>
  <c r="D93" i="193"/>
  <c r="D94" i="193" s="1"/>
  <c r="G93" i="193"/>
  <c r="G94" i="193" s="1"/>
  <c r="E93" i="193"/>
  <c r="E94" i="193" s="1"/>
  <c r="C93" i="193"/>
  <c r="C94" i="193" s="1"/>
  <c r="M94" i="193"/>
  <c r="I93" i="193"/>
  <c r="I94" i="193" s="1"/>
  <c r="H47" i="193"/>
  <c r="D47" i="193"/>
  <c r="J93" i="193"/>
  <c r="J94" i="193" s="1"/>
  <c r="F47" i="193"/>
  <c r="F93" i="193"/>
  <c r="F94" i="193" s="1"/>
  <c r="P93" i="193" l="1"/>
  <c r="P94" i="193" s="1"/>
</calcChain>
</file>

<file path=xl/sharedStrings.xml><?xml version="1.0" encoding="utf-8"?>
<sst xmlns="http://schemas.openxmlformats.org/spreadsheetml/2006/main" count="2027" uniqueCount="1458">
  <si>
    <t>% HDP</t>
  </si>
  <si>
    <t>mil. eur</t>
  </si>
  <si>
    <t>Zdroj: MF SR</t>
  </si>
  <si>
    <t>v % HDP</t>
  </si>
  <si>
    <t>Štrukturálne saldo</t>
  </si>
  <si>
    <t>NPC</t>
  </si>
  <si>
    <t>Ukazovateľ</t>
  </si>
  <si>
    <t>Konsolidačné úsilie</t>
  </si>
  <si>
    <t>10. Zmena v príjmoch z titulu diskrečných príjmových opatrení</t>
  </si>
  <si>
    <t>%</t>
  </si>
  <si>
    <t>p.b.</t>
  </si>
  <si>
    <t>A. Hrubý dlh verejnej správy (k 1.1.)</t>
  </si>
  <si>
    <t>B. Celková medziročná zmena hrubého dlhu VS</t>
  </si>
  <si>
    <t>z toho: NDS</t>
  </si>
  <si>
    <t>C. Hrubý dlh verejnej správy (k 31.12.)</t>
  </si>
  <si>
    <t>Pozn.: Plusové položky zvyšujú dlh verejnej správy k 31.12. príslušného roku, mínusové položky dlh znižujú.</t>
  </si>
  <si>
    <t>Funkcie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</si>
  <si>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</si>
  <si>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</si>
  <si>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</si>
  <si>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</si>
  <si>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</si>
  <si>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</si>
  <si>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</si>
  <si>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</si>
  <si>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</si>
  <si>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</si>
  <si>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</si>
  <si>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TE</t>
  </si>
  <si>
    <t>ESA kód</t>
  </si>
  <si>
    <t>Príjmy spolu</t>
  </si>
  <si>
    <t>TR</t>
  </si>
  <si>
    <t>Dane z produkcie a dovozu</t>
  </si>
  <si>
    <t>D.2</t>
  </si>
  <si>
    <t>Bežné dane z dôchodkov, majetku</t>
  </si>
  <si>
    <t>D.5</t>
  </si>
  <si>
    <t>Dane z kapitálu</t>
  </si>
  <si>
    <t>D.91</t>
  </si>
  <si>
    <t>Príspevky na sociálne zabezpečenie</t>
  </si>
  <si>
    <t>D.61</t>
  </si>
  <si>
    <t>Dôchodky z majetku</t>
  </si>
  <si>
    <t>D.4R</t>
  </si>
  <si>
    <t>Výdavky spolu</t>
  </si>
  <si>
    <t>Kompenzácie zamestnancov</t>
  </si>
  <si>
    <t>D.1P</t>
  </si>
  <si>
    <t>Medzispotreba</t>
  </si>
  <si>
    <t>P.2</t>
  </si>
  <si>
    <t>Subvencie</t>
  </si>
  <si>
    <t>Úrokové náklady</t>
  </si>
  <si>
    <t>D.41P</t>
  </si>
  <si>
    <t>Celkové sociálne transfery</t>
  </si>
  <si>
    <t>Tvorba hrubého fixného kapitálu</t>
  </si>
  <si>
    <t>P.51G</t>
  </si>
  <si>
    <t>Kapitálové transfery</t>
  </si>
  <si>
    <t>D.9P</t>
  </si>
  <si>
    <t>B.9 (4)</t>
  </si>
  <si>
    <t>ESA2010</t>
  </si>
  <si>
    <t>P.č</t>
  </si>
  <si>
    <t>Program stability</t>
  </si>
  <si>
    <t>Návrh rozpočtu</t>
  </si>
  <si>
    <t>m.j.</t>
  </si>
  <si>
    <t>HDP, bežné ceny</t>
  </si>
  <si>
    <t>mld. eur</t>
  </si>
  <si>
    <t>HDP, stále ceny</t>
  </si>
  <si>
    <t xml:space="preserve">   Konečná spotreba domácností a NISD</t>
  </si>
  <si>
    <t xml:space="preserve">   Konečná spotreba verejnej správy </t>
  </si>
  <si>
    <t xml:space="preserve">   Tvorba hrubého fixného kapitálu </t>
  </si>
  <si>
    <t xml:space="preserve">   Export tovarov a služieb </t>
  </si>
  <si>
    <t xml:space="preserve">   Import tovarov a služieb </t>
  </si>
  <si>
    <t>Priemerný rast zamestnanosti, podľa VZPS</t>
  </si>
  <si>
    <t>Priemerný rast zamestnanosti, podľa ESA 2010</t>
  </si>
  <si>
    <t>Priemerná miera nezamestnanosti, podľa VZPS</t>
  </si>
  <si>
    <t>Priemerná evidovaná miera nezamestnanosti</t>
  </si>
  <si>
    <t>Harmonizovaný index spotrebiteľských cien (HICP)</t>
  </si>
  <si>
    <t>Bilancia bežného účtu (podiel na HDP)</t>
  </si>
  <si>
    <t>Cieľové saldá verejnej správy</t>
  </si>
  <si>
    <t>B.9</t>
  </si>
  <si>
    <t>Program stability (1)</t>
  </si>
  <si>
    <t>Návrh rozpočtového plánu (2)</t>
  </si>
  <si>
    <t>Rozdiel (2-1)</t>
  </si>
  <si>
    <t>Gross fixed capital formation</t>
  </si>
  <si>
    <t xml:space="preserve">Zamestnanosť </t>
  </si>
  <si>
    <t xml:space="preserve">Verejná správa </t>
  </si>
  <si>
    <t>Trhové služby</t>
  </si>
  <si>
    <t>Priemysel</t>
  </si>
  <si>
    <t>Stavebníctvo</t>
  </si>
  <si>
    <t>HDP</t>
  </si>
  <si>
    <t>Celková inflácia</t>
  </si>
  <si>
    <t>Čistá inflácia</t>
  </si>
  <si>
    <t>Ceny potravín</t>
  </si>
  <si>
    <t>Regulované ceny</t>
  </si>
  <si>
    <t>Zmena nepriamych daní</t>
  </si>
  <si>
    <t>Pot. HDP (rast, %)</t>
  </si>
  <si>
    <t xml:space="preserve"> Práca</t>
  </si>
  <si>
    <t>medián Výboru</t>
  </si>
  <si>
    <t>prognóza MF SR</t>
  </si>
  <si>
    <t>3.   Výdavky kryté EU (kapitálové)</t>
  </si>
  <si>
    <t>2.   Úrokové náklady</t>
  </si>
  <si>
    <t>3a. Výdavky kryté EÚ zdrojmi (celkové)</t>
  </si>
  <si>
    <t>4.   Kapitálové výdavky kryté národnými zdrojmi</t>
  </si>
  <si>
    <t>5.   Vyhladené kapitálové výdavky (nár. zdroje 4-ročný pohyblivý priemer)</t>
  </si>
  <si>
    <t>6.   Cyklické výdavky na dávky v nezamestnanosti</t>
  </si>
  <si>
    <t xml:space="preserve">7.   Výdavky plne kryté automatickým zvýšením príjmov </t>
  </si>
  <si>
    <t>8.   Primárny výdavkový agregát (1-2-3a-4+5-6-7)</t>
  </si>
  <si>
    <t>z toho: Dopravné podniky obcí</t>
  </si>
  <si>
    <t xml:space="preserve"> - ostatné</t>
  </si>
  <si>
    <t>Príspevky k zmene hrubého dlhu verejnej správy:</t>
  </si>
  <si>
    <t>Primárne saldo</t>
  </si>
  <si>
    <t>Úroky</t>
  </si>
  <si>
    <t>Rast reálneho HDP</t>
  </si>
  <si>
    <t>Deflátor HDP</t>
  </si>
  <si>
    <t>Zmeny</t>
  </si>
  <si>
    <t>Medzisúčet</t>
  </si>
  <si>
    <t>Prechod osi x</t>
  </si>
  <si>
    <t>Výplň</t>
  </si>
  <si>
    <t>Zmena</t>
  </si>
  <si>
    <t>GEO/TIME</t>
  </si>
  <si>
    <t>2010</t>
  </si>
  <si>
    <t>2011</t>
  </si>
  <si>
    <t>2012</t>
  </si>
  <si>
    <t>2013</t>
  </si>
  <si>
    <t>2014</t>
  </si>
  <si>
    <t>2015</t>
  </si>
  <si>
    <t>V3</t>
  </si>
  <si>
    <t>1.   Celkové výdavky</t>
  </si>
  <si>
    <t>p. m. deflátor HDP</t>
  </si>
  <si>
    <t>GRAF 8: Príspevky k inflácii (p.b.)</t>
  </si>
  <si>
    <t>Vstupné dáta</t>
  </si>
  <si>
    <t>Graf 1</t>
  </si>
  <si>
    <t>Graf 2</t>
  </si>
  <si>
    <t>Graf 3</t>
  </si>
  <si>
    <t>Graf 4</t>
  </si>
  <si>
    <t>Graf 7</t>
  </si>
  <si>
    <t>Zdroj: MF SR, Eurostat</t>
  </si>
  <si>
    <t>COFOG kód</t>
  </si>
  <si>
    <t>Priemerná mesačná mzda za hospodárstvo (nominálny rast)</t>
  </si>
  <si>
    <t>Poľnohospodárstvo</t>
  </si>
  <si>
    <t>Produkčná medzera (podiel na potenciálnom produkte)</t>
  </si>
  <si>
    <t>D.1</t>
  </si>
  <si>
    <t>D.3p</t>
  </si>
  <si>
    <t>Granty a transfery</t>
  </si>
  <si>
    <t>Spolu výdavky</t>
  </si>
  <si>
    <t>D.3P</t>
  </si>
  <si>
    <t>D.6P,D632</t>
  </si>
  <si>
    <t>z toho: ŽSR + ŽSSK</t>
  </si>
  <si>
    <t>2016</t>
  </si>
  <si>
    <t>2017</t>
  </si>
  <si>
    <t>2018</t>
  </si>
  <si>
    <t>2019</t>
  </si>
  <si>
    <t>2020</t>
  </si>
  <si>
    <t>D.7p</t>
  </si>
  <si>
    <t>Spolu</t>
  </si>
  <si>
    <t>Cyklická zložka</t>
  </si>
  <si>
    <t>9.  Medziročná zmena primárneho výdavkového agregátu (8t-8t-1)</t>
  </si>
  <si>
    <t>11. Jednorazové opatrenia na príjmovej strane</t>
  </si>
  <si>
    <t>12. Jednorazové opatrenia na výdavkovej strane</t>
  </si>
  <si>
    <t>13. Metodické úpravy</t>
  </si>
  <si>
    <t>14. Nominálny rast agregátu výdavkov očisteného o príjmové opatrenia ((9t-10t)/8t-1)</t>
  </si>
  <si>
    <t xml:space="preserve">15. Reálny rast agregátu výdavkov očisteného o príjmové opatrenia </t>
  </si>
  <si>
    <t>16. Výdavkové pravidlo (znížená referenčná miera pot. rastu HDP)</t>
  </si>
  <si>
    <t>Saldo VS - rozpočet</t>
  </si>
  <si>
    <t>Saldo VS - očakávaná skutočnosť</t>
  </si>
  <si>
    <t xml:space="preserve"> - Mzdy a platy</t>
  </si>
  <si>
    <t xml:space="preserve"> - Sociálne príspevky zamestnávateľov</t>
  </si>
  <si>
    <t>Ostatné bežné transfery</t>
  </si>
  <si>
    <t>Dane</t>
  </si>
  <si>
    <t>Saldo VS (ESA 2010, v mil. eur)</t>
  </si>
  <si>
    <t>Zdroj ESA 2010</t>
  </si>
  <si>
    <t>Skutočnosť</t>
  </si>
  <si>
    <t xml:space="preserve">
Skutočnosť</t>
  </si>
  <si>
    <t>OS</t>
  </si>
  <si>
    <t>Ciele</t>
  </si>
  <si>
    <t>T0200</t>
  </si>
  <si>
    <t>Daňové príjmy</t>
  </si>
  <si>
    <t>suma</t>
  </si>
  <si>
    <t>suma (D2+D5+D91)</t>
  </si>
  <si>
    <t>Dane z produkcie a dovozu</t>
  </si>
  <si>
    <t>T0200 (D2)</t>
  </si>
  <si>
    <t xml:space="preserve"> - Daň z pridanej hodnoty (spolu so zdrojmi EÚ)</t>
  </si>
  <si>
    <t>T0900 (D211)</t>
  </si>
  <si>
    <t xml:space="preserve"> - Spotrebné dane</t>
  </si>
  <si>
    <t>T0900 (D2122C+D214A)</t>
  </si>
  <si>
    <t xml:space="preserve"> - Dane z majetku a iné</t>
  </si>
  <si>
    <t>T0200 (D5)</t>
  </si>
  <si>
    <t xml:space="preserve"> - Daň z príjmov fyzických osôb</t>
  </si>
  <si>
    <t>T0900 (D51A)</t>
  </si>
  <si>
    <t xml:space="preserve"> - zo závislej činnosti</t>
  </si>
  <si>
    <t>RK 111001</t>
  </si>
  <si>
    <t xml:space="preserve"> - z podnikania a inej samostatnej zár. činnosti</t>
  </si>
  <si>
    <t>RK111002</t>
  </si>
  <si>
    <t xml:space="preserve"> - Daň z príjmov právnických osôb</t>
  </si>
  <si>
    <t>T0900 (D51B)</t>
  </si>
  <si>
    <t xml:space="preserve"> - Daň z príjmov vyberaná zrážkou - rozp. klasif.</t>
  </si>
  <si>
    <t>T0900 (D51E)</t>
  </si>
  <si>
    <t>T0900 (D59A)</t>
  </si>
  <si>
    <t>Dane z kapitálu</t>
  </si>
  <si>
    <t>T0200 (D91)</t>
  </si>
  <si>
    <t>suma, T0200 (D61)</t>
  </si>
  <si>
    <t>Skutočné príspevky na sociálne zabezpečenie</t>
  </si>
  <si>
    <t>suma, T0900 (D611+D613)</t>
  </si>
  <si>
    <t xml:space="preserve"> - Príspevky zamestnávateľov</t>
  </si>
  <si>
    <t>T0900 (D6111+D6112 = D611)</t>
  </si>
  <si>
    <t>T0900 (D613CE)</t>
  </si>
  <si>
    <t>Imputované príspevky na sociálne zabezpečenie</t>
  </si>
  <si>
    <t>T0900 (D612)</t>
  </si>
  <si>
    <t>Nedaňové príjmy</t>
  </si>
  <si>
    <t>Tržby</t>
  </si>
  <si>
    <t xml:space="preserve"> - Trhová produkcia + Produkcia pre vlastné konečné použitie</t>
  </si>
  <si>
    <t>T0200 (P1M)</t>
  </si>
  <si>
    <t xml:space="preserve"> - Platby za ostatnú netrhovú produkciu</t>
  </si>
  <si>
    <t>T0200 (P131)</t>
  </si>
  <si>
    <t>Dôchodky z majetku, z ktorých</t>
  </si>
  <si>
    <t>T0200 (D4)</t>
  </si>
  <si>
    <t xml:space="preserve"> - Dividendy</t>
  </si>
  <si>
    <t>D.421 z dotazníka tab 10.1 riadok 49</t>
  </si>
  <si>
    <t xml:space="preserve"> - Úroky</t>
  </si>
  <si>
    <t>T0200 (D41)</t>
  </si>
  <si>
    <t>z toho: z EÚ</t>
  </si>
  <si>
    <t>RK 341 EU, ktoré ostávajú v schodku, FIN 1-12 za ŠR</t>
  </si>
  <si>
    <t>Ostatné subvencie ma produkciu</t>
  </si>
  <si>
    <t>T0200 (D39R)</t>
  </si>
  <si>
    <t>T0200 (D7)</t>
  </si>
  <si>
    <t>T0200 (D9-D91)</t>
  </si>
  <si>
    <t>Bežné výdavky</t>
  </si>
  <si>
    <t>T0200 (D1)</t>
  </si>
  <si>
    <t>od Antolíka ŠÚ SR (D11)</t>
  </si>
  <si>
    <t>od Antolíka ŠÚ SR (D12)</t>
  </si>
  <si>
    <t>T0200 (P2)</t>
  </si>
  <si>
    <t>suma (D29+D5)</t>
  </si>
  <si>
    <t>Iné dane z produkcie</t>
  </si>
  <si>
    <t>T0200 (D29)</t>
  </si>
  <si>
    <t>Bežné dane z majetku, atď.</t>
  </si>
  <si>
    <t>T0200 (D3P)</t>
  </si>
  <si>
    <t xml:space="preserve"> - Dotácie do poľnohospodárstva</t>
  </si>
  <si>
    <t>RK 644 COFOG 042 bez S3 EU OUT, zdroj ŠR a spolufinancovanie (len EU zdrojov)</t>
  </si>
  <si>
    <t xml:space="preserve"> - Dotácie do dopravy</t>
  </si>
  <si>
    <t>RK 644 z toho COFOG 045 bez S3 EU OUT</t>
  </si>
  <si>
    <t xml:space="preserve"> - železničná doprava</t>
  </si>
  <si>
    <t>RK 644 z toho COFOG 0453 bez S3 EU OUT</t>
  </si>
  <si>
    <t xml:space="preserve"> - cestná doprava</t>
  </si>
  <si>
    <t>RK 644 z toho COFOG 0451 bez S3 EU OUT</t>
  </si>
  <si>
    <t xml:space="preserve"> - Ostatné</t>
  </si>
  <si>
    <t>reziduál = Subsidies minus Agriultural Subsidies minus Transport Subsidies</t>
  </si>
  <si>
    <t>Dôchodky z majetku</t>
  </si>
  <si>
    <t>Ostatné dôchodky z majetku</t>
  </si>
  <si>
    <t>T0200 (D4N)</t>
  </si>
  <si>
    <t>T0200 (D6M)</t>
  </si>
  <si>
    <t xml:space="preserve"> - Sociálne dávky okrem naturálnych soc. transferov</t>
  </si>
  <si>
    <t>T0200 (D62)</t>
  </si>
  <si>
    <t xml:space="preserve"> - Aktívne opatrenia trhu práce</t>
  </si>
  <si>
    <t>RK 642032 zo ŠR, bez EU peňazí</t>
  </si>
  <si>
    <t xml:space="preserve"> - Nemocenské dávky</t>
  </si>
  <si>
    <t>RK 642015 z SP</t>
  </si>
  <si>
    <t xml:space="preserve"> - Dôchodkové dávky zo starobného a invalidného poistenia</t>
  </si>
  <si>
    <t>RK 642016+RK 642020 z SP + to isté z MRU</t>
  </si>
  <si>
    <t xml:space="preserve"> - Dávky v nezamestnanosti</t>
  </si>
  <si>
    <t>RK 642033 z SP</t>
  </si>
  <si>
    <t xml:space="preserve"> - Štátne sociálne dávky a podpora</t>
  </si>
  <si>
    <t>RK 642018 až RK 642027 + RK642037 až RK 642042 zo ŠR</t>
  </si>
  <si>
    <t xml:space="preserve"> - na prídavok na dieťa</t>
  </si>
  <si>
    <t>RK 642019 zo ŠR</t>
  </si>
  <si>
    <t xml:space="preserve"> - na príspevok pri narodení dieťaťa a prísp. rodičom</t>
  </si>
  <si>
    <t>RK 642022 zo ŠR</t>
  </si>
  <si>
    <t xml:space="preserve"> - na rodičovský príspevok</t>
  </si>
  <si>
    <t>RK 642041 zo ŠR</t>
  </si>
  <si>
    <t xml:space="preserve"> - na dávku v hmotnej núdzi a príspevky k dávke</t>
  </si>
  <si>
    <t>RK 642026 zo ŠR</t>
  </si>
  <si>
    <t xml:space="preserve"> - na peňažné príspevky na kompenzáciu</t>
  </si>
  <si>
    <t>RK 642027 zo ŠR</t>
  </si>
  <si>
    <t>RK 642018 až RK 642027 + RK642037 až RK 642042 zo ŠR minus (RK 642019+22+41+26+27)</t>
  </si>
  <si>
    <t xml:space="preserve"> - Platené poistné za skupiny osôb ustanovené zákonom</t>
  </si>
  <si>
    <t>RK 642031</t>
  </si>
  <si>
    <t xml:space="preserve"> - sociálne poistenie</t>
  </si>
  <si>
    <t>RK 642031 z kapitoly Ministerstva práce</t>
  </si>
  <si>
    <t xml:space="preserve"> - zdravotné poistenie</t>
  </si>
  <si>
    <t>RK 642031 z kapitoly Ministerstva zdravotníctva</t>
  </si>
  <si>
    <t xml:space="preserve"> - Naturálne sociálne transfery (zdravotnícke zariadenia)</t>
  </si>
  <si>
    <t>T0200 (D632)</t>
  </si>
  <si>
    <t>z toho: Odvody do rozpočtu EÚ</t>
  </si>
  <si>
    <t xml:space="preserve">RK 649005 </t>
  </si>
  <si>
    <t>z toho: 2% z daní na verejnoprospešný účel</t>
  </si>
  <si>
    <t>RK 111004+RK 112001</t>
  </si>
  <si>
    <t>Kapitálové výdavky</t>
  </si>
  <si>
    <t>Kapitálové investície</t>
  </si>
  <si>
    <t>suma, T0200(P5L)</t>
  </si>
  <si>
    <t xml:space="preserve"> - Tvorba hrubého fixného kapitálu</t>
  </si>
  <si>
    <t>T0200 (P51G)</t>
  </si>
  <si>
    <t xml:space="preserve"> - Zmena stavu zásob a nadobudnutie mínus úbytok cenností</t>
  </si>
  <si>
    <t>T0200 (P5M)</t>
  </si>
  <si>
    <t xml:space="preserve"> - Nadobudnutie mínus úbytok nefinančných neprodukovaných aktív</t>
  </si>
  <si>
    <t>T0200 (NP)</t>
  </si>
  <si>
    <t>T0200 (D9)</t>
  </si>
  <si>
    <t>Čisté pôžičky poskytnuté / prijaté</t>
  </si>
  <si>
    <t>Likvidné finančné aktíva</t>
  </si>
  <si>
    <t>2021F</t>
  </si>
  <si>
    <t>Oslobodenie príjmov z predaja akcií a obchodných podielov</t>
  </si>
  <si>
    <t>Výdavky VS</t>
  </si>
  <si>
    <t>- hotovostný deficit ŠR</t>
  </si>
  <si>
    <t>- prostriedky ŠP využité na financovanie hotovostného deficitu ŠR</t>
  </si>
  <si>
    <t>- zadlženie ostatných subjektov VS</t>
  </si>
  <si>
    <t>z toho: Samospráva (obce a VÚC)</t>
  </si>
  <si>
    <t>- emisný diskont</t>
  </si>
  <si>
    <t>- diskont pri splatnosti</t>
  </si>
  <si>
    <t>- ostatné</t>
  </si>
  <si>
    <t xml:space="preserve">z toho:  príspevok zmeny prognózy nom. HDP </t>
  </si>
  <si>
    <t xml:space="preserve">             príspevok zmeny prognózy nom. dlhu</t>
  </si>
  <si>
    <t>NRVS</t>
  </si>
  <si>
    <t>Ostatné*</t>
  </si>
  <si>
    <t>z toho: Dávky v nezamestnanosti</t>
  </si>
  <si>
    <t>Ostatné**</t>
  </si>
  <si>
    <t>Saldo verejnej správy</t>
  </si>
  <si>
    <t>Pozn.: * P.11+P.12+P131+D.39rec+D.7rec+D.9rec (iné ako D.91rec)</t>
  </si>
  <si>
    <t>Ostatné</t>
  </si>
  <si>
    <t>Nemecko</t>
  </si>
  <si>
    <t>Daňová medzera podľa EK</t>
  </si>
  <si>
    <t>Daňová medzera podľa MFSR</t>
  </si>
  <si>
    <t>Kapitál</t>
  </si>
  <si>
    <t>Popis</t>
  </si>
  <si>
    <t/>
  </si>
  <si>
    <t>2022 NRVS</t>
  </si>
  <si>
    <t xml:space="preserve"> - zmena záruk SR v EFSF</t>
  </si>
  <si>
    <t>D.29A</t>
  </si>
  <si>
    <t>D.6P</t>
  </si>
  <si>
    <t>p.m. príspevok do ESM</t>
  </si>
  <si>
    <t>NPC 2022</t>
  </si>
  <si>
    <t>2022F</t>
  </si>
  <si>
    <t>Prod. medzera (% pot. HDP)</t>
  </si>
  <si>
    <t>MFSR (Sept)</t>
  </si>
  <si>
    <t>MFSR (Jún)</t>
  </si>
  <si>
    <t>EK (Máj)</t>
  </si>
  <si>
    <t>Znížená sadzba DPH na ďalšie potraviny</t>
  </si>
  <si>
    <t>Zvýšenie spotrebnej dane z tabakových výrobkov</t>
  </si>
  <si>
    <t>Zvýšenie nezdaniteľnej časti základu dane na 21-násobok životného minima</t>
  </si>
  <si>
    <t>Celkové sociálne transfery, z toho:</t>
  </si>
  <si>
    <t>Súkromná spotreba</t>
  </si>
  <si>
    <t>Verejná spotreba</t>
  </si>
  <si>
    <t>Investície</t>
  </si>
  <si>
    <t>Čistý export</t>
  </si>
  <si>
    <t>Zásoby a štat. disk.</t>
  </si>
  <si>
    <t>Prognóza MFSR (sept)</t>
  </si>
  <si>
    <t>Prognóza EK (jar)</t>
  </si>
  <si>
    <t>Produkčná medzera (% z pot, HDP)</t>
  </si>
  <si>
    <t>Zamestnanosť (ESA)</t>
  </si>
  <si>
    <t>Prognóza EK (leto)</t>
  </si>
  <si>
    <t>Inflácia (HICP)</t>
  </si>
  <si>
    <t>Import tovarov a služieb</t>
  </si>
  <si>
    <t>Export tovarov a služieb</t>
  </si>
  <si>
    <t>Celkové investície</t>
  </si>
  <si>
    <t>Reálne HDP</t>
  </si>
  <si>
    <r>
      <t> </t>
    </r>
    <r>
      <rPr>
        <b/>
        <sz val="9"/>
        <color theme="1"/>
        <rFont val="Arial Narrow"/>
        <family val="2"/>
        <charset val="238"/>
      </rPr>
      <t>Ukazovateľ (rast v % ak nie je uvedené inak)</t>
    </r>
  </si>
  <si>
    <t xml:space="preserve">   </t>
  </si>
  <si>
    <t>Súbor opatrení vedúci k zvýšeniu efektívnosti výberu DPH</t>
  </si>
  <si>
    <t>Zvýšenie hranice platenia preddavkov (z 2500 na 5000 eur)</t>
  </si>
  <si>
    <t>Odpočet daňovej straty pre ostatné firmy (max. do 50 % ZD počas 5 rokov)</t>
  </si>
  <si>
    <t>Ľubovoľná doba odpisov pre mikropodniky</t>
  </si>
  <si>
    <t>** D.29p+D.5p+D.7p+P.5M+NP</t>
  </si>
  <si>
    <t>TABUĽKA 9: Výdavkové opatrenia zahrnuté v návrhu rozpočtu verejnej správy (ESA 2010, porovnanie voči NPC)</t>
  </si>
  <si>
    <t> v %, ak nie je uvedené inak</t>
  </si>
  <si>
    <t>Výbor</t>
  </si>
  <si>
    <t>MFSR</t>
  </si>
  <si>
    <t>Hrubý domáci produkt; reálny rast</t>
  </si>
  <si>
    <t>Hrubý domáci produkt v bežných cenách; mld. eur</t>
  </si>
  <si>
    <t>Konečná spotreba domácností; reálny rast</t>
  </si>
  <si>
    <t>Konečná spotreba domácností; nominálny rast</t>
  </si>
  <si>
    <t>Priemerná mesačná mzda; reálny rast</t>
  </si>
  <si>
    <t>Priemerná mesačná mzda; nominálny rast</t>
  </si>
  <si>
    <t>Rast zamestnanosti (štat. výkazníctvo)</t>
  </si>
  <si>
    <t>Index spotrebiteľských cien; priemerný rast; CPI</t>
  </si>
  <si>
    <t>Hrubý dlh VS</t>
  </si>
  <si>
    <t>Others</t>
  </si>
  <si>
    <t>Input data</t>
  </si>
  <si>
    <t>Figure 1</t>
  </si>
  <si>
    <t>Figure 2</t>
  </si>
  <si>
    <t>Figure 3</t>
  </si>
  <si>
    <t>Figure 4</t>
  </si>
  <si>
    <t>GDP</t>
  </si>
  <si>
    <t>Headline inflation</t>
  </si>
  <si>
    <t>Net inflation</t>
  </si>
  <si>
    <t>Food prices</t>
  </si>
  <si>
    <t>Regulated prices</t>
  </si>
  <si>
    <t>Change in indirect taxes</t>
  </si>
  <si>
    <t>Figure 7</t>
  </si>
  <si>
    <t>Employment</t>
  </si>
  <si>
    <t>Public administration</t>
  </si>
  <si>
    <t>Market services</t>
  </si>
  <si>
    <t>Industry</t>
  </si>
  <si>
    <t>Construction</t>
  </si>
  <si>
    <t>Agriculture</t>
  </si>
  <si>
    <t>Germany</t>
  </si>
  <si>
    <t>Output gap
(% pot. GDP)</t>
  </si>
  <si>
    <t>Pot. GDP (growth, %)</t>
  </si>
  <si>
    <t>Capital stock</t>
  </si>
  <si>
    <t>MoF SR (Sept)</t>
  </si>
  <si>
    <t>MoF SR (June)</t>
  </si>
  <si>
    <t>EC (May)</t>
  </si>
  <si>
    <t>Total</t>
  </si>
  <si>
    <t>2020 E</t>
  </si>
  <si>
    <t>2021 E</t>
  </si>
  <si>
    <t>Cyklical component</t>
  </si>
  <si>
    <t>One-off effects</t>
  </si>
  <si>
    <t>Structural balance (1-2-3)</t>
  </si>
  <si>
    <t xml:space="preserve">Consolidation effort </t>
  </si>
  <si>
    <t>2022 E</t>
  </si>
  <si>
    <t>Total expenditure</t>
  </si>
  <si>
    <t>1.   Total expenditure</t>
  </si>
  <si>
    <t>2.   Interest expense</t>
  </si>
  <si>
    <t>3.   Expenditure covered by EU (capital)</t>
  </si>
  <si>
    <t>3a. Expenditure covered by EU funds (total)</t>
  </si>
  <si>
    <t>4.   Capital expenditures covered by national funds</t>
  </si>
  <si>
    <t>5.   Smoothed capital expenditures (national funds 4-year moving average)</t>
  </si>
  <si>
    <t>6.   Cyclical expenditures for unemployment benefits</t>
  </si>
  <si>
    <t xml:space="preserve">7.   Expenditures fully matched with automatic rise of revenues </t>
  </si>
  <si>
    <t>8.   Primary expenditure aggregate (1-2-3a-4+5-6-7)</t>
  </si>
  <si>
    <t>9.  Year-on-year change in primary expenditure aggregate (8t-8t-1)</t>
  </si>
  <si>
    <t>10. Change of revenues due to discretionary revenue measures</t>
  </si>
  <si>
    <t>11. One-offs - revenue</t>
  </si>
  <si>
    <t>12. One-offs - expenditure</t>
  </si>
  <si>
    <t>13. Adjustments</t>
  </si>
  <si>
    <t>14. Nominal growth of expenditure aggregate net of revenue measures ((9t-10t)/8t-1)</t>
  </si>
  <si>
    <t>15. Real growth of expenditure aggregate net of revenue measures</t>
  </si>
  <si>
    <t>16. Expenditure benchmark (reference rate decreased by pot. GDP growth)</t>
  </si>
  <si>
    <t>Primary balance</t>
  </si>
  <si>
    <t>Real GDP growth</t>
  </si>
  <si>
    <t>Net debt</t>
  </si>
  <si>
    <t>Real GDP</t>
  </si>
  <si>
    <t>Government consumption</t>
  </si>
  <si>
    <t>Personal consumption</t>
  </si>
  <si>
    <t>Total revenue</t>
  </si>
  <si>
    <t>Taxes on production and imports</t>
  </si>
  <si>
    <t>Current taxes on income, wealth</t>
  </si>
  <si>
    <t>Capital taxes</t>
  </si>
  <si>
    <t>Social security contributions</t>
  </si>
  <si>
    <t>Property income</t>
  </si>
  <si>
    <t>Other*</t>
  </si>
  <si>
    <t>Compensations for employees</t>
  </si>
  <si>
    <t>Intermediate consumption</t>
  </si>
  <si>
    <t>Subsidies</t>
  </si>
  <si>
    <t>Interest cost</t>
  </si>
  <si>
    <t>Total social transfers</t>
  </si>
  <si>
    <t>thereof: Unemployment benefits</t>
  </si>
  <si>
    <t>Gross fixed capital generation</t>
  </si>
  <si>
    <t>Capital transfers</t>
  </si>
  <si>
    <t>Other**</t>
  </si>
  <si>
    <t>General Government Balance</t>
  </si>
  <si>
    <t xml:space="preserve">Figure </t>
  </si>
  <si>
    <t>VAT gap (according to MF SR)</t>
  </si>
  <si>
    <t>1. General public services</t>
  </si>
  <si>
    <t>2. Defence</t>
  </si>
  <si>
    <t>3. Public order and safety</t>
  </si>
  <si>
    <t>4. Economic area</t>
  </si>
  <si>
    <t>5. Environmental protection</t>
  </si>
  <si>
    <t>6. Housing and amenities</t>
  </si>
  <si>
    <t>7. Healthcare system</t>
  </si>
  <si>
    <t>8. Recreation, culture and religion</t>
  </si>
  <si>
    <t>9. Education</t>
  </si>
  <si>
    <t>10. Social security</t>
  </si>
  <si>
    <t>No.</t>
  </si>
  <si>
    <t>Indicator</t>
  </si>
  <si>
    <t>Stability programme</t>
  </si>
  <si>
    <t>unit</t>
  </si>
  <si>
    <t>GDP, current prices</t>
  </si>
  <si>
    <t>bn. eur</t>
  </si>
  <si>
    <t>GDP, constant prices</t>
  </si>
  <si>
    <t>Final consumption of households and NPISH</t>
  </si>
  <si>
    <t>Final consumption of general government</t>
  </si>
  <si>
    <t>Export of goods and services</t>
  </si>
  <si>
    <t>Import of goods and services</t>
  </si>
  <si>
    <t>Output gap (share of potential output)</t>
  </si>
  <si>
    <t>Average monthly wage (nominal growth)</t>
  </si>
  <si>
    <t>Average employment growth (LFS)</t>
  </si>
  <si>
    <t>Average employment growth (ESA 2010)</t>
  </si>
  <si>
    <t>Average unemployment rate (LFS)</t>
  </si>
  <si>
    <t>Average unemployment rate (registered)</t>
  </si>
  <si>
    <t>Harmonized index of consumer prices (HICP)</t>
  </si>
  <si>
    <t>Source: MF SR</t>
  </si>
  <si>
    <t>Growth in %, unless otherwise stated</t>
  </si>
  <si>
    <t>Forecast EC (spring)</t>
  </si>
  <si>
    <t>Forecast EC (summer)</t>
  </si>
  <si>
    <t>Forecast MoF (sept)</t>
  </si>
  <si>
    <t>Import of goods anservices</t>
  </si>
  <si>
    <t>HICP</t>
  </si>
  <si>
    <t>Employment (ESA)</t>
  </si>
  <si>
    <t>Output gap (% of potential GDP)</t>
  </si>
  <si>
    <t>ESA code</t>
  </si>
  <si>
    <t>% GDP</t>
  </si>
  <si>
    <t>Target balances of general government</t>
  </si>
  <si>
    <t>Stability Programme (1)</t>
  </si>
  <si>
    <t>Draft Budgetary Plan (2)</t>
  </si>
  <si>
    <t>Difference (2-1)</t>
  </si>
  <si>
    <t>2019 F</t>
  </si>
  <si>
    <t>MoF forecast</t>
  </si>
  <si>
    <t>MFC median</t>
  </si>
  <si>
    <t>% unless otherwise stated</t>
  </si>
  <si>
    <t>GDP, real growth</t>
  </si>
  <si>
    <t>Final consumption of households, real growth</t>
  </si>
  <si>
    <t>Average monthly wage, nominal growth</t>
  </si>
  <si>
    <t>Average monthly wage, real growth</t>
  </si>
  <si>
    <t>Employment growth</t>
  </si>
  <si>
    <t>Mof SR</t>
  </si>
  <si>
    <t>MFC</t>
  </si>
  <si>
    <t>A. General government gross debt (as of 1 Jan)</t>
  </si>
  <si>
    <t>B. Total y/y change in the GG gross debt</t>
  </si>
  <si>
    <t>- Cash-based state budget deficit</t>
  </si>
  <si>
    <t>- State Treasury funds used for the financing of government operations</t>
  </si>
  <si>
    <t>- Slovakia's contributions to EFSF and ESM</t>
  </si>
  <si>
    <t>- Issue discount</t>
  </si>
  <si>
    <t>- Discount at maturity</t>
  </si>
  <si>
    <t>- Balance of loans to GG entities</t>
  </si>
  <si>
    <t>thereof: ŽSR + ŽSSK</t>
  </si>
  <si>
    <t>thereof: NDS</t>
  </si>
  <si>
    <t>thereof: Municipal public transportation companies</t>
  </si>
  <si>
    <t xml:space="preserve">thereof: Local government </t>
  </si>
  <si>
    <t xml:space="preserve"> - other</t>
  </si>
  <si>
    <t>C. General government gross debt (as of 31 Dec)</t>
  </si>
  <si>
    <t>in % of GDP</t>
  </si>
  <si>
    <t>D. Change of general government gross debt against Stability Programme (p.p.)</t>
  </si>
  <si>
    <t>thereof: GDP forecast revision</t>
  </si>
  <si>
    <t>thereof: Debt forecast revision</t>
  </si>
  <si>
    <t>Note: Plus amounts increase the general government debt as at 31 December of the relevant year, minus amounts decrease the debt.</t>
  </si>
  <si>
    <t>GG Expenditure</t>
  </si>
  <si>
    <t>Compensation of which:</t>
  </si>
  <si>
    <t>TABLE 9 - Expenditure measures included in the draft general government budget (ESA 2010, NPC comparison)</t>
  </si>
  <si>
    <t>Private consumption</t>
  </si>
  <si>
    <t>Public consumption</t>
  </si>
  <si>
    <t>Investments</t>
  </si>
  <si>
    <t>Inventories and stat. disc.</t>
  </si>
  <si>
    <t>Net export</t>
  </si>
  <si>
    <t>Labour</t>
  </si>
  <si>
    <t>Total investments</t>
  </si>
  <si>
    <t>Final consumption of households, nominal growth</t>
  </si>
  <si>
    <t>CPI (average growth)</t>
  </si>
  <si>
    <t>* Výbor pre makroekonomické prognózy                                                                                                                                                Zdroj: Výbor pre makroekonomické prognózy</t>
  </si>
  <si>
    <t>Draft budgetary plan</t>
  </si>
  <si>
    <t>Current account balance (share of GDP)</t>
  </si>
  <si>
    <t>S&amp;P</t>
  </si>
  <si>
    <t>Eurostoxx 50</t>
  </si>
  <si>
    <t>DAX</t>
  </si>
  <si>
    <t>Shanghai Composite</t>
  </si>
  <si>
    <t>2023F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</si>
  <si>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</si>
  <si>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</si>
  <si>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</si>
  <si>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</si>
  <si>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</si>
  <si>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</si>
  <si>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</si>
  <si>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</si>
  <si>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</si>
  <si>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</si>
  <si>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</si>
  <si>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</si>
  <si>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</si>
  <si>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</si>
  <si>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</si>
  <si>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</si>
  <si>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</si>
  <si>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</si>
  <si>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</si>
  <si>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</si>
  <si>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</si>
  <si>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</si>
  <si>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</si>
  <si>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</si>
  <si>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vážená EA+V3</t>
  </si>
  <si>
    <t>Česko</t>
  </si>
  <si>
    <t>Poľsko</t>
  </si>
  <si>
    <t>Maďarsko</t>
  </si>
  <si>
    <t>eurozóna</t>
  </si>
  <si>
    <t>weighted EA+V3</t>
  </si>
  <si>
    <t>euro area</t>
  </si>
  <si>
    <t>Czechia</t>
  </si>
  <si>
    <t>Poland</t>
  </si>
  <si>
    <t>Hungary</t>
  </si>
  <si>
    <t>Oprava základu dane DPH pri dodaní tovaru alebo služby</t>
  </si>
  <si>
    <t>Zrušenie oslobodenia od DPH pri zásielkach do 22 eur z 3. krajín</t>
  </si>
  <si>
    <t>NBS (Sept)</t>
  </si>
  <si>
    <t>S</t>
  </si>
  <si>
    <t>Priemerná medzera v EÚ podľa EK</t>
  </si>
  <si>
    <t>VAT gap (according to EC)</t>
  </si>
  <si>
    <t>Average VAT gap in EU (according to EC)</t>
  </si>
  <si>
    <t>NPC 2023</t>
  </si>
  <si>
    <t>Daň z nehnuteľnosti a iné</t>
  </si>
  <si>
    <t>Osobitný odvod vybraných fin. inštitúcii</t>
  </si>
  <si>
    <t>EKRK 192</t>
  </si>
  <si>
    <t>Odvod z hazardných hier</t>
  </si>
  <si>
    <t>EKRK 292008 T0900 D.214F</t>
  </si>
  <si>
    <t>Daň z motorových vozidiel</t>
  </si>
  <si>
    <t>EKRK 134002 ŠR T9 D.29B</t>
  </si>
  <si>
    <t>Emisné kvóty - príjem z predaja</t>
  </si>
  <si>
    <t>EKRK 229006 NTL</t>
  </si>
  <si>
    <t>reziduál D.2</t>
  </si>
  <si>
    <t>Osobitný odvod z podnikania v regul. odvetiach</t>
  </si>
  <si>
    <t>EKRK 194</t>
  </si>
  <si>
    <t>reziduál D.5</t>
  </si>
  <si>
    <t xml:space="preserve"> - Príspevky od domácností</t>
  </si>
  <si>
    <t>Transfery NO, cirkvi, súkr. školám a pod.</t>
  </si>
  <si>
    <t>ŠR EKRK 642001+2+4+5+6+7+9+10, bez EÚ</t>
  </si>
  <si>
    <t>Nešpecifikované opatrenia v RVS oproti rozpočtovým cieľom</t>
  </si>
  <si>
    <t>Unspecified measures</t>
  </si>
  <si>
    <t>GRAF 12 - Plnenie schváleného rozpočtu - rozdiely na hlavných položkách (ESA 2010), príspevky v mil. eur</t>
  </si>
  <si>
    <t>FIGURE 12 - Analytical description of GG balance development in 2020 (ESA 2010), contributions in EUR mil.</t>
  </si>
  <si>
    <t>2020 development</t>
  </si>
  <si>
    <t>Changes</t>
  </si>
  <si>
    <t>Sum</t>
  </si>
  <si>
    <t>Crossing X-axis</t>
  </si>
  <si>
    <t>Fill</t>
  </si>
  <si>
    <t>Change</t>
  </si>
  <si>
    <t>Expendutere measures in fight COVID 19</t>
  </si>
  <si>
    <t xml:space="preserve">TABUĽKA 5: Konsolidačné úsilie v metodike EK (ESA 2010, % HDP) </t>
  </si>
  <si>
    <t>2023 NRVS</t>
  </si>
  <si>
    <t>-</t>
  </si>
  <si>
    <t>2023 E</t>
  </si>
  <si>
    <t>Net lending/borrowing - target</t>
  </si>
  <si>
    <t>p.m. Necessary measures to achieve the targets (EUR million)</t>
  </si>
  <si>
    <t xml:space="preserve">TABLE 5: Consolidation effort in EC methodology (ESA 2010, % GDP) </t>
  </si>
  <si>
    <t>Odpustenie platby odvodov pre zavreté prevádzky</t>
  </si>
  <si>
    <t>Vývoj v roku 2021</t>
  </si>
  <si>
    <t>Platba DPH koncesionára stavby D4/R7</t>
  </si>
  <si>
    <t>Navýšenie bankového odvodu a jeho zrušenie od 2. pol 2020</t>
  </si>
  <si>
    <t>Opatrenia na podporu mobility práce</t>
  </si>
  <si>
    <t>Možnosť započítania doteraz neuplatnenej daňovej straty za roky 2015-2018</t>
  </si>
  <si>
    <t>Zmeny v zdaňovaní motorových vozidiel</t>
  </si>
  <si>
    <t>Payment of VAT by the construction  D4 / R7</t>
  </si>
  <si>
    <t>Nešpecifikované opatrenia</t>
  </si>
  <si>
    <t>Kompenzácie, z toho:</t>
  </si>
  <si>
    <t>Medzispotreba, z toho:</t>
  </si>
  <si>
    <t>Subvencie, z toho:</t>
  </si>
  <si>
    <t>Intermediate consumption, of which:</t>
  </si>
  <si>
    <t>Subsidies, of which:</t>
  </si>
  <si>
    <t>Other current transfers, of which:</t>
  </si>
  <si>
    <t>GRAF 1: Príspevky k rastu HDP - prognóza (p.b.)</t>
  </si>
  <si>
    <t>Figure 1: Contributions to the GDP growth - forecast (p.p.)</t>
  </si>
  <si>
    <t>Graf 29</t>
  </si>
  <si>
    <t>Figure 29</t>
  </si>
  <si>
    <t>GRAF 29: Porovnanie prognóz makroekonomických základní pre rozpočtové príjmy s členmi výboru</t>
  </si>
  <si>
    <t>Figure 29: Comparison of forecasts of macroeconomic bases for tax revenues with MFC members</t>
  </si>
  <si>
    <t>spodná hranica</t>
  </si>
  <si>
    <t>75. percentil</t>
  </si>
  <si>
    <t>horná hranica</t>
  </si>
  <si>
    <t>25. percentil</t>
  </si>
  <si>
    <t>lower bound</t>
  </si>
  <si>
    <t>25th percentile</t>
  </si>
  <si>
    <t>75th percentile</t>
  </si>
  <si>
    <t>upper bound</t>
  </si>
  <si>
    <t xml:space="preserve">Kumulatívna zmena rastu jednotlivých premenných oproti základnému scenáru je v p.b. </t>
  </si>
  <si>
    <t>Zmena daňových príjmov sa uvádza ako zmena oproti zákl. scenáru, hrubý dlh VS sa uvádza ako kumulatívna zmena na základe zmeny príjmov</t>
  </si>
  <si>
    <t>Spotrebné ceny</t>
  </si>
  <si>
    <t>Produkčná medzera</t>
  </si>
  <si>
    <t>Súkromná</t>
  </si>
  <si>
    <t>spotreba</t>
  </si>
  <si>
    <t>Vládna spotreba</t>
  </si>
  <si>
    <t>Reálne investície</t>
  </si>
  <si>
    <t>Reálny export</t>
  </si>
  <si>
    <t>Zamestnanosť</t>
  </si>
  <si>
    <t>Nominálne mzdy</t>
  </si>
  <si>
    <t>(% HDP)</t>
  </si>
  <si>
    <t>Dlh VS</t>
  </si>
  <si>
    <t>Cumulative change of growth of individual variables in p.p.</t>
  </si>
  <si>
    <t>Change in tax revenues is shown as a difference from the baseline scenario, gross general government debt is shown as a cumulative change based on change in tax revenues</t>
  </si>
  <si>
    <t>CPI</t>
  </si>
  <si>
    <t>Output gap</t>
  </si>
  <si>
    <t>Private</t>
  </si>
  <si>
    <t>consumption</t>
  </si>
  <si>
    <t>Real investment</t>
  </si>
  <si>
    <t>Real export</t>
  </si>
  <si>
    <t>Nominal wages</t>
  </si>
  <si>
    <t>Tax revenues</t>
  </si>
  <si>
    <t>(% GDP)</t>
  </si>
  <si>
    <t>GG debt</t>
  </si>
  <si>
    <t>Source: MoF SR</t>
  </si>
  <si>
    <t>Člen výboru</t>
  </si>
  <si>
    <t xml:space="preserve">Charakteristika prognózy </t>
  </si>
  <si>
    <t>realistická</t>
  </si>
  <si>
    <t>MFC member</t>
  </si>
  <si>
    <t>Assessment</t>
  </si>
  <si>
    <t>realistic</t>
  </si>
  <si>
    <t>NBS, Infostat, Tatra banka, ČSOB, KRRZ, SLSP, UniCredit Bank, VÚB</t>
  </si>
  <si>
    <t>TFC member</t>
  </si>
  <si>
    <t>Total social transfers, of which:</t>
  </si>
  <si>
    <t>D. Zmena hrubého dlhu oproti Programu stability SR 2020 - 2023 (p.b.)</t>
  </si>
  <si>
    <r>
      <t>TFP</t>
    </r>
    <r>
      <rPr>
        <b/>
        <vertAlign val="superscript"/>
        <sz val="9"/>
        <color theme="1"/>
        <rFont val="Arial Narrow"/>
        <family val="2"/>
        <charset val="238"/>
      </rPr>
      <t>*</t>
    </r>
  </si>
  <si>
    <r>
      <t xml:space="preserve">Pozn.: </t>
    </r>
    <r>
      <rPr>
        <i/>
        <sz val="9"/>
        <color rgb="FF000000"/>
        <rFont val="Arial Narrow"/>
        <family val="2"/>
        <charset val="238"/>
      </rPr>
      <t>(+) zvýšenie výdavkov a zníženie prijímov</t>
    </r>
  </si>
  <si>
    <r>
      <t xml:space="preserve">Note: </t>
    </r>
    <r>
      <rPr>
        <i/>
        <sz val="9"/>
        <color rgb="FF000000"/>
        <rFont val="Arial Narrow"/>
        <family val="2"/>
        <charset val="238"/>
      </rPr>
      <t>(+) expenditure increase and revenue decrease</t>
    </r>
  </si>
  <si>
    <r>
      <t>*</t>
    </r>
    <r>
      <rPr>
        <sz val="9"/>
        <color theme="1"/>
        <rFont val="Arial Narrow"/>
        <family val="2"/>
        <charset val="238"/>
      </rPr>
      <t xml:space="preserve"> 2018 – priebežný monitoring plnenia RVS 2018</t>
    </r>
  </si>
  <si>
    <t>p.m. ESM contribution</t>
  </si>
  <si>
    <t>Materiál</t>
  </si>
  <si>
    <t>Document</t>
  </si>
  <si>
    <t>ESA2010 bilancia VS</t>
  </si>
  <si>
    <t>ESA2010 Table</t>
  </si>
  <si>
    <t>2024F</t>
  </si>
  <si>
    <t>Spolu opatrenia 1 až 4B (Kurzarbeit)</t>
  </si>
  <si>
    <t>Total measures 1 to 4B (Kurzarbeit)</t>
  </si>
  <si>
    <t>Podpora podnikania v cestovnom ruchu a gastro</t>
  </si>
  <si>
    <t>Business support in tourism and gastronomy</t>
  </si>
  <si>
    <t>Podpora podnikania v oblasti kultúry a kreatívneho priemyslu</t>
  </si>
  <si>
    <t>Entrepreneurship support in the field of culture and creative industries</t>
  </si>
  <si>
    <t>Preplácanie nájmu</t>
  </si>
  <si>
    <t>Rent repayment</t>
  </si>
  <si>
    <t xml:space="preserve">Podpora uchádzačov o zamestnanie </t>
  </si>
  <si>
    <t>Support for jobseekers</t>
  </si>
  <si>
    <t xml:space="preserve">SOS príspevok </t>
  </si>
  <si>
    <t>First aid allowance</t>
  </si>
  <si>
    <t>Rodičovský príspevok (predĺženie počas obdobia mimoriadneho stavu)</t>
  </si>
  <si>
    <t>Parental allowance (extension of the period of receipt)</t>
  </si>
  <si>
    <t>Dávka v nezamestnanosti (predĺženie obdobia poberania)</t>
  </si>
  <si>
    <t>Unemployment benefit (extension of the acquisition period)</t>
  </si>
  <si>
    <t>Sickness (PN) - benefits paid above the level of 2019 (indexed)</t>
  </si>
  <si>
    <t>Nursing allowances (OČR) - benefits paid above the level of 2019 (indexed)</t>
  </si>
  <si>
    <t>Odpustenie sociálnych odvodov za apríl</t>
  </si>
  <si>
    <t>Waiver of social security contributions for April</t>
  </si>
  <si>
    <t xml:space="preserve">Odpočet firemných strát z rokov 2015-18 </t>
  </si>
  <si>
    <t>Deduction of company losses from 2015-18</t>
  </si>
  <si>
    <t>Nesplatenie časti odložených odvodov</t>
  </si>
  <si>
    <t>Non - payment of part of deferred levies</t>
  </si>
  <si>
    <t xml:space="preserve">Nulová daň z pridanej hodnoty na respirátory FFP2/3 </t>
  </si>
  <si>
    <t>Zero VAT on FFP2 / 3 respirators</t>
  </si>
  <si>
    <t>Odmeny pracovníkom v zdravotníctve</t>
  </si>
  <si>
    <t>Remuneration of health care workers</t>
  </si>
  <si>
    <t>Platba doktorom špecielistom</t>
  </si>
  <si>
    <t>Payment to a medical specialists</t>
  </si>
  <si>
    <t>Zvýšené výdavky - ventilátory a iné</t>
  </si>
  <si>
    <t>Increased expenses - fans and others</t>
  </si>
  <si>
    <t>Výdavky na testovanie</t>
  </si>
  <si>
    <t>Testing expenses</t>
  </si>
  <si>
    <t>Náklady na lieky a vakcínáciu</t>
  </si>
  <si>
    <t>Drug and vaccine costs</t>
  </si>
  <si>
    <t>Zariadenie a iné výdavky ZZ</t>
  </si>
  <si>
    <t>Equipment and other expenses of medical facilities</t>
  </si>
  <si>
    <t>Tvorba pohotovostných zásob (mimo testov)</t>
  </si>
  <si>
    <t>Creation of emergency stocks (excluding tests)</t>
  </si>
  <si>
    <t>Odmeny pracovníkom v prvej línii (mimo MZ)</t>
  </si>
  <si>
    <t>Remuneration of employees in the first line (outside the Ministry of Health)</t>
  </si>
  <si>
    <t>Tovary a služby súvisiace s COVID-19 (dezinfekcia, iné)</t>
  </si>
  <si>
    <t>Goods and services related to COVID-19 (disinfection, other)</t>
  </si>
  <si>
    <t>Dotačné schémy rôznym sektorom / subjektom</t>
  </si>
  <si>
    <t>Subsidy schemes for various sectors / entities</t>
  </si>
  <si>
    <t>Opatrenia hospodárskej mobilizácie</t>
  </si>
  <si>
    <t>Economic mobilization measures</t>
  </si>
  <si>
    <t>Vklad do základného imania Slovenskej záručnej a rozvojovej banky</t>
  </si>
  <si>
    <t>Contribution to the capital of the Slovak Guarantee and Development Bank</t>
  </si>
  <si>
    <t>Vklad do základného imania Letových prevádzkových služieb</t>
  </si>
  <si>
    <t>Contribution to the capital of Air Traffic Services</t>
  </si>
  <si>
    <t xml:space="preserve">Ostatné </t>
  </si>
  <si>
    <t>Financovanie z EU zdrojov</t>
  </si>
  <si>
    <t>EU funding</t>
  </si>
  <si>
    <t xml:space="preserve">Spolu  </t>
  </si>
  <si>
    <t>Jednorazový príspevok na dieťa</t>
  </si>
  <si>
    <t>GRAF 3: Predpokladaná realizácia investícií z EÚ fondov a plánu obnovy (v mil. eur, b. c.)</t>
  </si>
  <si>
    <t>EU funds</t>
  </si>
  <si>
    <t>EÚ fondy</t>
  </si>
  <si>
    <t>RRP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</si>
  <si>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</si>
  <si>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</si>
  <si>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</si>
  <si>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</si>
  <si>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</si>
  <si>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</si>
  <si>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</si>
  <si>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</si>
  <si>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</si>
  <si>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</si>
  <si>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</si>
  <si>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</si>
  <si>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</si>
  <si>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</si>
  <si>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</si>
  <si>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</si>
  <si>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</si>
  <si>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</si>
  <si>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</si>
  <si>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</si>
  <si>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</si>
  <si>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</si>
  <si>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</si>
  <si>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</si>
  <si>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</si>
  <si>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</si>
  <si>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</si>
  <si>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</si>
  <si>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MV feb 2020</t>
  </si>
  <si>
    <t>MV sep 2021</t>
  </si>
  <si>
    <t>MV sep 2021 bez RRP</t>
  </si>
  <si>
    <t>MFSR Forecast feb 2020</t>
  </si>
  <si>
    <t>MFSR Forecast sep 2021</t>
  </si>
  <si>
    <t>MFSR Forecast sep 2021 without RRP</t>
  </si>
  <si>
    <t>GRAF 4: Prognóza reálneho HDP (index 4Q2019=100, sezónne očistené)</t>
  </si>
  <si>
    <t>Figure 3: Preliminary plan of allocating investments from EU funds and RRP (mil. eur)</t>
  </si>
  <si>
    <t>Figure 4: Real GDP forecast (index 4Q2019=100, seasonally adjusted)</t>
  </si>
  <si>
    <t>Graf 8</t>
  </si>
  <si>
    <t>Figure 8</t>
  </si>
  <si>
    <t>Prognóza MV</t>
  </si>
  <si>
    <t>MFSR Forecast</t>
  </si>
  <si>
    <t>Spotreba domácností</t>
  </si>
  <si>
    <t>Consumption of households</t>
  </si>
  <si>
    <t>z</t>
  </si>
  <si>
    <t>NBS, RRZ, SLSP, Tatrabanka, Infostat, SAV, Unicredit, ČSOB</t>
  </si>
  <si>
    <t>Source: Macroeconomic forecast committee</t>
  </si>
  <si>
    <t>Reported</t>
  </si>
  <si>
    <t>2020 S</t>
  </si>
  <si>
    <t>2021 OS</t>
  </si>
  <si>
    <t>2024 NRVS</t>
  </si>
  <si>
    <t>NPC 2024</t>
  </si>
  <si>
    <t>Dane a odvody (mil. eur)</t>
  </si>
  <si>
    <t>Taxes and Social contributions (EUR, million)</t>
  </si>
  <si>
    <t>HDP (mil. eur)</t>
  </si>
  <si>
    <t>GDP (EUR, million)</t>
  </si>
  <si>
    <t>Dane a odvody (%)</t>
  </si>
  <si>
    <t>Taxes and Social contributions (%, y-o-y)</t>
  </si>
  <si>
    <t>GDP (%, y-o-y)</t>
  </si>
  <si>
    <t>HDP (%)</t>
  </si>
  <si>
    <t>Graf xx1</t>
  </si>
  <si>
    <t>Graf xx2</t>
  </si>
  <si>
    <t>DPPO očistené o legislatívu (mil. eur)</t>
  </si>
  <si>
    <t>DPPO očistené o legislatívu (%)</t>
  </si>
  <si>
    <t>CIT adjusted for legislative changes (EUR, million)</t>
  </si>
  <si>
    <t>CIT adjusted for legislative changes (%, y-o-y)</t>
  </si>
  <si>
    <t>Graf xx4</t>
  </si>
  <si>
    <t>Figure xx4</t>
  </si>
  <si>
    <t>Q1_2007</t>
  </si>
  <si>
    <t>Q2_2007</t>
  </si>
  <si>
    <t>Q3_2007</t>
  </si>
  <si>
    <t>Q4_2007</t>
  </si>
  <si>
    <t>Q1_2008</t>
  </si>
  <si>
    <t>Q2_2008</t>
  </si>
  <si>
    <t>Q3_2008</t>
  </si>
  <si>
    <t>Q4_2008</t>
  </si>
  <si>
    <t>Q1_2009</t>
  </si>
  <si>
    <t>Q2_2009</t>
  </si>
  <si>
    <t>Q3_2009</t>
  </si>
  <si>
    <t>Q4_2009</t>
  </si>
  <si>
    <t>Q1_2010</t>
  </si>
  <si>
    <t>Q2_2010</t>
  </si>
  <si>
    <t>Q3_2010</t>
  </si>
  <si>
    <t>Q4_2010</t>
  </si>
  <si>
    <t>Q1_2011</t>
  </si>
  <si>
    <t>Q2_2011</t>
  </si>
  <si>
    <t>Q3_2011</t>
  </si>
  <si>
    <t>Q4_2011</t>
  </si>
  <si>
    <t>Q1_2012</t>
  </si>
  <si>
    <t>Q2_2012</t>
  </si>
  <si>
    <t>Q3_2012</t>
  </si>
  <si>
    <t>Q4_2012</t>
  </si>
  <si>
    <t>Q1_2013</t>
  </si>
  <si>
    <t>Q2_2013</t>
  </si>
  <si>
    <t>Q3_2013</t>
  </si>
  <si>
    <t>Q4_2013</t>
  </si>
  <si>
    <t>Q1_2014</t>
  </si>
  <si>
    <t>Q2_2014</t>
  </si>
  <si>
    <t>Q3_2014</t>
  </si>
  <si>
    <t>Q4_2014</t>
  </si>
  <si>
    <t>Q1_2015</t>
  </si>
  <si>
    <t>Q2_2015</t>
  </si>
  <si>
    <t>Q3_2015</t>
  </si>
  <si>
    <t>Q4_2015</t>
  </si>
  <si>
    <t>Q1_2016</t>
  </si>
  <si>
    <t>Q2_2016</t>
  </si>
  <si>
    <t>Q3_2016</t>
  </si>
  <si>
    <t>Q4_2016</t>
  </si>
  <si>
    <t>Q1_2017</t>
  </si>
  <si>
    <t>Q2_2017</t>
  </si>
  <si>
    <t>Q3_2017</t>
  </si>
  <si>
    <t>Q4_2017</t>
  </si>
  <si>
    <t>Q1_2018</t>
  </si>
  <si>
    <t>Q2_2018</t>
  </si>
  <si>
    <t>Q3_2018</t>
  </si>
  <si>
    <t>Q4_2018</t>
  </si>
  <si>
    <t>Q1_2019</t>
  </si>
  <si>
    <t>Q2_2019</t>
  </si>
  <si>
    <t>Q3_2019</t>
  </si>
  <si>
    <t>Q4_2019</t>
  </si>
  <si>
    <t>Q1_2020</t>
  </si>
  <si>
    <t>Q2_2020</t>
  </si>
  <si>
    <t>Q3_2020</t>
  </si>
  <si>
    <t>Q4_2020</t>
  </si>
  <si>
    <t>Q1_2021</t>
  </si>
  <si>
    <t>Q2_2021</t>
  </si>
  <si>
    <t>Effective tax rate (%)</t>
  </si>
  <si>
    <t>Efektívna daňová sadzba (%)</t>
  </si>
  <si>
    <t>p.m. EÚ fondy</t>
  </si>
  <si>
    <t>p.m. RRF</t>
  </si>
  <si>
    <t>GRAF 28 - Porovnanie vývoja výdavkov VS (% HDP)</t>
  </si>
  <si>
    <t>Figure 28: Development of the general government expenditures (% GDP)</t>
  </si>
  <si>
    <t>Graf 28</t>
  </si>
  <si>
    <t>Figure 28</t>
  </si>
  <si>
    <t>2022 N</t>
  </si>
  <si>
    <t>2023 N</t>
  </si>
  <si>
    <t>2024 N</t>
  </si>
  <si>
    <t>Eurozóna 19</t>
  </si>
  <si>
    <t>Slovensko</t>
  </si>
  <si>
    <t>Slovakia</t>
  </si>
  <si>
    <t>Eurozone 19</t>
  </si>
  <si>
    <t>SK               (2019)</t>
  </si>
  <si>
    <t>NRVS SK               (2022)</t>
  </si>
  <si>
    <t>NRVS SK             (2023)</t>
  </si>
  <si>
    <t>NRVS SK            (2024)</t>
  </si>
  <si>
    <t>V3          (2019)</t>
  </si>
  <si>
    <t>EA 19        (2019)</t>
  </si>
  <si>
    <t>TABUĽKA 7: Výdavky verejnej správy podľa klasifikácie COFOG</t>
  </si>
  <si>
    <t>Table 7: General government expenditure by COFOG classification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</si>
  <si>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                                                                                                                                                                                Pozn 2.:Údaj o verejných výdavkoch na zdravotníctvo vo výške 7,7% HDP v roku 2019 vychádza z metodiky COFOG a ESA 2010. Podľa metodiky SHA (System of Health Accounts) a dát OECD výdavky na zdravotníctvo sa odhadujú v roku 2019 na úrovni 5,6% HDP. COFOG a ESA 2010 dvakrát započítavajú výdavky verejných nemocníc.</t>
  </si>
  <si>
    <t xml:space="preserve">   rezerva na mzdy a poistné</t>
  </si>
  <si>
    <t xml:space="preserve">   rezerva na riešenie vplyvov legislatívnych zmien</t>
  </si>
  <si>
    <t xml:space="preserve">   vplyv nulovej valorizácie na ŠR</t>
  </si>
  <si>
    <t xml:space="preserve">   nižší rast výdavkov obcí</t>
  </si>
  <si>
    <t xml:space="preserve">   nižší rast výdavkov verejných vysokých škôl</t>
  </si>
  <si>
    <r>
      <t xml:space="preserve">      </t>
    </r>
    <r>
      <rPr>
        <sz val="8"/>
        <color rgb="FF000000"/>
        <rFont val="Arial Narrow"/>
        <family val="2"/>
        <charset val="238"/>
      </rPr>
      <t>rezerva na vplyv pandémie</t>
    </r>
  </si>
  <si>
    <t xml:space="preserve">      výdavky na ekonomické opatrenia a podporu ekonomiky</t>
  </si>
  <si>
    <t xml:space="preserve">      rezerva na výdavky v zdravotníctve</t>
  </si>
  <si>
    <r>
      <t xml:space="preserve">      </t>
    </r>
    <r>
      <rPr>
        <sz val="8"/>
        <color rgb="FF000000"/>
        <rFont val="Arial Narrow"/>
        <family val="2"/>
        <charset val="238"/>
      </rPr>
      <t>rezerva na financovanie spoločných programov</t>
    </r>
  </si>
  <si>
    <t xml:space="preserve">      rezerva na riešenie vplyvov legislatívnych zmien</t>
  </si>
  <si>
    <t xml:space="preserve">   vývoj na ŠR bez rezerv a výdavkov na ekonomické opatrenia</t>
  </si>
  <si>
    <t xml:space="preserve">   nižší rast výdavkov na obciach, VÚC a OSVS (hlavne ZZ, NDS, ŽSSK)</t>
  </si>
  <si>
    <t xml:space="preserve">   vplyv rezerv a účelových výdavkov, z toho:</t>
  </si>
  <si>
    <t xml:space="preserve">   zníženie dotácií do poľnohospodárstva</t>
  </si>
  <si>
    <t xml:space="preserve">   Pandemické PN a OČR</t>
  </si>
  <si>
    <t xml:space="preserve">   Výdavky poistenia na zdravotníctvo, z toho:</t>
  </si>
  <si>
    <t xml:space="preserve">      úsporné opatrenia</t>
  </si>
  <si>
    <t xml:space="preserve">      hodnotové opatrenia</t>
  </si>
  <si>
    <t>D.62P</t>
  </si>
  <si>
    <t>D.632</t>
  </si>
  <si>
    <t>Ostatné bežné transfery, z toho:</t>
  </si>
  <si>
    <t xml:space="preserve">   rezerva na odvody vo všeobecného rozpočtu EÚ</t>
  </si>
  <si>
    <t xml:space="preserve">   rezerva na riešenie krízových situácií mimo času vojny</t>
  </si>
  <si>
    <t>TABUĽKA 8 - Porovnanie bilancie výdavkov a príjmov a NPC v 2022 až 2024 (% HDP)</t>
  </si>
  <si>
    <t>TABLE 8 - Comparison of Expenditure and Revenue Balance and NPC in 2022 to 2024 (% of GDP)</t>
  </si>
  <si>
    <t>Kapitálové investície, z toho:</t>
  </si>
  <si>
    <t xml:space="preserve">      vývoj THFK bez rezerv a výdavkov na ekonomické opatrenia (ŠR)</t>
  </si>
  <si>
    <t xml:space="preserve">      predaj prebytočného majetku ŽSR</t>
  </si>
  <si>
    <t>P.5L</t>
  </si>
  <si>
    <t>P.51g</t>
  </si>
  <si>
    <t>P.5M</t>
  </si>
  <si>
    <t>NP</t>
  </si>
  <si>
    <t>Capital investment, of which:</t>
  </si>
  <si>
    <t>Kapitálové transfery, z toho:</t>
  </si>
  <si>
    <t>D.9p</t>
  </si>
  <si>
    <t xml:space="preserve">   zahraničný transfer Envirofondu z modernizačného fondu</t>
  </si>
  <si>
    <t>Capital transfers, of which:</t>
  </si>
  <si>
    <t xml:space="preserve">      špeciálny materiál (MO SR)</t>
  </si>
  <si>
    <t xml:space="preserve">   reserve for impacts of new legislation</t>
  </si>
  <si>
    <t xml:space="preserve">   decreased agricultural subventions</t>
  </si>
  <si>
    <t xml:space="preserve">      saving measures</t>
  </si>
  <si>
    <t xml:space="preserve">      new spending measures</t>
  </si>
  <si>
    <t xml:space="preserve">   Healthcare spending (social transfers in kind), of which:</t>
  </si>
  <si>
    <t xml:space="preserve">   transfer to Environmental fund from the modernization fund</t>
  </si>
  <si>
    <t xml:space="preserve">   reserve for wages and insurance premiums</t>
  </si>
  <si>
    <t xml:space="preserve">   public sector wage freeze (wages paid from the national budget of the Slovak Republic)</t>
  </si>
  <si>
    <t xml:space="preserve">   reserves and special expenses, of which:</t>
  </si>
  <si>
    <t xml:space="preserve">      reserve for COVID-19 impacts in 2022</t>
  </si>
  <si>
    <t xml:space="preserve">      expenditure on economic measures and economic support</t>
  </si>
  <si>
    <t xml:space="preserve">      reserve for joint programs` financing</t>
  </si>
  <si>
    <t xml:space="preserve">      reserve for impacts of new legislation</t>
  </si>
  <si>
    <t xml:space="preserve">   pandemic sickness and nursing benefits</t>
  </si>
  <si>
    <t xml:space="preserve">      reserve for healthcare expenditures</t>
  </si>
  <si>
    <t xml:space="preserve">   reserve for contributions to the general budget of the EU</t>
  </si>
  <si>
    <t xml:space="preserve">   expenditure on economic measures and economic support</t>
  </si>
  <si>
    <t xml:space="preserve">   reserve for dealing with crisis situations outside the time of war</t>
  </si>
  <si>
    <t xml:space="preserve">   ŽSR - sale of redundant assets</t>
  </si>
  <si>
    <t xml:space="preserve">   slower growth of expenditure of municipalities and other GG subjects (medical facilities, NDS, ŽSSK)</t>
  </si>
  <si>
    <t xml:space="preserve">   Ministry of defence - special material</t>
  </si>
  <si>
    <t xml:space="preserve">   slower growth of expenditure of public universities</t>
  </si>
  <si>
    <t xml:space="preserve">   slower growth of expenditure of municipalities</t>
  </si>
  <si>
    <t xml:space="preserve">   development of intermediate consumption in the national budget (without reserves and special expenses)</t>
  </si>
  <si>
    <t xml:space="preserve">   development of the GFCF in the national budget (without reserves and special expenses)</t>
  </si>
  <si>
    <r>
      <t xml:space="preserve">Plánované konsolidačné úsilie </t>
    </r>
    <r>
      <rPr>
        <sz val="9"/>
        <color theme="4"/>
        <rFont val="Arial Narrow"/>
        <family val="2"/>
        <charset val="238"/>
      </rPr>
      <t>(% HDP)</t>
    </r>
  </si>
  <si>
    <r>
      <t xml:space="preserve">Hrubý dlh verejnej správy </t>
    </r>
    <r>
      <rPr>
        <sz val="9"/>
        <color theme="4"/>
        <rFont val="Arial Narrow"/>
        <family val="2"/>
        <charset val="238"/>
      </rPr>
      <t>(% HDP)</t>
    </r>
  </si>
  <si>
    <r>
      <t>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</si>
  <si>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r>
      <t xml:space="preserve">Hrubý dlh verejnej správy </t>
    </r>
    <r>
      <rPr>
        <sz val="9"/>
        <color rgb="FF2C9ADC"/>
        <rFont val="Arial Narrow"/>
        <family val="2"/>
        <charset val="238"/>
      </rPr>
      <t>(% HDP, stav k 31.12.)</t>
    </r>
    <r>
      <rPr>
        <b/>
        <sz val="9"/>
        <color rgb="FF2C9ADC"/>
        <rFont val="Arial Narrow"/>
        <family val="2"/>
        <charset val="238"/>
      </rPr>
      <t> </t>
    </r>
  </si>
  <si>
    <t>Čistý dlh VS</t>
  </si>
  <si>
    <t>Sankčné pásma (hrubý dlh)</t>
  </si>
  <si>
    <t>4. sankčné pásmo</t>
  </si>
  <si>
    <t>3. sankčné pásmo</t>
  </si>
  <si>
    <t xml:space="preserve">Zdroj:MF SR       </t>
  </si>
  <si>
    <t>2. sankčné pásmo</t>
  </si>
  <si>
    <t>Dolné sankčné pásmo</t>
  </si>
  <si>
    <t>Consolidation effort (% GDP)</t>
  </si>
  <si>
    <t>Gross general government debt (% GDP)</t>
  </si>
  <si>
    <t>Consolidation effort (ESA2010, % GDP) </t>
  </si>
  <si>
    <t>Gross general government debt (% GDP, as of 31.12.) </t>
  </si>
  <si>
    <t>General government balance</t>
  </si>
  <si>
    <t>General government gross debt</t>
  </si>
  <si>
    <t>Structural balance</t>
  </si>
  <si>
    <t>LFA</t>
  </si>
  <si>
    <t>Consolidation effort</t>
  </si>
  <si>
    <t xml:space="preserve">Source: MoF SR       </t>
  </si>
  <si>
    <t>Debt break rule (gross debt)</t>
  </si>
  <si>
    <t>4. sanction threshold</t>
  </si>
  <si>
    <t>3. sanction threshold</t>
  </si>
  <si>
    <t>2. sanction threshold</t>
  </si>
  <si>
    <t>Lowest sanction threshold</t>
  </si>
  <si>
    <t>2019 S</t>
  </si>
  <si>
    <t>2021  OS</t>
  </si>
  <si>
    <t>Nominálne saldo – rozpočtový cieľ</t>
  </si>
  <si>
    <t>-1,3***</t>
  </si>
  <si>
    <t>-5,5***</t>
  </si>
  <si>
    <t>-2,6 (0,0*)</t>
  </si>
  <si>
    <t>Jednorazové vplyvy</t>
  </si>
  <si>
    <t>-2,1 (0,5*)</t>
  </si>
  <si>
    <t>1,0 (3,6*)</t>
  </si>
  <si>
    <t>p. m. Štrukturálne saldo bez zarátania COVID opatrení do jednorazových vplyvov</t>
  </si>
  <si>
    <t>p.m. potrebné opatrenia na dosiahnutie rozpočtových cieľov (mil. eur)**</t>
  </si>
  <si>
    <t>768 (3 815*)</t>
  </si>
  <si>
    <t xml:space="preserve">* V zátvorke sú uvedené ciele, ktoré zodpovedajú návrhu sankcií aktuálnej dlhovej brzdy. V roku 2024 si aktuálne znenie dlhovej brzdy žiada už nominálne vyrovnaný rozpočet. </t>
  </si>
  <si>
    <t>** Opatrenia potrebné oproti aktuálnemu fiškálnemu rámcu rozpočtu verejnej správy, ktorý už pracuje s predpokladom úsporných opatrení (napr. predpokladá tlmenie výdavkov na viacerých subjektov ako sú NDS, ŽSR či VVŠ). Reálne bude treba prijať opatrenia, ktoré budú vyššie.</t>
  </si>
  <si>
    <t>*** Podľa údajov ŠU SR zaslaných do notifikácie Eurostatu, ktorá bude zverejnená v druhej polovici októbra. Údaje sa môžu meniť. Rovnaký prístup je zvolený pri prognóze hrubého dlhu.</t>
  </si>
  <si>
    <t>p.m. Structural balance without one-off COVID-19 measures</t>
  </si>
  <si>
    <t>Vyšší vplyv prijatých opatrení v boji s pandémiou COVID-19</t>
  </si>
  <si>
    <t>Dofinancovanie podnikov pod MDV SR</t>
  </si>
  <si>
    <t>Vybrané expanzívne opatrenia vlády</t>
  </si>
  <si>
    <t>Čistý vplyv korekcií EU a vyšší odvod do EU</t>
  </si>
  <si>
    <t>Vyššie daňovo-odvodové príjmy</t>
  </si>
  <si>
    <t>Nižšie výdavky SP (najmä dôchodky a nemocenské poistenie)</t>
  </si>
  <si>
    <t>Nižšie výdavky na spolufinancovanie (mimo COVID-19)</t>
  </si>
  <si>
    <t>Ostatné vplyvy</t>
  </si>
  <si>
    <t>Headline balance - Estimate 2021</t>
  </si>
  <si>
    <t>Headline balance - Budget 2021</t>
  </si>
  <si>
    <t>Net impact of EU corrections and higher levy on EU</t>
  </si>
  <si>
    <t>Higher tax revenues</t>
  </si>
  <si>
    <t>Higher financing of companies under MDV SR by state budget</t>
  </si>
  <si>
    <t>Chosen expansionary measures of the government</t>
  </si>
  <si>
    <t>Lower Social insurence expenditures (especially pensions and health insurance)</t>
  </si>
  <si>
    <t>Lower co-financing of EU funds (excluding COVID-19)</t>
  </si>
  <si>
    <t>Ostatné opatrenia bez vplyvu na deficit</t>
  </si>
  <si>
    <t>Other measures without impact on deficit</t>
  </si>
  <si>
    <t>Podpora udržania zamestnanosti</t>
  </si>
  <si>
    <t>Support for maintaining employment</t>
  </si>
  <si>
    <t xml:space="preserve">Sociálna pomoc </t>
  </si>
  <si>
    <t>Social help</t>
  </si>
  <si>
    <t>Odpustenie daní a odvodov</t>
  </si>
  <si>
    <t>Remission of taxes and levies</t>
  </si>
  <si>
    <t>Zvýšené výdavky v zdravotníctve</t>
  </si>
  <si>
    <t>Increased healthcare spending</t>
  </si>
  <si>
    <t>Iné opatrenia</t>
  </si>
  <si>
    <t>Other measures</t>
  </si>
  <si>
    <t xml:space="preserve">Odklad daní a odvodov </t>
  </si>
  <si>
    <t>Deferral of taxes and levies</t>
  </si>
  <si>
    <t xml:space="preserve">Bankové garancie </t>
  </si>
  <si>
    <t>Bank guarantees</t>
  </si>
  <si>
    <t>Financovanie z EÚ fondov</t>
  </si>
  <si>
    <t>Odložené splátky</t>
  </si>
  <si>
    <t>Deferred payments of bank loans</t>
  </si>
  <si>
    <t>Transfery v rámci verejnej správy</t>
  </si>
  <si>
    <t>Transfers within public administration</t>
  </si>
  <si>
    <t>Pomoc s vplyvom na deficit</t>
  </si>
  <si>
    <t>Aids with impact on deficit</t>
  </si>
  <si>
    <t>GRAF 13 – Súhrn opatrení prijatých v boji proti koronavírusu (odhad do konca roka, v % HDP)</t>
  </si>
  <si>
    <t>Figure 13 - Summary of measures taken to combat coronavirus (estimated by the end of the year, in% of GDP)</t>
  </si>
  <si>
    <t>Structural deficit in 2020</t>
  </si>
  <si>
    <t>Opatrenia vlády</t>
  </si>
  <si>
    <t>Government measures</t>
  </si>
  <si>
    <t>Vyššie výdavky  VZP</t>
  </si>
  <si>
    <t>Higher VZP expenditures</t>
  </si>
  <si>
    <t>Vyšie kapitálové výdavky ťahané ŠR</t>
  </si>
  <si>
    <t>Higher capital expenditures drawn by the central government budget</t>
  </si>
  <si>
    <t>Structural deficit in 2021</t>
  </si>
  <si>
    <t>GRAF 14 – Faktory vedúce k nárastu štrukturálneho deficitu medzi rokmi 2020 a 2021 v % HDP</t>
  </si>
  <si>
    <t>Figure 14 - Factors leading to an increase in the structural deficit between 2020 and 2021 in% of GDP</t>
  </si>
  <si>
    <t>Vyšší odvod do EÚ</t>
  </si>
  <si>
    <t>Vyššie spolufinancovanie</t>
  </si>
  <si>
    <t>Nárast dôchodkových dávok (mimo vládnych opatrení)</t>
  </si>
  <si>
    <t>Higher co-financing of EU funds</t>
  </si>
  <si>
    <t>Higher levy on EU</t>
  </si>
  <si>
    <t>Štrukturálne saldo v roku 2020</t>
  </si>
  <si>
    <t>Štrukturálne saldo v roku 2021</t>
  </si>
  <si>
    <t>Increase in pension benefits (excluding government measures)</t>
  </si>
  <si>
    <t>NS - Európske fiškálne pravidlá</t>
  </si>
  <si>
    <t>ŠS - Európske fiškálne pravidlá</t>
  </si>
  <si>
    <t>NS - Novela zákona (UZoRZ)</t>
  </si>
  <si>
    <t>ŠS - Novela zákona (UZoRZ)</t>
  </si>
  <si>
    <t>NS - Platný zákon (UZoRZ)</t>
  </si>
  <si>
    <t>ŠS - Platný zákon (UZoRZ)</t>
  </si>
  <si>
    <t>NB - European Fiscal Rules</t>
  </si>
  <si>
    <t>SB - European Fiscal Rules</t>
  </si>
  <si>
    <t>NB - Amendment to the Act (UZoRZ)</t>
  </si>
  <si>
    <t>SB - Amendment to the Act (UZoRZ)</t>
  </si>
  <si>
    <t>NB - Applicable Act (UZoRZ)</t>
  </si>
  <si>
    <t>SB - Applicable Act (UZoRZ)</t>
  </si>
  <si>
    <t>GRAF 15 – Nominálne saldo podľa jednotlivých vrstiev pravidiel (v % HDP)</t>
  </si>
  <si>
    <t>GRAF 16 – Štrukturálne saldo podľa jednotlivých vrstiev pravidiel (v % HDP)</t>
  </si>
  <si>
    <t>FIGURE 15 - Structural balance according different fiscal rules (% of GDP)</t>
  </si>
  <si>
    <t>FIGURE 15 - Nominal balance according different fiscal rules (% of GDP)</t>
  </si>
  <si>
    <t>GRAF 11: Vývoj produkčnej medzery (% pot. HDP) – porovnanie MFSR, NBS, EK, OECD, MMF</t>
  </si>
  <si>
    <t>TABUĽKA 2: Produkčná medzera a príspevky faktorov k rastu potenciálneho produktu – prístup MF SR</t>
  </si>
  <si>
    <t>TABUĽKA 4 – Pomalšie čerpanie prostriedkov z EÚ fondov</t>
  </si>
  <si>
    <t>GRAF 24: Medziročný rast HDP, daní a odvodov %</t>
  </si>
  <si>
    <t>Figure 24: GDP, taxes and social contributions growth ( % y-o-y)</t>
  </si>
  <si>
    <t>GRAF 25 - Procyklický vývoj korporátnej dane sa nezopakoval</t>
  </si>
  <si>
    <t>Figure 25 - Procyclical behavior of CIT did not repeat as in 2009 (y-o-y growth)</t>
  </si>
  <si>
    <t>GRAF 26 - Efektívna daňová sadzba (%)</t>
  </si>
  <si>
    <t>Figure 26 - Effective tax rate (%)</t>
  </si>
  <si>
    <t>GRAF 27 - Daňová medzera na DPH (% potenciálneho výnosu)</t>
  </si>
  <si>
    <t>Figure 27 - VAT gap (% of potential revenue)</t>
  </si>
  <si>
    <t>TABUĽKA 10: Prognóza vybraných indikátorov vývoja ekonomiky SR</t>
  </si>
  <si>
    <t>Table 12 - Assessment of the September MoF forecast by the Macroeconomic Forecast Committee</t>
  </si>
  <si>
    <t>TABUĽKA 12 - Hodnotenie septembrovej prognózy MF SR vo Výbore pre makroekonomické prognózy</t>
  </si>
  <si>
    <t>TABLE 11 - Comparison with the Stability Programme</t>
  </si>
  <si>
    <t>TABUĽKA 11 - Porovnanie s programom stability</t>
  </si>
  <si>
    <t>Table 10: Forecast of selected economic indicators in SR</t>
  </si>
  <si>
    <t>TABUĽKA 13 - Priemerná prognóza členov Výboru* (okrem MF SR) a prognóza MF SR</t>
  </si>
  <si>
    <t>Table 13 - Average forecast of MFC members and forecast of MoF SR</t>
  </si>
  <si>
    <t>TABUĽKA 14 - Hodnotenie prognózy MF SR vo Výbore pre daňové prognózy</t>
  </si>
  <si>
    <t>TABLE 14 - Assessment of the  MoF forecast by the Tax Forecast Committee</t>
  </si>
  <si>
    <t>TABUĽKA  - Opatrenia prijaté v boji proti koronavírusu / TABLE  - Summary of anti-corona measures</t>
  </si>
  <si>
    <t>EKRK</t>
  </si>
  <si>
    <t>ESA</t>
  </si>
  <si>
    <t>v mil.</t>
  </si>
  <si>
    <t>Priama pomoc spolu</t>
  </si>
  <si>
    <t>D.62</t>
  </si>
  <si>
    <t>Kurzarbeit pre materské školy a ZUŠ</t>
  </si>
  <si>
    <t>Sociálna pomoc (vrátane pandemických OČR a PN)</t>
  </si>
  <si>
    <t>Rodičovský príspevok (predĺženie obdobia poberania)</t>
  </si>
  <si>
    <t>Nemocenské (PN) - dávky vyplatené nad úrovňou roka 2019 (indexované)</t>
  </si>
  <si>
    <t>Ošetrovné (OČR) - dávky vyplatené nad úrovňou roka 2019 (indexované)</t>
  </si>
  <si>
    <t>Odpustenie daní a odvodov</t>
  </si>
  <si>
    <t>D.51B</t>
  </si>
  <si>
    <t xml:space="preserve">D.211 </t>
  </si>
  <si>
    <t>610, 620</t>
  </si>
  <si>
    <t>D.99</t>
  </si>
  <si>
    <t>630, 710</t>
  </si>
  <si>
    <t>P.2, P.51</t>
  </si>
  <si>
    <t>Náklady na lieky a vakcináciu</t>
  </si>
  <si>
    <t>Očkovacia prémia a sprostredkovateľský bonus</t>
  </si>
  <si>
    <t>D.7</t>
  </si>
  <si>
    <t>Priama pomoc spolu bez EU fondov</t>
  </si>
  <si>
    <t>p.m. Odklad daní a odvodov (bez vplyvu na deficit)</t>
  </si>
  <si>
    <t>Odklad daňového priznania DPPO</t>
  </si>
  <si>
    <t>Posun platenia preddavkov DPPO/DPFO pri pokles tržieb o 40 %</t>
  </si>
  <si>
    <t>Odklad zdravotných odvodov za marec</t>
  </si>
  <si>
    <t>Odklad sociálnych odvodov za marec, máj, jún, júl (vplyv v roku 2020)</t>
  </si>
  <si>
    <t>Presun termín splatenia odložených odvodov z 2020 na jún 2021</t>
  </si>
  <si>
    <t>Odklad soc. odvodov za december do júna 2021</t>
  </si>
  <si>
    <t>Odklad soc. odvodov za 2021 (január, február, marec) do júna 2021</t>
  </si>
  <si>
    <t>p. m. Bankové záruky (bez priameho vplyvu na deficit)</t>
  </si>
  <si>
    <t xml:space="preserve">SZRB - zazmluvnená schéma de minimis </t>
  </si>
  <si>
    <t>Eximbanka -  zazmluvnená schéma de minimis</t>
  </si>
  <si>
    <t>SIH - zazmluvnená schéma de minimis</t>
  </si>
  <si>
    <t xml:space="preserve">Veľká schéma </t>
  </si>
  <si>
    <t>p.m. Odložené splátky (opatrenie bankového sektora)</t>
  </si>
  <si>
    <t xml:space="preserve">p.m. Transfery v rámci verejnej správy </t>
  </si>
  <si>
    <t>Transfery ŽSR, ŽSSK a NDS</t>
  </si>
  <si>
    <t>Návratná fin. výpomoc obciam a mestám</t>
  </si>
  <si>
    <t>Vklad do Všeobecnej zdrav. poisťovne</t>
  </si>
  <si>
    <t>Transfer Sociálna poisťovňa</t>
  </si>
  <si>
    <t>Rôzne zvýšené bežné transfery pre OSVS</t>
  </si>
  <si>
    <t>Všetky opatrenia spolu</t>
  </si>
  <si>
    <r>
      <t>**Vplyv PN a OČR je vyčíslený cez nárast dávok oproti roku 2019, pri indexovaní bázy pre výpočet na rok 2021 a 2022. Teda sú započítané aj niektoré PN a OČR, ktoré neboli klasifikované ako pandemické</t>
    </r>
    <r>
      <rPr>
        <sz val="10"/>
        <color theme="1"/>
        <rFont val="Arial Narrow"/>
        <family val="2"/>
        <charset val="238"/>
      </rPr>
      <t>.</t>
    </r>
  </si>
  <si>
    <t>Zavedenie 13. a 14. platu (zavedenie od 2018, legislatívne zmeny od 2019), zrušenie od 2021</t>
  </si>
  <si>
    <t>Ročné zúčtovanie sociálneho poistenia</t>
  </si>
  <si>
    <t>Postupný rast odvodu do II. piliera (automaticky od 2017 o 0,25 p.b./rok)</t>
  </si>
  <si>
    <t>Zdvojnásobenie sadzby osobitného odvodu v regulovaných odvetviach, a následné zníženie</t>
  </si>
  <si>
    <t>15 % sadzba DPPO pre firmy s obratom do 100 tis. Eur, následná úprava do 49,79 tisíc eur</t>
  </si>
  <si>
    <t>Znížená sadzba SZČO na 15% pre obrat do 100 tis. eur, následné úprava do 49,79 tisíc eur</t>
  </si>
  <si>
    <t>Zavedenie paušálu na nepeň. benefit pre zamestnanca na dopravu (100 eur mesačne)</t>
  </si>
  <si>
    <t>Zmena sadzieb daní z nehnuteľností na úrovni VZN</t>
  </si>
  <si>
    <t>Prerušenie daňových kontrol a daňových konaní, okrem kontrol s výsledkom vracania peňazí</t>
  </si>
  <si>
    <t>Odklad soc. odvodov v roku 2021</t>
  </si>
  <si>
    <t>Presun termínu splatenia odkladov SP</t>
  </si>
  <si>
    <t>Dočasné oslobodenie respirátorov FFP2 a FFP3 od DPH</t>
  </si>
  <si>
    <t>Nešpecifikované opatrenia potrebné na dosiahnutie rozpočtových cieľov</t>
  </si>
  <si>
    <t>Tabuľka 18 :Diskrečné opatrenia – medziročné vplyvy opatrení (mil. eur, ESA2010) / Table 18: DRM</t>
  </si>
  <si>
    <t>Kurzarbeit pre materské školy a ZUŠ</t>
  </si>
  <si>
    <t>Platba doktorom špecialistom</t>
  </si>
  <si>
    <t>Vyvolané COVID záruky</t>
  </si>
  <si>
    <t>TABLE 16 - One-off measures</t>
  </si>
  <si>
    <t xml:space="preserve">TABUĽKA 16 - Zoznam jednorazových opatrení </t>
  </si>
  <si>
    <t>TABUĽKA 17 - Výpočet plnenia výdavkového pravidla (ESA 2010)</t>
  </si>
  <si>
    <t>Table 17 - Expenditure benchmark</t>
  </si>
  <si>
    <t>Kurzarbeit for kindergartens and elementaryart schools</t>
  </si>
  <si>
    <t>One-off child allowance</t>
  </si>
  <si>
    <t>Invoked COVID guarrantiee</t>
  </si>
  <si>
    <t>Vaccination premium and mediation bonus</t>
  </si>
  <si>
    <t>Direct support together</t>
  </si>
  <si>
    <t>Entrepreneurship promotion in tourism and hospitality sector</t>
  </si>
  <si>
    <t>Entrepreneurship promotion in culture and creative industry</t>
  </si>
  <si>
    <t>Reimbursement of rents</t>
  </si>
  <si>
    <t xml:space="preserve">Support for job applicants </t>
  </si>
  <si>
    <t>Social assistance (including pandemic allowance for care of a family member and sick pay)</t>
  </si>
  <si>
    <t xml:space="preserve">SOS allowance </t>
  </si>
  <si>
    <t>Sick pay - paid above the level of 2019 (indexed)</t>
  </si>
  <si>
    <t>Allowance for care of a family member - paid above the level of 2019 (indexed)</t>
  </si>
  <si>
    <t>Remission of social security contributions for April</t>
  </si>
  <si>
    <t>Unpaid part of deferred levies</t>
  </si>
  <si>
    <t xml:space="preserve">Zero value added tax on FFP2/3 respirators </t>
  </si>
  <si>
    <t>Increased healthcare expenditures</t>
  </si>
  <si>
    <t>Rewards for healthcare employees</t>
  </si>
  <si>
    <t>Payment to medical specialists</t>
  </si>
  <si>
    <t>Increased expenditures - ventilators and other</t>
  </si>
  <si>
    <t>Testing expenditures</t>
  </si>
  <si>
    <t>Costs of medicines and vaccination</t>
  </si>
  <si>
    <t>Equipment and other expenditures of healthcare facilities</t>
  </si>
  <si>
    <t>Rewards to frontline workers (excluding the Ministry of Health)</t>
  </si>
  <si>
    <t>Financing from EU resources</t>
  </si>
  <si>
    <t>Direct support together without EU funds</t>
  </si>
  <si>
    <t>p.m. Deferment of taxes and levies (without impact on the deficit)</t>
  </si>
  <si>
    <t>Postponement of DPPO tax return</t>
  </si>
  <si>
    <t>Deferral of income tax advance payments in case of a decrease in revenues exceeding 40%</t>
  </si>
  <si>
    <t>Postponement of health contributions for March</t>
  </si>
  <si>
    <t>Postponement of social security contributions for March, May, June, July (impact in 2020)</t>
  </si>
  <si>
    <t>Postponement of the deferred payment date from 2020 to June 2021</t>
  </si>
  <si>
    <t>Postponement of soc. security constributions for December to June 2021</t>
  </si>
  <si>
    <t>Postponement of soc. security contributions for 2021 (January, February, March) until June 2021</t>
  </si>
  <si>
    <t>p. m. Bank guarantees (without direct effect on the deficit)</t>
  </si>
  <si>
    <t>SZRB - contracted de minimis scheme</t>
  </si>
  <si>
    <t>Eximbanka - contracted de minimis scheme</t>
  </si>
  <si>
    <t>SIH - contracted de minimis scheme</t>
  </si>
  <si>
    <t>Great scheme</t>
  </si>
  <si>
    <t>p.m. Deferred installments (banking sector measure)</t>
  </si>
  <si>
    <t>p.m. Transfers within public administration</t>
  </si>
  <si>
    <t>Transfers to ŽSR, ŽSSK and NDS</t>
  </si>
  <si>
    <t>Returnable fin. assistance to municipalities</t>
  </si>
  <si>
    <t>Contribution to General Health insurance company</t>
  </si>
  <si>
    <t>Transfer to Social Insurance company</t>
  </si>
  <si>
    <t>Various increased current transfers for other public administration entities</t>
  </si>
  <si>
    <t>All measures together</t>
  </si>
  <si>
    <t xml:space="preserve">Kurzarbeit for kindergartens and elementary art schools </t>
  </si>
  <si>
    <t xml:space="preserve">Reduced VAT rate for other foodstuffs
</t>
  </si>
  <si>
    <t>Change of VAT collection efficiency</t>
  </si>
  <si>
    <t>Special levy in banking sector and his abolition in mid 2020</t>
  </si>
  <si>
    <t>Measures related to tobacco products</t>
  </si>
  <si>
    <t>Fully-funded pension pillar (II. pension pillar)</t>
  </si>
  <si>
    <t>Tax settlement from social contributions</t>
  </si>
  <si>
    <t>Exemption from income taxation from the sale of ownership shares</t>
  </si>
  <si>
    <t xml:space="preserve">Increase of the non-taxable part of the tax base to 21 times of the subsistence minimum
</t>
  </si>
  <si>
    <t xml:space="preserve">Increase in the limit for advance payments (from 2 500 to 5 000 EUR)
</t>
  </si>
  <si>
    <t xml:space="preserve">Carry-forward tax losses for other non-microcompanies (max. 50 % tax base in 5 years)
</t>
  </si>
  <si>
    <t xml:space="preserve">Individual volume of depreciation of assets for microcompanies
</t>
  </si>
  <si>
    <t xml:space="preserve">Non-cash benefit for employees for transport (100 euro)
</t>
  </si>
  <si>
    <t>Measures to promote labor mobility</t>
  </si>
  <si>
    <t>Changes of tax rates of Property taxes</t>
  </si>
  <si>
    <t>Suspension of tax audits and tax proceedings</t>
  </si>
  <si>
    <t>General pardon on social and health contributions (closed business)</t>
  </si>
  <si>
    <t>Possibility to include losses from 2014 (loss-carry forward) already in the current 2019 tax returns</t>
  </si>
  <si>
    <t>Correction of the VAT base on the supply of goods or services</t>
  </si>
  <si>
    <t>Abolition of the VAT exemption for shipments up to 22 euros from third countries</t>
  </si>
  <si>
    <t>Changes in motor vehicle taxation</t>
  </si>
  <si>
    <t>Deferred social insurance contributions payments</t>
  </si>
  <si>
    <t xml:space="preserve">Temporary exemption of respirators FFP2 and FFP3 from VAT </t>
  </si>
  <si>
    <t>Deffered of social insurance in 2021</t>
  </si>
  <si>
    <t>Abolition of special levy rate in regulated sectors</t>
  </si>
  <si>
    <t>Introduction/amendment/abolition of 13th and 14th salary</t>
  </si>
  <si>
    <t>Personal income tax (business) reduced to 15% with turnover up to EUR 100 th, amendment 49,79 th</t>
  </si>
  <si>
    <t xml:space="preserve">15 % rate of corporate income tax for companies with turnover up to 100 th./amendment up to 49,79th., 21% for others
</t>
  </si>
  <si>
    <t>GRAF 5: Príspevky odvetví k rastu zamestnanosti (p.b.)</t>
  </si>
  <si>
    <t>GRAF 6: Príspevky k inflácii (p.b.)</t>
  </si>
  <si>
    <t>Figure 5: Contributions of sectors to employment growth (p.p.)</t>
  </si>
  <si>
    <t>Figure 6: Contributions to inflation (p.p.)</t>
  </si>
  <si>
    <t>TABUĽKA 1: Porovnanie prognóz Európskej komisie a Ministerstva financií SR</t>
  </si>
  <si>
    <t>Table 1: Comparison of forecasts of EC and MoF SR</t>
  </si>
  <si>
    <t>GRAF 7 – HDP obchodných partnerov Slovenska podľa septembrovej prognózy IFP (% zmena)</t>
  </si>
  <si>
    <t>GRAF 8 - Akciové indexy sa po prudkom prepade rýchlo spamätali (15. jan  2016 = 1)</t>
  </si>
  <si>
    <t xml:space="preserve">Figure 7: GDP of main trading partners (year-on-year change in %) </t>
  </si>
  <si>
    <t>Figure 8: Stock indices (15 Jan 2016 = 100)</t>
  </si>
  <si>
    <t>GRAF 9: Prognóza vývoja počtu nových prípadov (7-denný kĺzavý priemer)</t>
  </si>
  <si>
    <t>GRAF 10: Vplyv 3. vlny na spotrebu domácností (s. c. index 4Q2019=100, sezónne očistené)</t>
  </si>
  <si>
    <t>Figure 9: Reported and forecasted new COVID-19 cases (7-day moving average)</t>
  </si>
  <si>
    <t>Figure 10: Impact of the 3rd wave on household consumption (constant prices, index 4Q2019=100, seasonally adjusted)</t>
  </si>
  <si>
    <t xml:space="preserve">Figure 11: Output gap (% pot. GDP) – EC, MoF, NBS, OECD and IMF </t>
  </si>
  <si>
    <t>Table 2: Output gap and factor contributions to potential growth - MoF approach</t>
  </si>
  <si>
    <t>TABUĽKA 3: Opätovné obmedzenie ekonomiky</t>
  </si>
  <si>
    <t>TABUĽKA 3: Reoccuring lockdown</t>
  </si>
  <si>
    <t>Content of Draft Budgetary Plan of SR for 2022</t>
  </si>
  <si>
    <t>GRAF 3 – Predpokladaná realizácia investícií z EÚ fondov a plánu obnovy (v mil. eur, b. c.)</t>
  </si>
  <si>
    <t>GRAF 4 – Prognóza reálneho HDP (index 4Q2019=100, sezónne očistené)</t>
  </si>
  <si>
    <t>GRAF 9 – Predpoklad o vývoji počtu nových prípadov (7-denný kĺzavý priemer)</t>
  </si>
  <si>
    <t>GRAF 10 – Vplyv 3. vlny na spotrebu domácností (s. c. index 4Q2019=100, sezónne očistené)</t>
  </si>
  <si>
    <t>GRAF 12 – Plnenie schváleného rozpočtu - rozdiely na hlavných položkách (príspevky v mil. eur, ESA2010)</t>
  </si>
  <si>
    <t>GRAF 20 - Udržateľnosť S1 (% HDP)</t>
  </si>
  <si>
    <t>GRAF 21 - Udržateľnosť S2 (% HDP)</t>
  </si>
  <si>
    <t>GRAF 22 – Vplyv opatrení aktuálnej reformy I. piliera na výdavky citlivé na starnutie (v p. b. HDP)</t>
  </si>
  <si>
    <t>GRAF 23 – Zmena indikátora S2 pri zavedení jednotlivých opatrení aktuálnej reformy (v p. b. HDP)</t>
  </si>
  <si>
    <t>GRAF 24 – Medziročný rast HDP, daní a odvodov</t>
  </si>
  <si>
    <t>GRAF 25 – Procyklický vývoj DPPO sa nezopakoval</t>
  </si>
  <si>
    <t>GRAF 26 – DPH opätovne rastie</t>
  </si>
  <si>
    <t>TABUĽKA 1 – Porovnanie prognóz Európskej komisie a Ministerstva financií SR</t>
  </si>
  <si>
    <t>TABUĽKA 2 – Produkčná medzera a príspevky faktorov k rastu potenciálneho produktu – národná metodika</t>
  </si>
  <si>
    <t>TABUĽKA 3 – Opätovné obmedzenie ekonomiky</t>
  </si>
  <si>
    <t>TABUĽKA 4 – Pomalšie čerpanie prostriedkov z EÚ fondov</t>
  </si>
  <si>
    <t>TABUĽKA 5 – Konsolidačné úsilie (ESA 2010, % HDP)</t>
  </si>
  <si>
    <t>TABUĽKA 7 – Výdavky verejnej správy podľa klasifikácie COFOG</t>
  </si>
  <si>
    <t>TABUĽKA 8 – Porovnanie bilancie výdavkov a príjmov a NPC v 2022 až 2024 (% HDP)</t>
  </si>
  <si>
    <t>TABUĽKA 9 – Výdavkové opatrenia zahrnuté v návrhu rozpočtu verejnej správy (ESA 2010, porovnanie voči NPC)</t>
  </si>
  <si>
    <t>TABUĽKA 15 - Hotovostné vplyvy na zmenu nominálneho hrubého dlhu verejnej správy (v mil. eur)</t>
  </si>
  <si>
    <t>TABUĽKA 6 – Rozklad indikátora dlhodobej udržateľnosti S2 k roku 2024 (% HDP)</t>
  </si>
  <si>
    <t>Maastrichtská hranica</t>
  </si>
  <si>
    <t>Liquid financial assests</t>
  </si>
  <si>
    <t>Maastricht criterion</t>
  </si>
  <si>
    <t>Sanction bands (gross debt)</t>
  </si>
  <si>
    <t>GRAF 17 - Prognóza hrubého a čistého dlhu verejnej správy v rokoch 2021-2024 (% HDP)</t>
  </si>
  <si>
    <t xml:space="preserve">Figure 17 - Projection of gross and net public debtin 2022-2024 (% of GDP) </t>
  </si>
  <si>
    <t>Zmena hrubého dlhu VS</t>
  </si>
  <si>
    <t>Zmena hotovosti VS</t>
  </si>
  <si>
    <t>Zosúladenie deficitu a dlhu - bez hotovosti VS</t>
  </si>
  <si>
    <t>Y-o-y change of gross debt</t>
  </si>
  <si>
    <t>Interest</t>
  </si>
  <si>
    <t>Stock-flow adjustment (without GG cash and deposits)</t>
  </si>
  <si>
    <t>Change in cash and deposits of GG</t>
  </si>
  <si>
    <t>GDP deflator</t>
  </si>
  <si>
    <t>GRAF 18 - Príspevky k zmene dlhu VS (% HDP)</t>
  </si>
  <si>
    <t>Figure 18 - Main drivers of change in public debt (% of GDP)</t>
  </si>
  <si>
    <t>Hrubý dlh (% HDP)</t>
  </si>
  <si>
    <t>Čistý dlh (% HDP)</t>
  </si>
  <si>
    <t>Likvidné finančné aktíva (% HDP)</t>
  </si>
  <si>
    <t>Pásma aktuálnej dlhovej brzdy</t>
  </si>
  <si>
    <t>5. pásmo</t>
  </si>
  <si>
    <t>4. pásmo</t>
  </si>
  <si>
    <t>3. pásmo</t>
  </si>
  <si>
    <t>2. pásmo</t>
  </si>
  <si>
    <t>1. pásmo</t>
  </si>
  <si>
    <t>Gross debt (% of GDP)</t>
  </si>
  <si>
    <t>Net debt (% of GDP)</t>
  </si>
  <si>
    <t>Liquid financial assests (% of GDP)</t>
  </si>
  <si>
    <t>Sanction bands of current debt break rule</t>
  </si>
  <si>
    <t>GRAF 19 - Dlhodobá prognóza dlhu v scenári nezmenených politík po roku 2024 (% HDP)</t>
  </si>
  <si>
    <t>EK (ref. úroveň dlhu - 60 % HDP)</t>
  </si>
  <si>
    <t>Stredné riziko</t>
  </si>
  <si>
    <t>Vysoké riziko</t>
  </si>
  <si>
    <t>Hranica</t>
  </si>
  <si>
    <t>Návrh rozpočtového plánu 2022</t>
  </si>
  <si>
    <t>Nízke riziko</t>
  </si>
  <si>
    <t>EC (ref. value of debt at 60 % of GDP)</t>
  </si>
  <si>
    <t>Low risk</t>
  </si>
  <si>
    <t>Medium risk</t>
  </si>
  <si>
    <t>High risk</t>
  </si>
  <si>
    <t>Threshold</t>
  </si>
  <si>
    <t>Draft budgetary plan 2022</t>
  </si>
  <si>
    <t>Celková hodnota</t>
  </si>
  <si>
    <t>8,7 (vysoké riziko)</t>
  </si>
  <si>
    <t>z toho:</t>
  </si>
  <si>
    <t xml:space="preserve">  Počiatočná rozpočtová pozícia štrukturálneho salda a dlhu</t>
  </si>
  <si>
    <t xml:space="preserve">  Výdavky na penzie</t>
  </si>
  <si>
    <t xml:space="preserve">  Zdravotná starostlivosť</t>
  </si>
  <si>
    <t xml:space="preserve">  Dlhodobá starostlivosť</t>
  </si>
  <si>
    <t xml:space="preserve">  Výdavky na vzdelanie </t>
  </si>
  <si>
    <t xml:space="preserve">  Ostatné</t>
  </si>
  <si>
    <t>6,1 (vysoké riziko)</t>
  </si>
  <si>
    <r>
      <t>TABUĽKA 6</t>
    </r>
    <r>
      <rPr>
        <sz val="9"/>
        <color rgb="FF2C9ADC"/>
        <rFont val="Arial Narrow"/>
        <family val="2"/>
        <charset val="238"/>
      </rPr>
      <t xml:space="preserve"> </t>
    </r>
    <r>
      <rPr>
        <b/>
        <sz val="9"/>
        <color rgb="FF2C9ADC"/>
        <rFont val="Arial Narrow"/>
        <family val="2"/>
        <charset val="238"/>
      </rPr>
      <t>– Rozklad indikátora dlhodobej udržateľnosti S2 k roku 2024 (% HDP)</t>
    </r>
  </si>
  <si>
    <t>S2 indikátor</t>
  </si>
  <si>
    <t>Reforma I. piliera z dielne MPSVaR (viac BOX 7)</t>
  </si>
  <si>
    <t>*Predpokladaná hodnota S2 v 2024 po zohľadnení vplyvov reformy</t>
  </si>
  <si>
    <t>S2 indicator</t>
  </si>
  <si>
    <t>8,7 (high risk)</t>
  </si>
  <si>
    <t>of which:</t>
  </si>
  <si>
    <t>Pension expenditures</t>
  </si>
  <si>
    <t>Health care expenditure</t>
  </si>
  <si>
    <t>Long-term care expenditure</t>
  </si>
  <si>
    <t>Education expenditure</t>
  </si>
  <si>
    <t>Other</t>
  </si>
  <si>
    <t>Initial budgetary position of structural balance and debt</t>
  </si>
  <si>
    <t>Reform o 1st pillar from Ministry of Labour, Social Affairs and Family (more in BOX 7)</t>
  </si>
  <si>
    <t>6,1 (high risk)</t>
  </si>
  <si>
    <t>*Estimated value of S2 in 2024 including impact of the reform</t>
  </si>
  <si>
    <t>Total value</t>
  </si>
  <si>
    <t>TABLE 4 - Slower drawing of resources from the EU funds</t>
  </si>
  <si>
    <t>GRAF 17 – Prognóza hrubého a čistého dlhu verejnej správy v rokoch 2021-2024 (% HDP)</t>
  </si>
  <si>
    <t>GRAF 18 – Príspevky k zmene dlhu VS (% HDP)</t>
  </si>
  <si>
    <t>GRAF 19 – Dlhodobá prognóza dlhu v scenári nezmenených politík po roku 2024 (% HDP)</t>
  </si>
  <si>
    <t>Figure 19 - Long-term projection of public debt in No-policy change scenario after 2024 (% of GDP)</t>
  </si>
  <si>
    <t>Figure 20 -Sustainability of S1 (% of GDP)</t>
  </si>
  <si>
    <t>Figure 21 -Sustainability of S2 (% of GDP)</t>
  </si>
  <si>
    <r>
      <t>Table 6</t>
    </r>
    <r>
      <rPr>
        <sz val="9"/>
        <color rgb="FF2C9ADC"/>
        <rFont val="Arial Narrow"/>
        <family val="2"/>
        <charset val="238"/>
      </rPr>
      <t xml:space="preserve"> </t>
    </r>
    <r>
      <rPr>
        <b/>
        <sz val="9"/>
        <color rgb="FF2C9ADC"/>
        <rFont val="Arial Narrow"/>
        <family val="2"/>
        <charset val="238"/>
      </rPr>
      <t>– Decomposition of long-term sustainability indicator S2 in 2024 (% of GDP)</t>
    </r>
  </si>
  <si>
    <t>Table 6 – Decomposition of long-term sustainability indicator S2 in 2024 (% of GDP)</t>
  </si>
  <si>
    <t>GRAF 5 – Príspevky odvetví k rastu zamestnanosti (p. b.)</t>
  </si>
  <si>
    <t>GRAF 6 – Príspevky k inflácii (p. b.)</t>
  </si>
  <si>
    <t>GRAF 8 – Akciové indexy sa po prudkom prepade rýchlo spamätali (15. jan 2016 = 1)</t>
  </si>
  <si>
    <t>GRAF 11 – Vývoj produkčnej medzery (% pot. HDP): porovnanie MF SR, NBS, EK</t>
  </si>
  <si>
    <t>GRAF 20 – Udržateľnosť S1 (% HDP)</t>
  </si>
  <si>
    <t>GRAF 21 – Udržateľnosť S2 (% HDP)</t>
  </si>
  <si>
    <t>GRAF 27 – Daňová medzera na DPH (% potenciálneho výnosu)</t>
  </si>
  <si>
    <t>GRAF 28 – Vývoj výdavkov VS (% HDP)</t>
  </si>
  <si>
    <t>GRAF 29 – Porovnanie prognóz makroekonomických základní pre rozpočtové príjmy s členmi výboru</t>
  </si>
  <si>
    <t>TABUĽKA 10 – Prognóza vybraných indikátorov vývoja ekonomiky SR</t>
  </si>
  <si>
    <t>TABUĽKA 11 – Porovnanie rozpočtových cieľov s Programom stability</t>
  </si>
  <si>
    <t>TABUĽKA 12 – Hodnotenie septembrovej prognózy MF SR vo Výbore pre makroekonomické prognózy</t>
  </si>
  <si>
    <t>TABUĽKA 13 – Priemerná prognóza členov Výboru* (okrem MF SR) a prognóza MF SR</t>
  </si>
  <si>
    <t>TABUĽKA 14 – Hodnotenie prognózy MF SR vo Výbore pre daňové prognózy</t>
  </si>
  <si>
    <t>TABUĽKA 15 – Hotovostné vplyvy na zmenu nominálneho hrubého dlhu verejnej správy (v mil. eur)</t>
  </si>
  <si>
    <t>TABUĽKA 16 – Zoznam jednorazových opatrení</t>
  </si>
  <si>
    <t>TABUĽKA 17 – Výdavkové pravidlo</t>
  </si>
  <si>
    <t>TABUĽKA 18 – Diskrečné opatrenia – medziročné vplyvy opatrení (mil. eur, ESA2010)</t>
  </si>
  <si>
    <t>TABUĽKA – Jednotlivé opatrenia prijaté v boji proti korona-vírusu</t>
  </si>
  <si>
    <t>Figure 1 – Contributions to the GDP growth</t>
  </si>
  <si>
    <t>Figure 2 – Monthly export of goods</t>
  </si>
  <si>
    <t xml:space="preserve">Figure 3 – Preliminary plan of allocating investments from EU funds and RRP </t>
  </si>
  <si>
    <t xml:space="preserve">Figure 4 – Real GDP forecast </t>
  </si>
  <si>
    <t xml:space="preserve">Figure 5 – Contributions of sectors to employment growth </t>
  </si>
  <si>
    <t>Figure 6 – Contributions to inflation</t>
  </si>
  <si>
    <t>Figure 7 – GDP of main trading partners</t>
  </si>
  <si>
    <t>Figure 8 – Stock indices</t>
  </si>
  <si>
    <t>Figure 9 – Reported and forecasted new COVID-19 cases</t>
  </si>
  <si>
    <t>Figure 10 – Impact of the 3rd wave on household consumption</t>
  </si>
  <si>
    <t>Figure 11 – Output gap</t>
  </si>
  <si>
    <t>Figure 12 – Analytical description of GG balance development in 2021</t>
  </si>
  <si>
    <t>Figure 13 – Summary of measures taken to combat coronavirus (estimated by the end of the year, in% of GDP)</t>
  </si>
  <si>
    <t>Figure 14 – Factors leading to an increase in the structural deficit between 2020 and 2021 in% of GDP</t>
  </si>
  <si>
    <t>Figure 15 – Nominal balance according different fiscal rules (% of GDP)</t>
  </si>
  <si>
    <t>Figure 16 – Structural balance according different fiscal rules (% of GDP)</t>
  </si>
  <si>
    <t xml:space="preserve">Figure 17 – Projection of gross and net public debtin 2022-2024 (% of GDP) </t>
  </si>
  <si>
    <t>Figure 18 – Main drivers of change in public debt (% of GDP)</t>
  </si>
  <si>
    <t>Figure 19 – Long-term projection of public debt in No-policy change scenario after 2024 (% of GDP)</t>
  </si>
  <si>
    <t>Figure 20 – Sustainability of S1 (% of GDP)</t>
  </si>
  <si>
    <t>Figure 21 – Sustainability of S2 (% of GDP)</t>
  </si>
  <si>
    <t>Figure 24 – GDP, taxes and social contributions growth ( % y-o-y)</t>
  </si>
  <si>
    <t>Figure 25 – Procyclical behavior of CIT did not repeat as in 2009 (y-o-y growth)</t>
  </si>
  <si>
    <t>Figure 26 – Effective tax rate</t>
  </si>
  <si>
    <t>Figure 27 – VAT gap</t>
  </si>
  <si>
    <t>Figure 28 – Development of the general government expenditures</t>
  </si>
  <si>
    <t>Figure 29 – Comparison of forecasts of macroeconomic bases for tax revenues</t>
  </si>
  <si>
    <t>Table 1 – Comparison of forecasts of EC and MoF SR</t>
  </si>
  <si>
    <t>Table 2 – Output gap and factor contributions to potential growth</t>
  </si>
  <si>
    <t>Table 3 – Reoccuring lockdown</t>
  </si>
  <si>
    <t>Table 5 – Consolidation effort</t>
  </si>
  <si>
    <t>Table 7 – General government expenditure by COFOG classification</t>
  </si>
  <si>
    <t>Table 8 – Comparison of Expenditure and Revenue Balance and NPC</t>
  </si>
  <si>
    <t>Table 9 – Expenditure measures included in the draft general government budget</t>
  </si>
  <si>
    <t>Table 10 – Forecast of selected economic indicators in SR</t>
  </si>
  <si>
    <t>Table 11 –</t>
  </si>
  <si>
    <t>Table 12 – Assessment of the September MoF forecast by the Macroeconomic Forecast Committee</t>
  </si>
  <si>
    <t>Table 13 – Average forecast of MFC members and forecast of MoF SR</t>
  </si>
  <si>
    <t>Table 14 – Assessment of the  MoF forecast by the Tax Forecast Committee</t>
  </si>
  <si>
    <t>Table 16 – One-off measures</t>
  </si>
  <si>
    <t>Table 17 – Expenditure benchmark</t>
  </si>
  <si>
    <t>Table 18 – Discretionary revenue measures</t>
  </si>
  <si>
    <t>Table – List of measures taken to combat coronavirus</t>
  </si>
  <si>
    <t>Obsah – Návrh rozpočtového plánu SR na rok 2022</t>
  </si>
  <si>
    <t>526*</t>
  </si>
  <si>
    <t>OS – očakávaná skutočnosť ku koncu roka; N – návrh rozpočtu verejnej správy</t>
  </si>
  <si>
    <t>OS – expected values by the end of year; N – draf of general government budget</t>
  </si>
  <si>
    <t>Table 15 - Impact of cash changes on nominal gross public debt (mil. eur)</t>
  </si>
  <si>
    <t>Table 15 – Impact of cash changes on nominal gross public debt (mil. eur)</t>
  </si>
  <si>
    <t>SCHÉMA 1 - Časový harmonogram najprísnejších sankcií od roku 2023</t>
  </si>
  <si>
    <t>SCHEME 1 - Time schedule of highest sanctions from 2023</t>
  </si>
  <si>
    <t>Scheme 1 – Time schedule of highest sanctions from 2023</t>
  </si>
  <si>
    <t>SCHÉMA 1 – Časový harmonogram najprísnejších sankcií od roku 2023</t>
  </si>
  <si>
    <t>GRAF 2 – Export tovarov po mesiacoch (mil. Eur)</t>
  </si>
  <si>
    <t>GRAF 1 – Príspevky k rastu HDP - prognóza (p. b.)</t>
  </si>
  <si>
    <t>GRAF 2: Export tovarov po mesiacoch (mil. EUR)</t>
  </si>
  <si>
    <t>Figure 2: Monthly export of goods (mil. EUR)</t>
  </si>
  <si>
    <t>Rast DV so SDŽ</t>
  </si>
  <si>
    <t>Znížený rast ADH</t>
  </si>
  <si>
    <t>Rodičovský dôchodok</t>
  </si>
  <si>
    <t>PSD - 40 rokov</t>
  </si>
  <si>
    <t>Zrušenie max. VZ a RZSP</t>
  </si>
  <si>
    <t>Celkovo</t>
  </si>
  <si>
    <t>Interakcia opatrení</t>
  </si>
  <si>
    <t>Linking retirement age to life expectancy</t>
  </si>
  <si>
    <t>Early retirement after 40 years</t>
  </si>
  <si>
    <t>Parental bonus</t>
  </si>
  <si>
    <t>Decreased growth of the current pension point value</t>
  </si>
  <si>
    <t>Abolition of the ceiling on contributions &amp; the annual settlement of social insurance</t>
  </si>
  <si>
    <t>Interaction of measures</t>
  </si>
  <si>
    <t>Overall effect</t>
  </si>
  <si>
    <t>Poznámka: Pre roky 2017 až 2020 boli použité údaje, ktoré ŠU SR poslal do jesennej notifikácie 2021 Eurostatu. Avšak boli zachované údaje z jarnej notifikácie na položke Naturálne sociálne transfery (D632) na výdavkovej strane a na položke Trhová produkcia (P1M) na príjmovej strane. Táto úprava bola urobená kvôli zachovaniu konzistentnosti časového radu na týchto položkách.</t>
  </si>
  <si>
    <t>Table 4 – Drawing of resources from the EU funds</t>
  </si>
  <si>
    <t>S2</t>
  </si>
  <si>
    <t>FIGURE 23 – Change of indicator S2 during the introduction of individual measures of the current reform (in percentage points ofGDP)</t>
  </si>
  <si>
    <t>FIGURE 22 - Impact of the measures of the current reform of the first pillar on age-related expenditures (p.p. of GDP)</t>
  </si>
  <si>
    <t>Figure 22 – Impact of the measures of the current reform of the first pillar on age-related expenditures (p.p. of GDP)</t>
  </si>
  <si>
    <t>Figure 23 – Change of indicator S2 during the introduction of individual measures of the current reform (p.p. ofGDP)</t>
  </si>
  <si>
    <t>NPC-NRVS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</si>
</sst>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\ _€_-;\-* #,##0.00\ _€_-;_-* &quot;-&quot;??\ _€_-;_-@_-"/>
    <numFmt numFmtId="165" formatCode="[$-409]mmm\-yy;@"/>
    <numFmt numFmtId="166" formatCode="0.0"/>
    <numFmt numFmtId="167" formatCode="#,##0.0"/>
    <numFmt numFmtId="168" formatCode="0.0%"/>
    <numFmt numFmtId="169" formatCode="_-[$€-2]* #,##0.00_-;\-[$€-2]* #,##0.00_-;_-[$€-2]* &quot;-&quot;??_-"/>
    <numFmt numFmtId="170" formatCode="_-* #,##0.0\ _€_-;\-* #,##0.0\ _€_-;_-* &quot;-&quot;??\ _€_-;_-@_-"/>
    <numFmt numFmtId="171" formatCode="_-* #,##0.00\ _S_k_-;\-* #,##0.00\ _S_k_-;_-* &quot;-&quot;??\ _S_k_-;_-@_-"/>
    <numFmt numFmtId="172" formatCode="#,##0.000"/>
    <numFmt numFmtId="173" formatCode="&quot; &quot;#,##0.00&quot; &quot;;&quot;-&quot;#,##0.00&quot; &quot;;&quot; -&quot;00&quot; &quot;;&quot; &quot;@&quot; &quot;"/>
    <numFmt numFmtId="174" formatCode="0.000"/>
    <numFmt numFmtId="175" formatCode="_-* #,##0\ _€_-;\-* #,##0\ _€_-;_-* &quot;-&quot;??\ _€_-;_-@_-"/>
    <numFmt numFmtId="176" formatCode="0.0000"/>
    <numFmt numFmtId="177" formatCode="0.000000"/>
    <numFmt numFmtId="178" formatCode="_-* #,##0.00\ _S_k_-;\-* #,##0.00\ _S_k_-;_-* \-??\ _S_k_-;_-@_-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 Narrow"/>
      <family val="2"/>
    </font>
    <font>
      <sz val="11"/>
      <name val="Arial"/>
      <family val="2"/>
      <charset val="238"/>
    </font>
    <font>
      <sz val="11"/>
      <color indexed="8"/>
      <name val="Arial Narrow"/>
      <family val="2"/>
      <charset val="238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</font>
    <font>
      <i/>
      <sz val="10"/>
      <color rgb="FF000000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indexed="8"/>
      <name val="Garamond"/>
      <family val="1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"/>
      <name val="Arial Narrow"/>
      <family val="2"/>
      <charset val="238"/>
    </font>
    <font>
      <b/>
      <sz val="9"/>
      <color theme="4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b/>
      <sz val="9"/>
      <color rgb="FF9C0006"/>
      <name val="Arial Narrow"/>
      <family val="2"/>
      <charset val="238"/>
    </font>
    <font>
      <b/>
      <sz val="9"/>
      <color rgb="FF006100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1"/>
      <name val="Calibri"/>
      <family val="2"/>
      <scheme val="minor"/>
    </font>
    <font>
      <b/>
      <sz val="9"/>
      <color indexed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color theme="0" tint="-0.249977111117893"/>
      <name val="Arial Narrow"/>
      <family val="2"/>
      <charset val="238"/>
    </font>
    <font>
      <b/>
      <vertAlign val="superscript"/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4"/>
      <name val="Arial Narrow"/>
      <family val="2"/>
      <charset val="238"/>
    </font>
    <font>
      <b/>
      <sz val="9"/>
      <color rgb="FF00B0F0"/>
      <name val="Arial Narrow"/>
      <family val="2"/>
      <charset val="238"/>
    </font>
    <font>
      <sz val="9"/>
      <color theme="0" tint="-0.499984740745262"/>
      <name val="Arial Narrow"/>
      <family val="2"/>
      <charset val="238"/>
    </font>
    <font>
      <sz val="9"/>
      <color rgb="FF2C9ADC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i/>
      <sz val="10"/>
      <name val="Arial"/>
      <family val="2"/>
      <charset val="238"/>
    </font>
    <font>
      <sz val="11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theme="1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name val="Arial Narrow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9C9BA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488">
    <xf numFmtId="0" fontId="0" fillId="0" borderId="0"/>
    <xf numFmtId="0" fontId="23" fillId="0" borderId="0"/>
    <xf numFmtId="0" fontId="24" fillId="0" borderId="0"/>
    <xf numFmtId="0" fontId="23" fillId="0" borderId="0"/>
    <xf numFmtId="0" fontId="25" fillId="0" borderId="0" applyNumberFormat="0" applyFill="0" applyBorder="0" applyAlignment="0" applyProtection="0"/>
    <xf numFmtId="0" fontId="26" fillId="0" borderId="0"/>
    <xf numFmtId="165" fontId="27" fillId="0" borderId="0"/>
    <xf numFmtId="9" fontId="2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29" fillId="0" borderId="0"/>
    <xf numFmtId="0" fontId="19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/>
    <xf numFmtId="0" fontId="22" fillId="0" borderId="0"/>
    <xf numFmtId="0" fontId="18" fillId="0" borderId="0"/>
    <xf numFmtId="0" fontId="30" fillId="0" borderId="0"/>
    <xf numFmtId="9" fontId="30" fillId="0" borderId="0" applyFont="0" applyFill="0" applyBorder="0" applyAlignment="0" applyProtection="0"/>
    <xf numFmtId="0" fontId="28" fillId="0" borderId="0"/>
    <xf numFmtId="0" fontId="20" fillId="0" borderId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4" fillId="0" borderId="0"/>
    <xf numFmtId="0" fontId="17" fillId="0" borderId="0"/>
    <xf numFmtId="0" fontId="16" fillId="0" borderId="0"/>
    <xf numFmtId="164" fontId="16" fillId="0" borderId="0" applyFont="0" applyFill="0" applyBorder="0" applyAlignment="0" applyProtection="0"/>
    <xf numFmtId="0" fontId="26" fillId="0" borderId="0"/>
    <xf numFmtId="0" fontId="33" fillId="0" borderId="0"/>
    <xf numFmtId="17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24" applyNumberFormat="0" applyFill="0" applyAlignment="0" applyProtection="0"/>
    <xf numFmtId="0" fontId="39" fillId="7" borderId="0" applyNumberFormat="0" applyBorder="0" applyAlignment="0" applyProtection="0"/>
    <xf numFmtId="0" fontId="36" fillId="6" borderId="23" applyNumberFormat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2" fillId="0" borderId="0"/>
    <xf numFmtId="0" fontId="15" fillId="0" borderId="0"/>
    <xf numFmtId="0" fontId="24" fillId="0" borderId="0"/>
    <xf numFmtId="0" fontId="14" fillId="0" borderId="0"/>
    <xf numFmtId="0" fontId="32" fillId="0" borderId="0"/>
    <xf numFmtId="0" fontId="13" fillId="0" borderId="0"/>
    <xf numFmtId="0" fontId="41" fillId="0" borderId="0"/>
    <xf numFmtId="9" fontId="32" fillId="0" borderId="0" applyFont="0" applyFill="0" applyBorder="0" applyAlignment="0" applyProtection="0"/>
    <xf numFmtId="0" fontId="28" fillId="0" borderId="0"/>
    <xf numFmtId="0" fontId="32" fillId="0" borderId="0"/>
    <xf numFmtId="171" fontId="32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0" fontId="30" fillId="0" borderId="0"/>
    <xf numFmtId="0" fontId="30" fillId="0" borderId="0"/>
    <xf numFmtId="0" fontId="20" fillId="0" borderId="0"/>
    <xf numFmtId="9" fontId="20" fillId="0" borderId="0" applyFont="0" applyFill="0" applyBorder="0" applyAlignment="0" applyProtection="0"/>
    <xf numFmtId="0" fontId="12" fillId="0" borderId="0"/>
    <xf numFmtId="0" fontId="29" fillId="0" borderId="0"/>
    <xf numFmtId="0" fontId="32" fillId="0" borderId="0"/>
    <xf numFmtId="0" fontId="11" fillId="0" borderId="0"/>
    <xf numFmtId="0" fontId="29" fillId="0" borderId="0"/>
    <xf numFmtId="0" fontId="10" fillId="0" borderId="0"/>
    <xf numFmtId="164" fontId="1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1" fillId="18" borderId="39" applyNumberFormat="0" applyAlignment="0" applyProtection="0"/>
    <xf numFmtId="0" fontId="62" fillId="19" borderId="40" applyNumberFormat="0" applyAlignment="0" applyProtection="0"/>
    <xf numFmtId="0" fontId="63" fillId="19" borderId="39" applyNumberFormat="0" applyAlignment="0" applyProtection="0"/>
    <xf numFmtId="0" fontId="64" fillId="0" borderId="41" applyNumberFormat="0" applyFill="0" applyAlignment="0" applyProtection="0"/>
    <xf numFmtId="0" fontId="65" fillId="20" borderId="23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43" applyNumberFormat="0" applyFill="0" applyAlignment="0" applyProtection="0"/>
    <xf numFmtId="0" fontId="69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69" fillId="45" borderId="0" applyNumberFormat="0" applyBorder="0" applyAlignment="0" applyProtection="0"/>
    <xf numFmtId="0" fontId="7" fillId="0" borderId="0"/>
    <xf numFmtId="0" fontId="7" fillId="21" borderId="42" applyNumberFormat="0" applyFont="0" applyAlignment="0" applyProtection="0"/>
    <xf numFmtId="0" fontId="6" fillId="0" borderId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0" fontId="99" fillId="0" borderId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2" fillId="0" borderId="0"/>
    <xf numFmtId="4" fontId="100" fillId="48" borderId="48" applyNumberFormat="0" applyProtection="0">
      <alignment vertical="center"/>
    </xf>
    <xf numFmtId="0" fontId="2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4" fillId="0" borderId="0"/>
    <xf numFmtId="0" fontId="26" fillId="0" borderId="0">
      <alignment vertical="center"/>
    </xf>
    <xf numFmtId="0" fontId="27" fillId="0" borderId="0"/>
    <xf numFmtId="0" fontId="22" fillId="0" borderId="0"/>
    <xf numFmtId="9" fontId="22" fillId="0" borderId="0" applyFont="0" applyFill="0" applyBorder="0" applyAlignment="0" applyProtection="0"/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9" fontId="26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9" fontId="27" fillId="0" borderId="0" applyFont="0" applyFill="0" applyBorder="0" applyAlignment="0" applyProtection="0"/>
    <xf numFmtId="0" fontId="98" fillId="0" borderId="0"/>
    <xf numFmtId="9" fontId="98" fillId="0" borderId="0" applyFont="0" applyFill="0" applyBorder="0" applyAlignment="0" applyProtection="0"/>
    <xf numFmtId="0" fontId="98" fillId="0" borderId="0"/>
    <xf numFmtId="0" fontId="102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2" fillId="0" borderId="0"/>
    <xf numFmtId="0" fontId="10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2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98" fillId="0" borderId="0"/>
    <xf numFmtId="9" fontId="9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98" fillId="0" borderId="0"/>
    <xf numFmtId="9" fontId="9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98" fillId="0" borderId="0"/>
    <xf numFmtId="9" fontId="98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2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10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" fillId="0" borderId="0"/>
    <xf numFmtId="0" fontId="98" fillId="0" borderId="0"/>
    <xf numFmtId="9" fontId="98" fillId="0" borderId="0" applyFont="0" applyFill="0" applyBorder="0" applyAlignment="0" applyProtection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9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9" fontId="26" fillId="0" borderId="0" applyFont="0" applyFill="0" applyBorder="0" applyAlignment="0" applyProtection="0"/>
    <xf numFmtId="0" fontId="26" fillId="0" borderId="0">
      <alignment vertical="center"/>
    </xf>
    <xf numFmtId="9" fontId="26" fillId="0" borderId="0" applyFont="0" applyFill="0" applyBorder="0" applyAlignment="0" applyProtection="0"/>
    <xf numFmtId="0" fontId="27" fillId="0" borderId="0"/>
    <xf numFmtId="171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7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/>
    <xf numFmtId="0" fontId="26" fillId="0" borderId="0">
      <alignment vertical="center"/>
    </xf>
    <xf numFmtId="0" fontId="26" fillId="0" borderId="0" applyNumberFormat="0" applyFont="0" applyFill="0" applyBorder="0" applyAlignment="0" applyProtection="0"/>
    <xf numFmtId="0" fontId="2" fillId="0" borderId="0"/>
    <xf numFmtId="0" fontId="26" fillId="0" borderId="0">
      <alignment vertical="center"/>
    </xf>
    <xf numFmtId="9" fontId="103" fillId="0" borderId="0" applyFont="0" applyFill="0" applyBorder="0" applyAlignment="0" applyProtection="0"/>
    <xf numFmtId="0" fontId="27" fillId="0" borderId="0"/>
    <xf numFmtId="0" fontId="27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7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7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7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7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2" fillId="0" borderId="0"/>
    <xf numFmtId="0" fontId="2" fillId="0" borderId="0"/>
    <xf numFmtId="0" fontId="26" fillId="0" borderId="0" applyNumberFormat="0" applyFont="0" applyFill="0" applyBorder="0" applyAlignment="0" applyProtection="0"/>
    <xf numFmtId="9" fontId="103" fillId="0" borderId="0" applyFont="0" applyFill="0" applyBorder="0" applyAlignment="0" applyProtection="0"/>
    <xf numFmtId="0" fontId="22" fillId="0" borderId="0"/>
    <xf numFmtId="0" fontId="26" fillId="0" borderId="0"/>
    <xf numFmtId="0" fontId="104" fillId="0" borderId="0" applyNumberFormat="0" applyFill="0" applyBorder="0" applyAlignment="0" applyProtection="0"/>
    <xf numFmtId="0" fontId="105" fillId="0" borderId="36" applyNumberFormat="0" applyFill="0" applyAlignment="0" applyProtection="0"/>
    <xf numFmtId="0" fontId="106" fillId="0" borderId="37" applyNumberFormat="0" applyFill="0" applyAlignment="0" applyProtection="0"/>
    <xf numFmtId="0" fontId="107" fillId="0" borderId="38" applyNumberFormat="0" applyFill="0" applyAlignment="0" applyProtection="0"/>
    <xf numFmtId="0" fontId="107" fillId="0" borderId="0" applyNumberFormat="0" applyFill="0" applyBorder="0" applyAlignment="0" applyProtection="0"/>
    <xf numFmtId="0" fontId="108" fillId="15" borderId="0" applyNumberFormat="0" applyBorder="0" applyAlignment="0" applyProtection="0"/>
    <xf numFmtId="0" fontId="109" fillId="16" borderId="0" applyNumberFormat="0" applyBorder="0" applyAlignment="0" applyProtection="0"/>
    <xf numFmtId="0" fontId="110" fillId="17" borderId="0" applyNumberFormat="0" applyBorder="0" applyAlignment="0" applyProtection="0"/>
    <xf numFmtId="0" fontId="111" fillId="18" borderId="39" applyNumberFormat="0" applyAlignment="0" applyProtection="0"/>
    <xf numFmtId="0" fontId="112" fillId="19" borderId="40" applyNumberFormat="0" applyAlignment="0" applyProtection="0"/>
    <xf numFmtId="0" fontId="113" fillId="19" borderId="39" applyNumberFormat="0" applyAlignment="0" applyProtection="0"/>
    <xf numFmtId="0" fontId="114" fillId="0" borderId="41" applyNumberFormat="0" applyFill="0" applyAlignment="0" applyProtection="0"/>
    <xf numFmtId="0" fontId="115" fillId="20" borderId="23" applyNumberFormat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43" applyNumberFormat="0" applyFill="0" applyAlignment="0" applyProtection="0"/>
    <xf numFmtId="0" fontId="119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119" fillId="25" borderId="0" applyNumberFormat="0" applyBorder="0" applyAlignment="0" applyProtection="0"/>
    <xf numFmtId="0" fontId="119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19" fillId="29" borderId="0" applyNumberFormat="0" applyBorder="0" applyAlignment="0" applyProtection="0"/>
    <xf numFmtId="0" fontId="119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119" fillId="33" borderId="0" applyNumberFormat="0" applyBorder="0" applyAlignment="0" applyProtection="0"/>
    <xf numFmtId="0" fontId="119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119" fillId="37" borderId="0" applyNumberFormat="0" applyBorder="0" applyAlignment="0" applyProtection="0"/>
    <xf numFmtId="0" fontId="119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119" fillId="41" borderId="0" applyNumberFormat="0" applyBorder="0" applyAlignment="0" applyProtection="0"/>
    <xf numFmtId="0" fontId="119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119" fillId="45" borderId="0" applyNumberFormat="0" applyBorder="0" applyAlignment="0" applyProtection="0"/>
    <xf numFmtId="0" fontId="22" fillId="21" borderId="42" applyNumberFormat="0" applyFont="0" applyAlignment="0" applyProtection="0"/>
    <xf numFmtId="0" fontId="22" fillId="21" borderId="42" applyNumberFormat="0" applyFont="0" applyAlignment="0" applyProtection="0"/>
    <xf numFmtId="0" fontId="22" fillId="21" borderId="42" applyNumberFormat="0" applyFont="0" applyAlignment="0" applyProtection="0"/>
    <xf numFmtId="0" fontId="22" fillId="21" borderId="42" applyNumberFormat="0" applyFont="0" applyAlignment="0" applyProtection="0"/>
    <xf numFmtId="0" fontId="22" fillId="21" borderId="42" applyNumberFormat="0" applyFont="0" applyAlignment="0" applyProtection="0"/>
    <xf numFmtId="0" fontId="22" fillId="21" borderId="42" applyNumberFormat="0" applyFont="0" applyAlignment="0" applyProtection="0"/>
    <xf numFmtId="0" fontId="22" fillId="0" borderId="0"/>
    <xf numFmtId="0" fontId="2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98" fillId="0" borderId="0"/>
    <xf numFmtId="9" fontId="98" fillId="0" borderId="0" applyFont="0" applyFill="0" applyBorder="0" applyAlignment="0" applyProtection="0"/>
    <xf numFmtId="0" fontId="26" fillId="0" borderId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>
      <alignment vertical="center"/>
    </xf>
    <xf numFmtId="9" fontId="26" fillId="0" borderId="0" applyFont="0" applyFill="0" applyBorder="0" applyAlignment="0" applyProtection="0"/>
    <xf numFmtId="0" fontId="121" fillId="61" borderId="0" applyNumberFormat="0" applyBorder="0" applyAlignment="0" applyProtection="0"/>
    <xf numFmtId="0" fontId="120" fillId="55" borderId="0" applyNumberFormat="0" applyBorder="0" applyAlignment="0" applyProtection="0"/>
    <xf numFmtId="0" fontId="121" fillId="57" borderId="0" applyNumberFormat="0" applyBorder="0" applyAlignment="0" applyProtection="0"/>
    <xf numFmtId="0" fontId="26" fillId="0" borderId="0"/>
    <xf numFmtId="0" fontId="126" fillId="51" borderId="0" applyNumberFormat="0" applyBorder="0" applyAlignment="0" applyProtection="0"/>
    <xf numFmtId="0" fontId="26" fillId="0" borderId="0"/>
    <xf numFmtId="0" fontId="120" fillId="69" borderId="55" applyNumberFormat="0" applyFont="0" applyAlignment="0" applyProtection="0"/>
    <xf numFmtId="0" fontId="26" fillId="0" borderId="0"/>
    <xf numFmtId="0" fontId="135" fillId="0" borderId="57" applyNumberFormat="0" applyFill="0" applyAlignment="0" applyProtection="0"/>
    <xf numFmtId="0" fontId="26" fillId="0" borderId="0"/>
    <xf numFmtId="0" fontId="26" fillId="0" borderId="0"/>
    <xf numFmtId="0" fontId="26" fillId="0" borderId="0"/>
    <xf numFmtId="0" fontId="124" fillId="68" borderId="50" applyNumberFormat="0" applyAlignment="0" applyProtection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121" fillId="60" borderId="0" applyNumberFormat="0" applyBorder="0" applyAlignment="0" applyProtection="0"/>
    <xf numFmtId="0" fontId="120" fillId="51" borderId="0" applyNumberFormat="0" applyBorder="0" applyAlignment="0" applyProtection="0"/>
    <xf numFmtId="0" fontId="121" fillId="65" borderId="0" applyNumberFormat="0" applyBorder="0" applyAlignment="0" applyProtection="0"/>
    <xf numFmtId="0" fontId="26" fillId="0" borderId="0"/>
    <xf numFmtId="0" fontId="26" fillId="0" borderId="0"/>
    <xf numFmtId="0" fontId="120" fillId="55" borderId="0" applyNumberFormat="0" applyBorder="0" applyAlignment="0" applyProtection="0"/>
    <xf numFmtId="0" fontId="26" fillId="0" borderId="0"/>
    <xf numFmtId="0" fontId="130" fillId="54" borderId="49" applyNumberFormat="0" applyAlignment="0" applyProtection="0"/>
    <xf numFmtId="0" fontId="26" fillId="0" borderId="0"/>
    <xf numFmtId="0" fontId="120" fillId="57" borderId="0" applyNumberFormat="0" applyBorder="0" applyAlignment="0" applyProtection="0"/>
    <xf numFmtId="0" fontId="26" fillId="0" borderId="0"/>
    <xf numFmtId="0" fontId="131" fillId="0" borderId="54" applyNumberFormat="0" applyFill="0" applyAlignment="0" applyProtection="0"/>
    <xf numFmtId="0" fontId="26" fillId="0" borderId="0"/>
    <xf numFmtId="0" fontId="26" fillId="0" borderId="0"/>
    <xf numFmtId="0" fontId="26" fillId="0" borderId="0"/>
    <xf numFmtId="0" fontId="120" fillId="52" borderId="0" applyNumberFormat="0" applyBorder="0" applyAlignment="0" applyProtection="0"/>
    <xf numFmtId="0" fontId="120" fillId="50" borderId="0" applyNumberFormat="0" applyBorder="0" applyAlignment="0" applyProtection="0"/>
    <xf numFmtId="0" fontId="133" fillId="67" borderId="56" applyNumberFormat="0" applyAlignment="0" applyProtection="0"/>
    <xf numFmtId="0" fontId="129" fillId="0" borderId="53" applyNumberFormat="0" applyFill="0" applyAlignment="0" applyProtection="0"/>
    <xf numFmtId="0" fontId="120" fillId="58" borderId="0" applyNumberFormat="0" applyBorder="0" applyAlignment="0" applyProtection="0"/>
    <xf numFmtId="0" fontId="127" fillId="0" borderId="51" applyNumberFormat="0" applyFill="0" applyAlignment="0" applyProtection="0"/>
    <xf numFmtId="0" fontId="120" fillId="56" borderId="0" applyNumberFormat="0" applyBorder="0" applyAlignment="0" applyProtection="0"/>
    <xf numFmtId="0" fontId="26" fillId="0" borderId="0"/>
    <xf numFmtId="0" fontId="121" fillId="63" borderId="0" applyNumberFormat="0" applyBorder="0" applyAlignment="0" applyProtection="0"/>
    <xf numFmtId="0" fontId="123" fillId="67" borderId="49" applyNumberFormat="0" applyAlignment="0" applyProtection="0"/>
    <xf numFmtId="0" fontId="120" fillId="53" borderId="0" applyNumberFormat="0" applyBorder="0" applyAlignment="0" applyProtection="0"/>
    <xf numFmtId="0" fontId="128" fillId="0" borderId="52" applyNumberFormat="0" applyFill="0" applyAlignment="0" applyProtection="0"/>
    <xf numFmtId="0" fontId="129" fillId="0" borderId="0" applyNumberFormat="0" applyFill="0" applyBorder="0" applyAlignment="0" applyProtection="0"/>
    <xf numFmtId="0" fontId="121" fillId="61" borderId="0" applyNumberFormat="0" applyBorder="0" applyAlignment="0" applyProtection="0"/>
    <xf numFmtId="0" fontId="121" fillId="5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134" fillId="0" borderId="0" applyNumberFormat="0" applyFill="0" applyBorder="0" applyAlignment="0" applyProtection="0"/>
    <xf numFmtId="0" fontId="121" fillId="66" borderId="0" applyNumberFormat="0" applyBorder="0" applyAlignment="0" applyProtection="0"/>
    <xf numFmtId="0" fontId="26" fillId="0" borderId="0"/>
    <xf numFmtId="0" fontId="120" fillId="52" borderId="0" applyNumberFormat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121" fillId="64" borderId="0" applyNumberFormat="0" applyBorder="0" applyAlignment="0" applyProtection="0"/>
    <xf numFmtId="0" fontId="125" fillId="0" borderId="0" applyNumberForma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22" fillId="50" borderId="0" applyNumberFormat="0" applyBorder="0" applyAlignment="0" applyProtection="0"/>
    <xf numFmtId="0" fontId="121" fillId="62" borderId="0" applyNumberFormat="0" applyBorder="0" applyAlignment="0" applyProtection="0"/>
    <xf numFmtId="0" fontId="121" fillId="59" borderId="0" applyNumberFormat="0" applyBorder="0" applyAlignment="0" applyProtection="0"/>
    <xf numFmtId="9" fontId="26" fillId="0" borderId="0" applyFont="0" applyFill="0" applyBorder="0" applyAlignment="0" applyProtection="0"/>
    <xf numFmtId="0" fontId="132" fillId="48" borderId="0" applyNumberFormat="0" applyBorder="0" applyAlignment="0" applyProtection="0"/>
    <xf numFmtId="0" fontId="120" fillId="49" borderId="0" applyNumberFormat="0" applyBorder="0" applyAlignment="0" applyProtection="0"/>
    <xf numFmtId="0" fontId="26" fillId="0" borderId="0"/>
    <xf numFmtId="0" fontId="8" fillId="0" borderId="0"/>
    <xf numFmtId="178" fontId="26" fillId="0" borderId="0" applyFill="0" applyBorder="0" applyAlignment="0" applyProtection="0"/>
    <xf numFmtId="0" fontId="98" fillId="0" borderId="0"/>
    <xf numFmtId="0" fontId="26" fillId="0" borderId="0">
      <alignment vertical="center"/>
    </xf>
    <xf numFmtId="171" fontId="2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98" fillId="0" borderId="0"/>
    <xf numFmtId="9" fontId="98" fillId="0" borderId="0" applyFont="0" applyFill="0" applyBorder="0" applyAlignment="0" applyProtection="0"/>
    <xf numFmtId="0" fontId="98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98" fillId="0" borderId="0"/>
    <xf numFmtId="9" fontId="98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98" fillId="0" borderId="0"/>
    <xf numFmtId="9" fontId="98" fillId="0" borderId="0" applyFont="0" applyFill="0" applyBorder="0" applyAlignment="0" applyProtection="0"/>
    <xf numFmtId="0" fontId="98" fillId="0" borderId="0"/>
    <xf numFmtId="9" fontId="9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98" fillId="0" borderId="0"/>
    <xf numFmtId="9" fontId="98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9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98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6" fillId="0" borderId="0" applyFont="0" applyFill="0" applyBorder="0" applyAlignment="0" applyProtection="0"/>
    <xf numFmtId="0" fontId="98" fillId="0" borderId="0"/>
    <xf numFmtId="9" fontId="98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26" fillId="0" borderId="0"/>
    <xf numFmtId="0" fontId="121" fillId="60" borderId="0" applyNumberFormat="0" applyBorder="0" applyAlignment="0" applyProtection="0"/>
    <xf numFmtId="0" fontId="120" fillId="54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3" fillId="0" borderId="0">
      <alignment vertical="center"/>
    </xf>
    <xf numFmtId="9" fontId="26" fillId="0" borderId="0" applyFont="0" applyFill="0" applyBorder="0" applyAlignment="0" applyProtection="0"/>
    <xf numFmtId="0" fontId="98" fillId="0" borderId="0"/>
    <xf numFmtId="9" fontId="8" fillId="0" borderId="0" applyFont="0" applyFill="0" applyBorder="0" applyAlignment="0" applyProtection="0"/>
    <xf numFmtId="0" fontId="28" fillId="0" borderId="0"/>
  </cellStyleXfs>
  <cellXfs count="888">
    <xf numFmtId="0" fontId="0" fillId="0" borderId="0" xfId="0"/>
    <xf numFmtId="0" fontId="25" fillId="0" borderId="0" xfId="4"/>
    <xf numFmtId="166" fontId="45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3" xfId="0" applyFont="1" applyBorder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46" fillId="0" borderId="2" xfId="0" applyFont="1" applyBorder="1" applyAlignment="1">
      <alignment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166" fontId="46" fillId="0" borderId="2" xfId="0" applyNumberFormat="1" applyFont="1" applyBorder="1" applyAlignment="1">
      <alignment horizontal="center" vertical="center" wrapText="1"/>
    </xf>
    <xf numFmtId="166" fontId="45" fillId="0" borderId="0" xfId="0" applyNumberFormat="1" applyFont="1" applyAlignment="1">
      <alignment horizontal="center" vertical="center" wrapText="1"/>
    </xf>
    <xf numFmtId="166" fontId="45" fillId="0" borderId="8" xfId="0" applyNumberFormat="1" applyFont="1" applyBorder="1" applyAlignment="1">
      <alignment horizontal="center" vertical="center"/>
    </xf>
    <xf numFmtId="166" fontId="48" fillId="0" borderId="2" xfId="0" applyNumberFormat="1" applyFont="1" applyBorder="1" applyAlignment="1">
      <alignment horizontal="center" vertical="center"/>
    </xf>
    <xf numFmtId="166" fontId="48" fillId="0" borderId="11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vertical="center"/>
    </xf>
    <xf numFmtId="0" fontId="45" fillId="2" borderId="4" xfId="0" applyFont="1" applyFill="1" applyBorder="1" applyAlignment="1">
      <alignment vertical="center"/>
    </xf>
    <xf numFmtId="0" fontId="46" fillId="0" borderId="2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0" borderId="4" xfId="0" applyFont="1" applyBorder="1" applyAlignment="1">
      <alignment vertical="center" wrapText="1"/>
    </xf>
    <xf numFmtId="0" fontId="45" fillId="0" borderId="0" xfId="0" applyFont="1" applyAlignment="1">
      <alignment vertical="center"/>
    </xf>
    <xf numFmtId="0" fontId="46" fillId="0" borderId="11" xfId="0" applyFont="1" applyBorder="1" applyAlignment="1">
      <alignment vertical="center"/>
    </xf>
    <xf numFmtId="0" fontId="53" fillId="0" borderId="11" xfId="0" applyFont="1" applyBorder="1" applyAlignment="1">
      <alignment vertical="center"/>
    </xf>
    <xf numFmtId="0" fontId="45" fillId="0" borderId="8" xfId="0" applyFont="1" applyBorder="1" applyAlignment="1">
      <alignment vertical="center" wrapText="1"/>
    </xf>
    <xf numFmtId="0" fontId="45" fillId="0" borderId="9" xfId="0" applyFont="1" applyBorder="1" applyAlignment="1">
      <alignment vertical="center"/>
    </xf>
    <xf numFmtId="0" fontId="8" fillId="0" borderId="0" xfId="0" applyFont="1"/>
    <xf numFmtId="0" fontId="70" fillId="0" borderId="0" xfId="0" applyFont="1" applyFill="1" applyBorder="1" applyAlignment="1">
      <alignment horizontal="left" indent="3"/>
    </xf>
    <xf numFmtId="0" fontId="70" fillId="0" borderId="0" xfId="0" applyFont="1" applyFill="1" applyBorder="1" applyAlignment="1">
      <alignment horizontal="center"/>
    </xf>
    <xf numFmtId="0" fontId="70" fillId="0" borderId="0" xfId="0" applyFont="1" applyBorder="1" applyAlignment="1">
      <alignment horizontal="center"/>
    </xf>
    <xf numFmtId="0" fontId="70" fillId="0" borderId="0" xfId="0" applyFont="1" applyFill="1" applyBorder="1" applyAlignment="1">
      <alignment horizontal="left" indent="4"/>
    </xf>
    <xf numFmtId="0" fontId="70" fillId="0" borderId="0" xfId="0" applyFont="1" applyFill="1" applyBorder="1" applyAlignment="1">
      <alignment horizontal="left"/>
    </xf>
    <xf numFmtId="0" fontId="49" fillId="0" borderId="0" xfId="51" applyFont="1"/>
    <xf numFmtId="0" fontId="71" fillId="0" borderId="0" xfId="51" applyFont="1" applyBorder="1" applyAlignment="1">
      <alignment horizontal="left"/>
    </xf>
    <xf numFmtId="0" fontId="49" fillId="0" borderId="0" xfId="51" applyFont="1" applyFill="1" applyBorder="1"/>
    <xf numFmtId="3" fontId="49" fillId="0" borderId="0" xfId="51" applyNumberFormat="1" applyFont="1" applyAlignment="1">
      <alignment horizontal="center" vertical="center"/>
    </xf>
    <xf numFmtId="0" fontId="50" fillId="0" borderId="1" xfId="119" applyFont="1" applyFill="1" applyBorder="1" applyAlignment="1">
      <alignment vertical="top" wrapText="1"/>
    </xf>
    <xf numFmtId="0" fontId="50" fillId="0" borderId="1" xfId="119" applyFont="1" applyFill="1" applyBorder="1" applyAlignment="1">
      <alignment horizontal="right" vertical="top" wrapText="1"/>
    </xf>
    <xf numFmtId="0" fontId="50" fillId="0" borderId="0" xfId="119" applyFont="1" applyFill="1" applyBorder="1" applyAlignment="1">
      <alignment horizontal="right" vertical="top" wrapText="1"/>
    </xf>
    <xf numFmtId="0" fontId="50" fillId="0" borderId="1" xfId="119" applyFont="1" applyFill="1" applyBorder="1" applyAlignment="1">
      <alignment wrapText="1"/>
    </xf>
    <xf numFmtId="0" fontId="50" fillId="0" borderId="1" xfId="119" applyFont="1" applyFill="1" applyBorder="1" applyAlignment="1">
      <alignment horizontal="right" wrapText="1"/>
    </xf>
    <xf numFmtId="0" fontId="51" fillId="0" borderId="0" xfId="119" applyFont="1" applyFill="1" applyBorder="1"/>
    <xf numFmtId="3" fontId="50" fillId="0" borderId="0" xfId="119" applyNumberFormat="1" applyFont="1" applyFill="1" applyBorder="1"/>
    <xf numFmtId="3" fontId="49" fillId="0" borderId="0" xfId="119" applyNumberFormat="1" applyFont="1" applyFill="1" applyBorder="1" applyProtection="1">
      <protection locked="0"/>
    </xf>
    <xf numFmtId="0" fontId="49" fillId="0" borderId="0" xfId="51" applyFont="1" applyFill="1"/>
    <xf numFmtId="0" fontId="48" fillId="0" borderId="0" xfId="119" applyFont="1" applyFill="1" applyBorder="1"/>
    <xf numFmtId="3" fontId="49" fillId="0" borderId="0" xfId="119" applyNumberFormat="1" applyFont="1" applyFill="1" applyBorder="1"/>
    <xf numFmtId="0" fontId="72" fillId="0" borderId="0" xfId="51" applyFont="1"/>
    <xf numFmtId="3" fontId="49" fillId="0" borderId="0" xfId="51" applyNumberFormat="1" applyFont="1" applyFill="1"/>
    <xf numFmtId="1" fontId="49" fillId="0" borderId="0" xfId="51" applyNumberFormat="1" applyFont="1" applyFill="1"/>
    <xf numFmtId="3" fontId="72" fillId="0" borderId="0" xfId="119" applyNumberFormat="1" applyFont="1" applyFill="1" applyBorder="1" applyProtection="1">
      <protection locked="0"/>
    </xf>
    <xf numFmtId="0" fontId="51" fillId="0" borderId="1" xfId="119" applyFont="1" applyFill="1" applyBorder="1"/>
    <xf numFmtId="3" fontId="50" fillId="0" borderId="1" xfId="119" applyNumberFormat="1" applyFont="1" applyFill="1" applyBorder="1"/>
    <xf numFmtId="3" fontId="49" fillId="0" borderId="1" xfId="119" applyNumberFormat="1" applyFont="1" applyFill="1" applyBorder="1" applyProtection="1">
      <protection locked="0"/>
    </xf>
    <xf numFmtId="10" fontId="49" fillId="0" borderId="0" xfId="120" applyNumberFormat="1" applyFont="1" applyFill="1" applyBorder="1" applyProtection="1">
      <protection locked="0"/>
    </xf>
    <xf numFmtId="166" fontId="53" fillId="0" borderId="0" xfId="51" applyNumberFormat="1" applyFont="1" applyBorder="1" applyAlignment="1">
      <alignment horizontal="right" vertical="center"/>
    </xf>
    <xf numFmtId="0" fontId="50" fillId="0" borderId="0" xfId="51" applyFont="1" applyFill="1" applyBorder="1"/>
    <xf numFmtId="3" fontId="49" fillId="0" borderId="0" xfId="51" applyNumberFormat="1" applyFont="1" applyFill="1" applyBorder="1"/>
    <xf numFmtId="4" fontId="49" fillId="0" borderId="0" xfId="51" applyNumberFormat="1" applyFont="1" applyFill="1" applyBorder="1"/>
    <xf numFmtId="1" fontId="49" fillId="0" borderId="0" xfId="51" applyNumberFormat="1" applyFont="1" applyFill="1" applyBorder="1"/>
    <xf numFmtId="0" fontId="72" fillId="0" borderId="0" xfId="51" applyFont="1" applyFill="1" applyBorder="1"/>
    <xf numFmtId="0" fontId="48" fillId="0" borderId="0" xfId="51" applyFont="1" applyFill="1" applyBorder="1"/>
    <xf numFmtId="0" fontId="49" fillId="0" borderId="0" xfId="51" applyFont="1" applyFill="1" applyBorder="1" applyAlignment="1">
      <alignment horizontal="center"/>
    </xf>
    <xf numFmtId="1" fontId="49" fillId="0" borderId="0" xfId="51" applyNumberFormat="1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53" fillId="0" borderId="2" xfId="0" applyFont="1" applyBorder="1" applyAlignment="1">
      <alignment vertical="center"/>
    </xf>
    <xf numFmtId="0" fontId="53" fillId="0" borderId="2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2" xfId="0" applyFont="1" applyBorder="1" applyAlignment="1">
      <alignment vertical="center" wrapText="1"/>
    </xf>
    <xf numFmtId="0" fontId="47" fillId="0" borderId="0" xfId="69" applyNumberFormat="1" applyFont="1" applyFill="1" applyBorder="1" applyAlignment="1" applyProtection="1"/>
    <xf numFmtId="0" fontId="47" fillId="0" borderId="0" xfId="69" applyNumberFormat="1" applyFont="1" applyFill="1" applyBorder="1" applyAlignment="1" applyProtection="1">
      <alignment horizontal="center"/>
    </xf>
    <xf numFmtId="0" fontId="72" fillId="0" borderId="0" xfId="51" applyFont="1" applyFill="1"/>
    <xf numFmtId="0" fontId="48" fillId="0" borderId="0" xfId="51" applyFont="1" applyFill="1"/>
    <xf numFmtId="0" fontId="49" fillId="0" borderId="0" xfId="0" applyFont="1"/>
    <xf numFmtId="0" fontId="49" fillId="0" borderId="0" xfId="0" applyFont="1" applyFill="1" applyBorder="1" applyAlignment="1">
      <alignment wrapText="1"/>
    </xf>
    <xf numFmtId="0" fontId="49" fillId="0" borderId="1" xfId="0" applyFont="1" applyBorder="1"/>
    <xf numFmtId="0" fontId="45" fillId="0" borderId="0" xfId="0" applyFont="1"/>
    <xf numFmtId="0" fontId="49" fillId="0" borderId="0" xfId="0" applyFont="1" applyAlignment="1">
      <alignment wrapText="1"/>
    </xf>
    <xf numFmtId="0" fontId="49" fillId="0" borderId="35" xfId="0" applyFont="1" applyBorder="1"/>
    <xf numFmtId="0" fontId="49" fillId="0" borderId="0" xfId="0" applyFont="1" applyBorder="1"/>
    <xf numFmtId="0" fontId="45" fillId="0" borderId="3" xfId="0" applyFont="1" applyBorder="1" applyAlignment="1">
      <alignment horizontal="center" vertical="center" wrapText="1"/>
    </xf>
    <xf numFmtId="166" fontId="45" fillId="0" borderId="0" xfId="0" applyNumberFormat="1" applyFont="1" applyFill="1" applyBorder="1" applyAlignment="1">
      <alignment horizontal="center" vertical="center"/>
    </xf>
    <xf numFmtId="0" fontId="51" fillId="0" borderId="0" xfId="9" applyFont="1" applyFill="1" applyBorder="1"/>
    <xf numFmtId="0" fontId="48" fillId="0" borderId="0" xfId="9" applyFont="1" applyFill="1" applyBorder="1"/>
    <xf numFmtId="166" fontId="45" fillId="0" borderId="7" xfId="0" applyNumberFormat="1" applyFont="1" applyBorder="1" applyAlignment="1">
      <alignment horizontal="center" vertical="center"/>
    </xf>
    <xf numFmtId="166" fontId="46" fillId="0" borderId="11" xfId="0" applyNumberFormat="1" applyFont="1" applyBorder="1" applyAlignment="1">
      <alignment horizontal="center" vertical="center"/>
    </xf>
    <xf numFmtId="0" fontId="46" fillId="0" borderId="2" xfId="0" applyFont="1" applyBorder="1" applyAlignment="1">
      <alignment horizontal="justify" vertical="center" wrapText="1"/>
    </xf>
    <xf numFmtId="0" fontId="45" fillId="0" borderId="0" xfId="0" applyFont="1" applyAlignment="1">
      <alignment horizontal="justify" vertical="center" wrapText="1"/>
    </xf>
    <xf numFmtId="0" fontId="50" fillId="0" borderId="2" xfId="0" applyFont="1" applyBorder="1" applyAlignment="1">
      <alignment horizontal="justify" vertical="center" wrapText="1"/>
    </xf>
    <xf numFmtId="0" fontId="50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justify" vertical="center" wrapText="1"/>
    </xf>
    <xf numFmtId="0" fontId="49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5" fillId="0" borderId="8" xfId="0" applyFont="1" applyBorder="1" applyAlignment="1">
      <alignment vertical="center"/>
    </xf>
    <xf numFmtId="0" fontId="46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0" fontId="49" fillId="3" borderId="0" xfId="0" applyFont="1" applyFill="1"/>
    <xf numFmtId="0" fontId="45" fillId="0" borderId="0" xfId="0" applyFont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right" vertical="center" wrapText="1"/>
    </xf>
    <xf numFmtId="0" fontId="76" fillId="0" borderId="0" xfId="0" applyFont="1" applyFill="1" applyBorder="1" applyAlignment="1">
      <alignment horizontal="right" vertical="center" wrapText="1"/>
    </xf>
    <xf numFmtId="0" fontId="49" fillId="0" borderId="0" xfId="0" applyFont="1" applyAlignment="1">
      <alignment horizontal="right"/>
    </xf>
    <xf numFmtId="0" fontId="71" fillId="0" borderId="2" xfId="0" applyFont="1" applyBorder="1"/>
    <xf numFmtId="0" fontId="49" fillId="0" borderId="2" xfId="0" applyFont="1" applyBorder="1"/>
    <xf numFmtId="0" fontId="77" fillId="0" borderId="2" xfId="0" applyFont="1" applyBorder="1" applyAlignment="1">
      <alignment horizontal="right"/>
    </xf>
    <xf numFmtId="0" fontId="50" fillId="0" borderId="4" xfId="0" applyFont="1" applyFill="1" applyBorder="1"/>
    <xf numFmtId="0" fontId="49" fillId="0" borderId="4" xfId="0" applyFont="1" applyFill="1" applyBorder="1"/>
    <xf numFmtId="0" fontId="46" fillId="0" borderId="0" xfId="0" applyFont="1" applyAlignment="1">
      <alignment vertical="center" wrapText="1"/>
    </xf>
    <xf numFmtId="0" fontId="71" fillId="0" borderId="0" xfId="0" applyFont="1" applyFill="1"/>
    <xf numFmtId="0" fontId="45" fillId="0" borderId="0" xfId="0" applyFont="1" applyAlignment="1">
      <alignment horizontal="left" vertical="center"/>
    </xf>
    <xf numFmtId="49" fontId="49" fillId="0" borderId="0" xfId="0" applyNumberFormat="1" applyFont="1" applyFill="1" applyBorder="1" applyAlignment="1">
      <alignment horizontal="left" vertical="center" wrapText="1"/>
    </xf>
    <xf numFmtId="0" fontId="74" fillId="0" borderId="0" xfId="0" applyFont="1" applyBorder="1" applyAlignment="1">
      <alignment horizontal="left" vertical="center"/>
    </xf>
    <xf numFmtId="0" fontId="48" fillId="0" borderId="0" xfId="0" applyFont="1" applyFill="1" applyAlignment="1">
      <alignment vertical="center" wrapText="1"/>
    </xf>
    <xf numFmtId="0" fontId="46" fillId="0" borderId="22" xfId="0" applyFont="1" applyBorder="1" applyAlignment="1">
      <alignment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6" xfId="0" applyFont="1" applyBorder="1" applyAlignment="1">
      <alignment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5" fillId="0" borderId="22" xfId="0" applyFont="1" applyBorder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2" xfId="0" applyFont="1" applyBorder="1" applyAlignment="1">
      <alignment vertical="center" wrapText="1"/>
    </xf>
    <xf numFmtId="0" fontId="71" fillId="0" borderId="0" xfId="0" applyFont="1"/>
    <xf numFmtId="0" fontId="78" fillId="0" borderId="0" xfId="0" applyFont="1"/>
    <xf numFmtId="0" fontId="50" fillId="0" borderId="1" xfId="0" applyFont="1" applyBorder="1"/>
    <xf numFmtId="0" fontId="78" fillId="0" borderId="0" xfId="0" applyFont="1" applyBorder="1"/>
    <xf numFmtId="166" fontId="49" fillId="0" borderId="0" xfId="0" applyNumberFormat="1" applyFont="1"/>
    <xf numFmtId="166" fontId="49" fillId="0" borderId="25" xfId="0" applyNumberFormat="1" applyFont="1" applyBorder="1" applyAlignment="1">
      <alignment horizontal="center"/>
    </xf>
    <xf numFmtId="166" fontId="49" fillId="0" borderId="0" xfId="0" applyNumberFormat="1" applyFont="1" applyAlignment="1">
      <alignment horizontal="center"/>
    </xf>
    <xf numFmtId="2" fontId="49" fillId="0" borderId="1" xfId="0" applyNumberFormat="1" applyFont="1" applyBorder="1" applyAlignment="1">
      <alignment horizontal="center"/>
    </xf>
    <xf numFmtId="0" fontId="49" fillId="0" borderId="0" xfId="0" applyFont="1" applyAlignment="1">
      <alignment horizontal="center"/>
    </xf>
    <xf numFmtId="0" fontId="70" fillId="0" borderId="0" xfId="69" applyNumberFormat="1" applyFont="1" applyFill="1" applyBorder="1" applyAlignment="1" applyProtection="1">
      <alignment horizontal="center"/>
    </xf>
    <xf numFmtId="0" fontId="70" fillId="0" borderId="0" xfId="69" applyNumberFormat="1" applyFont="1" applyFill="1" applyBorder="1" applyAlignment="1" applyProtection="1"/>
    <xf numFmtId="168" fontId="70" fillId="0" borderId="0" xfId="12" applyNumberFormat="1" applyFont="1" applyFill="1" applyBorder="1" applyAlignment="1" applyProtection="1"/>
    <xf numFmtId="0" fontId="72" fillId="0" borderId="0" xfId="69" applyNumberFormat="1" applyFont="1" applyFill="1" applyBorder="1" applyAlignment="1" applyProtection="1"/>
    <xf numFmtId="0" fontId="79" fillId="12" borderId="16" xfId="69" applyFont="1" applyFill="1" applyBorder="1" applyAlignment="1">
      <alignment vertical="center"/>
    </xf>
    <xf numFmtId="0" fontId="79" fillId="12" borderId="16" xfId="69" applyFont="1" applyFill="1" applyBorder="1" applyAlignment="1">
      <alignment horizontal="center"/>
    </xf>
    <xf numFmtId="0" fontId="79" fillId="12" borderId="29" xfId="69" applyFont="1" applyFill="1" applyBorder="1" applyAlignment="1">
      <alignment vertical="center"/>
    </xf>
    <xf numFmtId="0" fontId="79" fillId="12" borderId="0" xfId="69" applyFont="1" applyFill="1" applyBorder="1" applyAlignment="1">
      <alignment vertical="center"/>
    </xf>
    <xf numFmtId="0" fontId="70" fillId="11" borderId="16" xfId="69" applyFont="1" applyFill="1" applyBorder="1" applyAlignment="1">
      <alignment vertical="center"/>
    </xf>
    <xf numFmtId="0" fontId="80" fillId="11" borderId="29" xfId="69" applyFont="1" applyFill="1" applyBorder="1" applyAlignment="1">
      <alignment horizontal="center" vertical="center"/>
    </xf>
    <xf numFmtId="0" fontId="80" fillId="11" borderId="29" xfId="70" applyFont="1" applyFill="1" applyBorder="1" applyAlignment="1">
      <alignment horizontal="center" vertical="center"/>
    </xf>
    <xf numFmtId="0" fontId="51" fillId="11" borderId="29" xfId="70" applyFont="1" applyFill="1" applyBorder="1" applyAlignment="1">
      <alignment horizontal="center" vertical="center"/>
    </xf>
    <xf numFmtId="0" fontId="70" fillId="11" borderId="17" xfId="69" applyFont="1" applyFill="1" applyBorder="1" applyAlignment="1">
      <alignment vertical="center"/>
    </xf>
    <xf numFmtId="0" fontId="80" fillId="11" borderId="30" xfId="69" applyFont="1" applyFill="1" applyBorder="1" applyAlignment="1">
      <alignment horizontal="center" vertical="center"/>
    </xf>
    <xf numFmtId="0" fontId="80" fillId="11" borderId="30" xfId="70" applyFont="1" applyFill="1" applyBorder="1" applyAlignment="1">
      <alignment horizontal="center" vertical="center"/>
    </xf>
    <xf numFmtId="0" fontId="51" fillId="11" borderId="18" xfId="5" applyFont="1" applyFill="1" applyBorder="1" applyAlignment="1" applyProtection="1">
      <alignment horizontal="left" vertical="center"/>
      <protection locked="0"/>
    </xf>
    <xf numFmtId="0" fontId="51" fillId="11" borderId="18" xfId="5" applyFont="1" applyFill="1" applyBorder="1" applyAlignment="1" applyProtection="1">
      <alignment horizontal="center" vertical="center"/>
      <protection locked="0"/>
    </xf>
    <xf numFmtId="4" fontId="51" fillId="11" borderId="31" xfId="5" applyNumberFormat="1" applyFont="1" applyFill="1" applyBorder="1" applyAlignment="1" applyProtection="1">
      <alignment horizontal="right" vertical="center"/>
      <protection locked="0"/>
    </xf>
    <xf numFmtId="0" fontId="51" fillId="11" borderId="17" xfId="5" applyFont="1" applyFill="1" applyBorder="1" applyAlignment="1" applyProtection="1">
      <alignment horizontal="left" vertical="center"/>
      <protection locked="0"/>
    </xf>
    <xf numFmtId="0" fontId="51" fillId="11" borderId="17" xfId="5" applyFont="1" applyFill="1" applyBorder="1" applyAlignment="1" applyProtection="1">
      <alignment horizontal="center"/>
      <protection locked="0"/>
    </xf>
    <xf numFmtId="168" fontId="51" fillId="11" borderId="30" xfId="25" applyNumberFormat="1" applyFont="1" applyFill="1" applyBorder="1" applyAlignment="1" applyProtection="1">
      <alignment horizontal="right" vertical="center"/>
      <protection locked="0"/>
    </xf>
    <xf numFmtId="0" fontId="80" fillId="10" borderId="16" xfId="69" applyFont="1" applyFill="1" applyBorder="1" applyAlignment="1">
      <alignment vertical="center"/>
    </xf>
    <xf numFmtId="0" fontId="51" fillId="10" borderId="16" xfId="5" applyFont="1" applyFill="1" applyBorder="1" applyAlignment="1" applyProtection="1">
      <alignment horizontal="center"/>
      <protection locked="0"/>
    </xf>
    <xf numFmtId="4" fontId="80" fillId="10" borderId="29" xfId="69" applyNumberFormat="1" applyFont="1" applyFill="1" applyBorder="1" applyAlignment="1" applyProtection="1"/>
    <xf numFmtId="0" fontId="80" fillId="0" borderId="0" xfId="69" applyNumberFormat="1" applyFont="1" applyFill="1" applyBorder="1" applyAlignment="1" applyProtection="1"/>
    <xf numFmtId="0" fontId="70" fillId="0" borderId="29" xfId="2" applyFont="1" applyFill="1" applyBorder="1" applyAlignment="1">
      <alignment horizontal="left" indent="2"/>
    </xf>
    <xf numFmtId="0" fontId="70" fillId="0" borderId="29" xfId="71" applyFont="1" applyFill="1" applyBorder="1" applyAlignment="1">
      <alignment horizontal="center"/>
    </xf>
    <xf numFmtId="4" fontId="48" fillId="0" borderId="29" xfId="69" applyNumberFormat="1" applyFont="1" applyFill="1" applyBorder="1" applyAlignment="1" applyProtection="1"/>
    <xf numFmtId="4" fontId="70" fillId="0" borderId="29" xfId="69" applyNumberFormat="1" applyFont="1" applyFill="1" applyBorder="1" applyAlignment="1" applyProtection="1"/>
    <xf numFmtId="0" fontId="70" fillId="0" borderId="0" xfId="69" applyFont="1" applyFill="1"/>
    <xf numFmtId="0" fontId="70" fillId="0" borderId="29" xfId="2" applyFont="1" applyFill="1" applyBorder="1" applyAlignment="1">
      <alignment horizontal="left" wrapText="1" indent="3"/>
    </xf>
    <xf numFmtId="0" fontId="70" fillId="0" borderId="29" xfId="71" applyFont="1" applyFill="1" applyBorder="1" applyAlignment="1">
      <alignment horizontal="center" wrapText="1"/>
    </xf>
    <xf numFmtId="0" fontId="70" fillId="0" borderId="29" xfId="2" applyFont="1" applyBorder="1" applyAlignment="1">
      <alignment horizontal="left" wrapText="1" indent="3"/>
    </xf>
    <xf numFmtId="4" fontId="70" fillId="0" borderId="0" xfId="69" applyNumberFormat="1" applyFont="1" applyFill="1" applyBorder="1" applyAlignment="1" applyProtection="1"/>
    <xf numFmtId="1" fontId="81" fillId="0" borderId="0" xfId="69" applyNumberFormat="1" applyFont="1" applyFill="1"/>
    <xf numFmtId="1" fontId="82" fillId="0" borderId="0" xfId="69" applyNumberFormat="1" applyFont="1" applyFill="1"/>
    <xf numFmtId="0" fontId="70" fillId="0" borderId="29" xfId="2" applyFont="1" applyBorder="1" applyAlignment="1">
      <alignment horizontal="left" wrapText="1" indent="2"/>
    </xf>
    <xf numFmtId="4" fontId="48" fillId="0" borderId="29" xfId="69" applyNumberFormat="1" applyFont="1" applyFill="1" applyBorder="1"/>
    <xf numFmtId="0" fontId="70" fillId="0" borderId="29" xfId="2" applyFont="1" applyFill="1" applyBorder="1" applyAlignment="1">
      <alignment horizontal="left" indent="7"/>
    </xf>
    <xf numFmtId="0" fontId="70" fillId="0" borderId="29" xfId="71" applyFont="1" applyBorder="1" applyAlignment="1">
      <alignment horizontal="center" wrapText="1"/>
    </xf>
    <xf numFmtId="4" fontId="70" fillId="0" borderId="29" xfId="69" applyNumberFormat="1" applyFont="1" applyFill="1" applyBorder="1"/>
    <xf numFmtId="0" fontId="48" fillId="0" borderId="29" xfId="71" applyFont="1" applyFill="1" applyBorder="1" applyAlignment="1">
      <alignment horizontal="center" wrapText="1"/>
    </xf>
    <xf numFmtId="0" fontId="70" fillId="0" borderId="29" xfId="2" applyFont="1" applyBorder="1" applyAlignment="1">
      <alignment horizontal="left" indent="3"/>
    </xf>
    <xf numFmtId="0" fontId="70" fillId="0" borderId="29" xfId="2" applyFont="1" applyFill="1" applyBorder="1" applyAlignment="1">
      <alignment horizontal="left" indent="3"/>
    </xf>
    <xf numFmtId="0" fontId="70" fillId="0" borderId="29" xfId="2" applyFont="1" applyBorder="1" applyAlignment="1">
      <alignment horizontal="left" indent="2"/>
    </xf>
    <xf numFmtId="0" fontId="80" fillId="10" borderId="29" xfId="2" applyFont="1" applyFill="1" applyBorder="1" applyAlignment="1">
      <alignment horizontal="left"/>
    </xf>
    <xf numFmtId="0" fontId="70" fillId="10" borderId="29" xfId="71" applyFont="1" applyFill="1" applyBorder="1" applyAlignment="1">
      <alignment horizontal="center"/>
    </xf>
    <xf numFmtId="0" fontId="80" fillId="10" borderId="16" xfId="69" applyFont="1" applyFill="1" applyBorder="1" applyAlignment="1">
      <alignment horizontal="left" vertical="center"/>
    </xf>
    <xf numFmtId="0" fontId="80" fillId="10" borderId="29" xfId="71" applyFont="1" applyFill="1" applyBorder="1" applyAlignment="1">
      <alignment horizontal="center"/>
    </xf>
    <xf numFmtId="0" fontId="80" fillId="0" borderId="0" xfId="69" applyFont="1" applyFill="1"/>
    <xf numFmtId="0" fontId="83" fillId="0" borderId="0" xfId="69" applyFont="1" applyFill="1"/>
    <xf numFmtId="0" fontId="70" fillId="0" borderId="29" xfId="71" applyFont="1" applyBorder="1" applyAlignment="1">
      <alignment horizontal="center"/>
    </xf>
    <xf numFmtId="0" fontId="80" fillId="0" borderId="29" xfId="2" applyFont="1" applyBorder="1" applyAlignment="1">
      <alignment horizontal="left" indent="2"/>
    </xf>
    <xf numFmtId="0" fontId="51" fillId="0" borderId="29" xfId="71" applyFont="1" applyFill="1" applyBorder="1" applyAlignment="1">
      <alignment horizontal="center"/>
    </xf>
    <xf numFmtId="0" fontId="70" fillId="0" borderId="30" xfId="2" applyFont="1" applyFill="1" applyBorder="1" applyAlignment="1">
      <alignment horizontal="left" indent="2"/>
    </xf>
    <xf numFmtId="0" fontId="80" fillId="0" borderId="29" xfId="2" applyFont="1" applyFill="1" applyBorder="1" applyAlignment="1">
      <alignment horizontal="left"/>
    </xf>
    <xf numFmtId="4" fontId="51" fillId="11" borderId="18" xfId="5" applyNumberFormat="1" applyFont="1" applyFill="1" applyBorder="1" applyAlignment="1" applyProtection="1">
      <alignment horizontal="right" vertical="center"/>
      <protection locked="0"/>
    </xf>
    <xf numFmtId="0" fontId="80" fillId="13" borderId="17" xfId="71" applyFont="1" applyFill="1" applyBorder="1" applyAlignment="1">
      <alignment horizontal="center"/>
    </xf>
    <xf numFmtId="10" fontId="51" fillId="11" borderId="17" xfId="25" applyNumberFormat="1" applyFont="1" applyFill="1" applyBorder="1" applyAlignment="1" applyProtection="1">
      <alignment horizontal="center" vertical="center"/>
      <protection locked="0"/>
    </xf>
    <xf numFmtId="0" fontId="80" fillId="10" borderId="29" xfId="2" applyFont="1" applyFill="1" applyBorder="1" applyAlignment="1">
      <alignment horizontal="left" indent="1"/>
    </xf>
    <xf numFmtId="0" fontId="80" fillId="0" borderId="29" xfId="2" applyFont="1" applyFill="1" applyBorder="1" applyAlignment="1">
      <alignment horizontal="left" indent="2"/>
    </xf>
    <xf numFmtId="0" fontId="70" fillId="0" borderId="16" xfId="72" applyFont="1" applyFill="1" applyBorder="1" applyAlignment="1">
      <alignment horizontal="left" vertical="center" indent="3"/>
    </xf>
    <xf numFmtId="0" fontId="70" fillId="0" borderId="29" xfId="2" applyFont="1" applyBorder="1" applyAlignment="1">
      <alignment horizontal="left" indent="5"/>
    </xf>
    <xf numFmtId="0" fontId="70" fillId="0" borderId="29" xfId="2" applyFont="1" applyBorder="1" applyAlignment="1">
      <alignment horizontal="left" indent="7"/>
    </xf>
    <xf numFmtId="0" fontId="80" fillId="0" borderId="29" xfId="71" applyFont="1" applyFill="1" applyBorder="1" applyAlignment="1">
      <alignment horizontal="center"/>
    </xf>
    <xf numFmtId="4" fontId="51" fillId="10" borderId="29" xfId="69" applyNumberFormat="1" applyFont="1" applyFill="1" applyBorder="1" applyAlignment="1" applyProtection="1"/>
    <xf numFmtId="0" fontId="51" fillId="11" borderId="31" xfId="5" applyFont="1" applyFill="1" applyBorder="1" applyAlignment="1" applyProtection="1">
      <alignment horizontal="center"/>
      <protection locked="0"/>
    </xf>
    <xf numFmtId="4" fontId="51" fillId="11" borderId="31" xfId="5" applyNumberFormat="1" applyFont="1" applyFill="1" applyBorder="1" applyAlignment="1" applyProtection="1">
      <protection locked="0"/>
    </xf>
    <xf numFmtId="4" fontId="51" fillId="14" borderId="31" xfId="5" applyNumberFormat="1" applyFont="1" applyFill="1" applyBorder="1" applyAlignment="1" applyProtection="1">
      <protection locked="0"/>
    </xf>
    <xf numFmtId="167" fontId="51" fillId="14" borderId="31" xfId="5" applyNumberFormat="1" applyFont="1" applyFill="1" applyBorder="1" applyAlignment="1" applyProtection="1">
      <protection locked="0"/>
    </xf>
    <xf numFmtId="0" fontId="51" fillId="11" borderId="16" xfId="5" applyFont="1" applyFill="1" applyBorder="1" applyAlignment="1" applyProtection="1">
      <alignment horizontal="left" vertical="center"/>
      <protection locked="0"/>
    </xf>
    <xf numFmtId="0" fontId="51" fillId="11" borderId="29" xfId="5" applyFont="1" applyFill="1" applyBorder="1" applyAlignment="1" applyProtection="1">
      <alignment horizontal="center"/>
      <protection locked="0"/>
    </xf>
    <xf numFmtId="10" fontId="51" fillId="11" borderId="29" xfId="25" applyNumberFormat="1" applyFont="1" applyFill="1" applyBorder="1" applyAlignment="1" applyProtection="1">
      <protection locked="0"/>
    </xf>
    <xf numFmtId="0" fontId="70" fillId="0" borderId="28" xfId="70" applyFont="1" applyFill="1" applyBorder="1"/>
    <xf numFmtId="0" fontId="70" fillId="0" borderId="28" xfId="69" applyNumberFormat="1" applyFont="1" applyFill="1" applyBorder="1" applyAlignment="1" applyProtection="1">
      <alignment horizontal="center"/>
    </xf>
    <xf numFmtId="1" fontId="70" fillId="0" borderId="28" xfId="69" applyNumberFormat="1" applyFont="1" applyFill="1" applyBorder="1" applyAlignment="1" applyProtection="1">
      <alignment horizontal="center"/>
    </xf>
    <xf numFmtId="4" fontId="49" fillId="0" borderId="0" xfId="0" applyNumberFormat="1" applyFont="1"/>
    <xf numFmtId="174" fontId="70" fillId="0" borderId="0" xfId="69" applyNumberFormat="1" applyFont="1" applyFill="1" applyBorder="1" applyAlignment="1" applyProtection="1"/>
    <xf numFmtId="172" fontId="70" fillId="0" borderId="0" xfId="69" applyNumberFormat="1" applyFont="1" applyFill="1" applyBorder="1" applyAlignment="1" applyProtection="1"/>
    <xf numFmtId="175" fontId="70" fillId="0" borderId="0" xfId="8" applyNumberFormat="1" applyFont="1" applyFill="1" applyBorder="1" applyAlignment="1" applyProtection="1"/>
    <xf numFmtId="166" fontId="70" fillId="0" borderId="0" xfId="69" applyNumberFormat="1" applyFont="1" applyFill="1" applyBorder="1" applyAlignment="1" applyProtection="1"/>
    <xf numFmtId="0" fontId="50" fillId="0" borderId="0" xfId="0" applyFont="1"/>
    <xf numFmtId="166" fontId="49" fillId="0" borderId="0" xfId="0" applyNumberFormat="1" applyFont="1" applyBorder="1"/>
    <xf numFmtId="0" fontId="72" fillId="0" borderId="0" xfId="0" applyFont="1"/>
    <xf numFmtId="176" fontId="49" fillId="0" borderId="0" xfId="0" applyNumberFormat="1" applyFont="1"/>
    <xf numFmtId="0" fontId="50" fillId="0" borderId="0" xfId="0" applyFont="1" applyBorder="1"/>
    <xf numFmtId="1" fontId="50" fillId="0" borderId="0" xfId="0" applyNumberFormat="1" applyFont="1"/>
    <xf numFmtId="0" fontId="71" fillId="0" borderId="0" xfId="0" applyFont="1" applyAlignment="1"/>
    <xf numFmtId="0" fontId="78" fillId="0" borderId="0" xfId="0" applyFont="1" applyAlignment="1"/>
    <xf numFmtId="165" fontId="45" fillId="0" borderId="1" xfId="6" applyFont="1" applyFill="1" applyBorder="1"/>
    <xf numFmtId="1" fontId="46" fillId="0" borderId="1" xfId="6" applyNumberFormat="1" applyFont="1" applyFill="1" applyBorder="1" applyAlignment="1">
      <alignment horizontal="center"/>
    </xf>
    <xf numFmtId="165" fontId="46" fillId="0" borderId="0" xfId="6" applyFont="1" applyFill="1" applyBorder="1" applyAlignment="1"/>
    <xf numFmtId="166" fontId="45" fillId="0" borderId="0" xfId="7" applyNumberFormat="1" applyFont="1" applyFill="1" applyBorder="1" applyAlignment="1">
      <alignment horizontal="center" vertical="center"/>
    </xf>
    <xf numFmtId="166" fontId="49" fillId="0" borderId="0" xfId="0" applyNumberFormat="1" applyFont="1" applyAlignment="1">
      <alignment horizontal="center" vertical="center"/>
    </xf>
    <xf numFmtId="166" fontId="45" fillId="0" borderId="0" xfId="6" applyNumberFormat="1" applyFont="1" applyFill="1" applyBorder="1" applyAlignment="1">
      <alignment horizontal="center" vertical="center"/>
    </xf>
    <xf numFmtId="165" fontId="45" fillId="0" borderId="0" xfId="6" applyFont="1" applyFill="1" applyBorder="1" applyAlignment="1"/>
    <xf numFmtId="0" fontId="50" fillId="0" borderId="1" xfId="0" applyFont="1" applyBorder="1" applyAlignment="1">
      <alignment horizontal="center"/>
    </xf>
    <xf numFmtId="0" fontId="84" fillId="0" borderId="0" xfId="0" applyFont="1"/>
    <xf numFmtId="166" fontId="49" fillId="0" borderId="0" xfId="0" applyNumberFormat="1" applyFont="1" applyBorder="1" applyAlignment="1">
      <alignment horizontal="center"/>
    </xf>
    <xf numFmtId="0" fontId="50" fillId="0" borderId="1" xfId="0" applyFont="1" applyFill="1" applyBorder="1"/>
    <xf numFmtId="14" fontId="50" fillId="0" borderId="1" xfId="8" applyNumberFormat="1" applyFont="1" applyFill="1" applyBorder="1" applyAlignment="1">
      <alignment horizontal="right"/>
    </xf>
    <xf numFmtId="0" fontId="48" fillId="0" borderId="0" xfId="0" applyFont="1"/>
    <xf numFmtId="14" fontId="49" fillId="0" borderId="0" xfId="0" applyNumberFormat="1" applyFont="1"/>
    <xf numFmtId="1" fontId="49" fillId="0" borderId="0" xfId="0" applyNumberFormat="1" applyFont="1"/>
    <xf numFmtId="2" fontId="49" fillId="0" borderId="0" xfId="0" applyNumberFormat="1" applyFont="1"/>
    <xf numFmtId="0" fontId="49" fillId="0" borderId="2" xfId="0" applyFont="1" applyBorder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166" fontId="45" fillId="0" borderId="0" xfId="0" applyNumberFormat="1" applyFont="1" applyBorder="1" applyAlignment="1">
      <alignment horizontal="center" vertical="center" wrapText="1"/>
    </xf>
    <xf numFmtId="166" fontId="45" fillId="0" borderId="0" xfId="0" applyNumberFormat="1" applyFont="1" applyBorder="1" applyAlignment="1">
      <alignment horizontal="center" vertical="center"/>
    </xf>
    <xf numFmtId="166" fontId="45" fillId="0" borderId="2" xfId="0" applyNumberFormat="1" applyFont="1" applyBorder="1" applyAlignment="1">
      <alignment horizontal="center" vertical="center" wrapText="1"/>
    </xf>
    <xf numFmtId="166" fontId="45" fillId="0" borderId="2" xfId="0" applyNumberFormat="1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 wrapText="1"/>
    </xf>
    <xf numFmtId="0" fontId="73" fillId="0" borderId="46" xfId="0" applyFont="1" applyBorder="1" applyAlignment="1">
      <alignment horizontal="right" vertical="center" wrapText="1"/>
    </xf>
    <xf numFmtId="0" fontId="86" fillId="0" borderId="0" xfId="0" applyFont="1"/>
    <xf numFmtId="166" fontId="45" fillId="0" borderId="46" xfId="0" applyNumberFormat="1" applyFont="1" applyBorder="1" applyAlignment="1">
      <alignment horizontal="center" vertical="center"/>
    </xf>
    <xf numFmtId="166" fontId="45" fillId="0" borderId="46" xfId="0" applyNumberFormat="1" applyFont="1" applyBorder="1" applyAlignment="1">
      <alignment horizontal="center" vertical="center" wrapText="1"/>
    </xf>
    <xf numFmtId="0" fontId="49" fillId="0" borderId="0" xfId="18" applyFont="1"/>
    <xf numFmtId="0" fontId="50" fillId="0" borderId="25" xfId="0" applyFont="1" applyFill="1" applyBorder="1"/>
    <xf numFmtId="0" fontId="50" fillId="0" borderId="25" xfId="0" applyFont="1" applyFill="1" applyBorder="1" applyAlignment="1">
      <alignment horizontal="center"/>
    </xf>
    <xf numFmtId="2" fontId="50" fillId="0" borderId="0" xfId="0" applyNumberFormat="1" applyFont="1" applyFill="1" applyAlignment="1">
      <alignment horizontal="center" vertical="center"/>
    </xf>
    <xf numFmtId="166" fontId="49" fillId="0" borderId="0" xfId="0" applyNumberFormat="1" applyFont="1" applyFill="1" applyBorder="1" applyAlignment="1">
      <alignment horizontal="center" vertical="center"/>
    </xf>
    <xf numFmtId="166" fontId="50" fillId="0" borderId="0" xfId="0" applyNumberFormat="1" applyFont="1" applyFill="1" applyBorder="1" applyAlignment="1">
      <alignment horizontal="center" vertical="center"/>
    </xf>
    <xf numFmtId="0" fontId="50" fillId="9" borderId="1" xfId="0" applyFont="1" applyFill="1" applyBorder="1"/>
    <xf numFmtId="166" fontId="50" fillId="9" borderId="1" xfId="0" applyNumberFormat="1" applyFont="1" applyFill="1" applyBorder="1" applyAlignment="1">
      <alignment horizontal="center" vertical="center"/>
    </xf>
    <xf numFmtId="0" fontId="73" fillId="0" borderId="0" xfId="0" applyFont="1" applyFill="1"/>
    <xf numFmtId="0" fontId="73" fillId="0" borderId="0" xfId="0" applyFont="1" applyFill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166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wrapText="1"/>
    </xf>
    <xf numFmtId="0" fontId="49" fillId="0" borderId="0" xfId="51" applyFont="1" applyFill="1" applyBorder="1" applyAlignment="1">
      <alignment wrapText="1"/>
    </xf>
    <xf numFmtId="0" fontId="49" fillId="0" borderId="0" xfId="121" applyFont="1" applyFill="1" applyBorder="1"/>
    <xf numFmtId="3" fontId="49" fillId="0" borderId="0" xfId="121" applyNumberFormat="1" applyFont="1" applyFill="1" applyBorder="1"/>
    <xf numFmtId="0" fontId="50" fillId="0" borderId="2" xfId="0" applyFont="1" applyBorder="1"/>
    <xf numFmtId="0" fontId="49" fillId="0" borderId="0" xfId="0" applyFont="1" applyFill="1"/>
    <xf numFmtId="0" fontId="50" fillId="0" borderId="2" xfId="0" applyFont="1" applyFill="1" applyBorder="1" applyAlignment="1">
      <alignment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 indent="1"/>
    </xf>
    <xf numFmtId="2" fontId="45" fillId="0" borderId="0" xfId="0" applyNumberFormat="1" applyFont="1" applyBorder="1" applyAlignment="1">
      <alignment horizontal="center" vertical="center" wrapText="1"/>
    </xf>
    <xf numFmtId="2" fontId="45" fillId="0" borderId="0" xfId="0" applyNumberFormat="1" applyFont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0" fontId="50" fillId="0" borderId="3" xfId="0" applyFont="1" applyFill="1" applyBorder="1" applyAlignment="1">
      <alignment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vertical="center" wrapText="1"/>
    </xf>
    <xf numFmtId="0" fontId="46" fillId="0" borderId="3" xfId="0" applyFont="1" applyBorder="1" applyAlignment="1">
      <alignment horizontal="center" vertical="center" wrapText="1"/>
    </xf>
    <xf numFmtId="2" fontId="46" fillId="0" borderId="3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2" xfId="0" applyFont="1" applyFill="1" applyBorder="1" applyAlignment="1">
      <alignment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2" fontId="49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center" wrapText="1"/>
    </xf>
    <xf numFmtId="2" fontId="45" fillId="0" borderId="2" xfId="0" applyNumberFormat="1" applyFont="1" applyBorder="1" applyAlignment="1">
      <alignment horizontal="center" vertical="center" wrapText="1"/>
    </xf>
    <xf numFmtId="2" fontId="46" fillId="0" borderId="0" xfId="0" applyNumberFormat="1" applyFont="1" applyBorder="1" applyAlignment="1">
      <alignment horizontal="center" vertical="center" wrapText="1"/>
    </xf>
    <xf numFmtId="2" fontId="49" fillId="0" borderId="0" xfId="0" applyNumberFormat="1" applyFont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2" fontId="46" fillId="0" borderId="4" xfId="0" applyNumberFormat="1" applyFont="1" applyBorder="1" applyAlignment="1">
      <alignment horizontal="center" vertical="center" wrapText="1"/>
    </xf>
    <xf numFmtId="0" fontId="70" fillId="0" borderId="4" xfId="0" applyFont="1" applyBorder="1"/>
    <xf numFmtId="2" fontId="45" fillId="0" borderId="4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 indent="2"/>
    </xf>
    <xf numFmtId="0" fontId="88" fillId="0" borderId="12" xfId="0" applyFont="1" applyBorder="1" applyAlignment="1">
      <alignment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vertical="center"/>
    </xf>
    <xf numFmtId="166" fontId="46" fillId="0" borderId="9" xfId="0" applyNumberFormat="1" applyFont="1" applyFill="1" applyBorder="1" applyAlignment="1">
      <alignment horizontal="center" vertical="center"/>
    </xf>
    <xf numFmtId="166" fontId="46" fillId="0" borderId="5" xfId="0" applyNumberFormat="1" applyFont="1" applyFill="1" applyBorder="1" applyAlignment="1">
      <alignment horizontal="center" vertical="center"/>
    </xf>
    <xf numFmtId="166" fontId="46" fillId="0" borderId="2" xfId="0" applyNumberFormat="1" applyFont="1" applyFill="1" applyBorder="1" applyAlignment="1">
      <alignment horizontal="center" vertical="center"/>
    </xf>
    <xf numFmtId="166" fontId="46" fillId="0" borderId="11" xfId="0" applyNumberFormat="1" applyFont="1" applyFill="1" applyBorder="1" applyAlignment="1">
      <alignment horizontal="center" vertical="center"/>
    </xf>
    <xf numFmtId="177" fontId="89" fillId="0" borderId="0" xfId="0" applyNumberFormat="1" applyFont="1"/>
    <xf numFmtId="0" fontId="45" fillId="0" borderId="0" xfId="0" applyFont="1" applyFill="1" applyAlignment="1">
      <alignment vertical="center"/>
    </xf>
    <xf numFmtId="0" fontId="45" fillId="0" borderId="45" xfId="0" applyFont="1" applyFill="1" applyBorder="1" applyAlignment="1">
      <alignment horizontal="center" vertical="center"/>
    </xf>
    <xf numFmtId="166" fontId="45" fillId="0" borderId="12" xfId="0" applyNumberFormat="1" applyFont="1" applyFill="1" applyBorder="1" applyAlignment="1">
      <alignment horizontal="center" vertical="center"/>
    </xf>
    <xf numFmtId="2" fontId="45" fillId="0" borderId="0" xfId="0" applyNumberFormat="1" applyFont="1" applyFill="1" applyBorder="1" applyAlignment="1">
      <alignment horizontal="center" vertical="center"/>
    </xf>
    <xf numFmtId="166" fontId="45" fillId="0" borderId="0" xfId="0" applyNumberFormat="1" applyFont="1" applyFill="1" applyAlignment="1">
      <alignment horizontal="center" vertical="center"/>
    </xf>
    <xf numFmtId="166" fontId="45" fillId="0" borderId="8" xfId="0" applyNumberFormat="1" applyFont="1" applyFill="1" applyBorder="1" applyAlignment="1">
      <alignment horizontal="center" vertical="center"/>
    </xf>
    <xf numFmtId="2" fontId="45" fillId="0" borderId="0" xfId="0" applyNumberFormat="1" applyFont="1" applyFill="1" applyAlignment="1">
      <alignment horizontal="center" vertical="center"/>
    </xf>
    <xf numFmtId="0" fontId="45" fillId="0" borderId="12" xfId="0" applyFont="1" applyFill="1" applyBorder="1" applyAlignment="1">
      <alignment horizontal="center" vertical="center" wrapText="1"/>
    </xf>
    <xf numFmtId="166" fontId="45" fillId="0" borderId="12" xfId="0" applyNumberFormat="1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45" fillId="0" borderId="11" xfId="0" applyFont="1" applyFill="1" applyBorder="1" applyAlignment="1">
      <alignment vertical="center"/>
    </xf>
    <xf numFmtId="0" fontId="45" fillId="0" borderId="9" xfId="0" applyFont="1" applyFill="1" applyBorder="1" applyAlignment="1">
      <alignment vertical="center"/>
    </xf>
    <xf numFmtId="166" fontId="45" fillId="0" borderId="5" xfId="0" applyNumberFormat="1" applyFont="1" applyFill="1" applyBorder="1" applyAlignment="1">
      <alignment horizontal="center" vertical="center"/>
    </xf>
    <xf numFmtId="166" fontId="45" fillId="0" borderId="2" xfId="0" applyNumberFormat="1" applyFont="1" applyFill="1" applyBorder="1" applyAlignment="1">
      <alignment horizontal="center" vertical="center"/>
    </xf>
    <xf numFmtId="166" fontId="45" fillId="0" borderId="11" xfId="0" applyNumberFormat="1" applyFont="1" applyFill="1" applyBorder="1" applyAlignment="1">
      <alignment horizontal="center" vertical="center"/>
    </xf>
    <xf numFmtId="166" fontId="46" fillId="0" borderId="10" xfId="0" applyNumberFormat="1" applyFont="1" applyFill="1" applyBorder="1" applyAlignment="1">
      <alignment horizontal="center" vertical="center"/>
    </xf>
    <xf numFmtId="166" fontId="46" fillId="0" borderId="6" xfId="0" applyNumberFormat="1" applyFont="1" applyFill="1" applyBorder="1" applyAlignment="1">
      <alignment horizontal="center" vertical="center"/>
    </xf>
    <xf numFmtId="166" fontId="46" fillId="0" borderId="4" xfId="0" applyNumberFormat="1" applyFont="1" applyFill="1" applyBorder="1" applyAlignment="1">
      <alignment horizontal="center" vertical="center"/>
    </xf>
    <xf numFmtId="166" fontId="46" fillId="0" borderId="15" xfId="0" applyNumberFormat="1" applyFont="1" applyFill="1" applyBorder="1" applyAlignment="1">
      <alignment horizontal="center" vertical="center"/>
    </xf>
    <xf numFmtId="166" fontId="45" fillId="0" borderId="7" xfId="0" applyNumberFormat="1" applyFont="1" applyFill="1" applyBorder="1" applyAlignment="1">
      <alignment horizontal="center" vertical="center"/>
    </xf>
    <xf numFmtId="166" fontId="45" fillId="0" borderId="44" xfId="0" applyNumberFormat="1" applyFont="1" applyFill="1" applyBorder="1" applyAlignment="1">
      <alignment horizontal="center" vertical="center"/>
    </xf>
    <xf numFmtId="166" fontId="45" fillId="0" borderId="3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center" indent="1"/>
    </xf>
    <xf numFmtId="0" fontId="45" fillId="0" borderId="9" xfId="0" applyFont="1" applyFill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166" fontId="46" fillId="0" borderId="9" xfId="0" applyNumberFormat="1" applyFont="1" applyBorder="1" applyAlignment="1">
      <alignment horizontal="center" vertical="center"/>
    </xf>
    <xf numFmtId="166" fontId="46" fillId="0" borderId="5" xfId="0" applyNumberFormat="1" applyFont="1" applyBorder="1" applyAlignment="1">
      <alignment horizontal="center" vertical="center"/>
    </xf>
    <xf numFmtId="166" fontId="46" fillId="0" borderId="2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8" fillId="0" borderId="0" xfId="22" applyFont="1"/>
    <xf numFmtId="0" fontId="51" fillId="0" borderId="0" xfId="22" applyFont="1" applyBorder="1"/>
    <xf numFmtId="0" fontId="51" fillId="0" borderId="0" xfId="22" applyFont="1"/>
    <xf numFmtId="0" fontId="74" fillId="0" borderId="0" xfId="0" applyFont="1"/>
    <xf numFmtId="0" fontId="48" fillId="0" borderId="2" xfId="22" applyFont="1" applyBorder="1"/>
    <xf numFmtId="0" fontId="71" fillId="0" borderId="1" xfId="52" applyFont="1" applyBorder="1" applyAlignment="1">
      <alignment horizontal="left"/>
    </xf>
    <xf numFmtId="0" fontId="49" fillId="0" borderId="1" xfId="52" applyFont="1" applyBorder="1"/>
    <xf numFmtId="0" fontId="49" fillId="0" borderId="0" xfId="52" applyFont="1" applyBorder="1"/>
    <xf numFmtId="3" fontId="49" fillId="0" borderId="0" xfId="52" applyNumberFormat="1" applyFont="1" applyFill="1" applyBorder="1" applyAlignment="1"/>
    <xf numFmtId="1" fontId="49" fillId="0" borderId="0" xfId="52" applyNumberFormat="1" applyFont="1" applyFill="1" applyBorder="1"/>
    <xf numFmtId="0" fontId="49" fillId="0" borderId="0" xfId="52" applyFont="1" applyAlignment="1">
      <alignment horizontal="left" indent="1"/>
    </xf>
    <xf numFmtId="0" fontId="49" fillId="0" borderId="1" xfId="52" applyFont="1" applyBorder="1" applyAlignment="1">
      <alignment horizontal="left" indent="1"/>
    </xf>
    <xf numFmtId="166" fontId="48" fillId="0" borderId="0" xfId="22" applyNumberFormat="1" applyFont="1"/>
    <xf numFmtId="0" fontId="71" fillId="0" borderId="0" xfId="0" applyFont="1" applyBorder="1" applyAlignment="1"/>
    <xf numFmtId="0" fontId="48" fillId="0" borderId="2" xfId="0" applyFont="1" applyBorder="1" applyAlignment="1"/>
    <xf numFmtId="0" fontId="71" fillId="0" borderId="2" xfId="0" applyFont="1" applyBorder="1" applyAlignment="1"/>
    <xf numFmtId="0" fontId="71" fillId="0" borderId="0" xfId="0" applyFont="1" applyBorder="1" applyAlignment="1">
      <alignment horizontal="left"/>
    </xf>
    <xf numFmtId="0" fontId="49" fillId="0" borderId="27" xfId="0" applyFont="1" applyFill="1" applyBorder="1"/>
    <xf numFmtId="0" fontId="49" fillId="0" borderId="27" xfId="0" applyFont="1" applyFill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25" xfId="0" applyFont="1" applyFill="1" applyBorder="1"/>
    <xf numFmtId="166" fontId="49" fillId="0" borderId="25" xfId="0" applyNumberFormat="1" applyFont="1" applyFill="1" applyBorder="1" applyAlignment="1">
      <alignment horizontal="right"/>
    </xf>
    <xf numFmtId="166" fontId="49" fillId="0" borderId="0" xfId="0" applyNumberFormat="1" applyFont="1" applyFill="1" applyBorder="1" applyAlignment="1">
      <alignment horizontal="center"/>
    </xf>
    <xf numFmtId="1" fontId="49" fillId="0" borderId="35" xfId="0" applyNumberFormat="1" applyFont="1" applyBorder="1" applyAlignment="1">
      <alignment horizontal="right"/>
    </xf>
    <xf numFmtId="166" fontId="49" fillId="0" borderId="35" xfId="0" applyNumberFormat="1" applyFont="1" applyBorder="1" applyAlignment="1">
      <alignment horizontal="right"/>
    </xf>
    <xf numFmtId="0" fontId="51" fillId="0" borderId="2" xfId="22" applyFont="1" applyBorder="1"/>
    <xf numFmtId="0" fontId="51" fillId="0" borderId="0" xfId="22" applyNumberFormat="1" applyFont="1" applyFill="1" applyBorder="1" applyAlignment="1"/>
    <xf numFmtId="0" fontId="48" fillId="0" borderId="0" xfId="22" applyNumberFormat="1" applyFont="1" applyFill="1" applyBorder="1" applyAlignment="1"/>
    <xf numFmtId="0" fontId="49" fillId="0" borderId="0" xfId="22" applyFont="1" applyFill="1"/>
    <xf numFmtId="0" fontId="48" fillId="0" borderId="1" xfId="22" applyNumberFormat="1" applyFont="1" applyFill="1" applyBorder="1" applyAlignment="1"/>
    <xf numFmtId="0" fontId="48" fillId="0" borderId="1" xfId="22" applyNumberFormat="1" applyFont="1" applyFill="1" applyBorder="1" applyAlignment="1">
      <alignment horizontal="center"/>
    </xf>
    <xf numFmtId="166" fontId="48" fillId="0" borderId="0" xfId="22" applyNumberFormat="1" applyFont="1" applyFill="1" applyBorder="1" applyAlignment="1">
      <alignment horizontal="center"/>
    </xf>
    <xf numFmtId="167" fontId="48" fillId="0" borderId="0" xfId="22" applyNumberFormat="1" applyFont="1" applyFill="1" applyBorder="1" applyAlignment="1">
      <alignment horizontal="center"/>
    </xf>
    <xf numFmtId="167" fontId="48" fillId="0" borderId="0" xfId="22" applyNumberFormat="1" applyFont="1"/>
    <xf numFmtId="0" fontId="48" fillId="0" borderId="0" xfId="22" applyNumberFormat="1" applyFont="1" applyFill="1" applyBorder="1" applyAlignment="1">
      <alignment horizontal="center"/>
    </xf>
    <xf numFmtId="0" fontId="48" fillId="0" borderId="0" xfId="22" applyFont="1" applyFill="1" applyBorder="1"/>
    <xf numFmtId="0" fontId="48" fillId="0" borderId="0" xfId="22" applyFont="1" applyFill="1" applyBorder="1" applyAlignment="1">
      <alignment horizontal="center"/>
    </xf>
    <xf numFmtId="0" fontId="49" fillId="0" borderId="0" xfId="22" applyFont="1" applyFill="1" applyBorder="1"/>
    <xf numFmtId="0" fontId="49" fillId="0" borderId="0" xfId="2" applyFont="1"/>
    <xf numFmtId="0" fontId="49" fillId="0" borderId="0" xfId="2" applyFont="1" applyFill="1" applyBorder="1"/>
    <xf numFmtId="0" fontId="50" fillId="0" borderId="0" xfId="2" applyFont="1" applyFill="1" applyBorder="1"/>
    <xf numFmtId="0" fontId="74" fillId="0" borderId="0" xfId="0" applyFont="1" applyBorder="1" applyAlignment="1">
      <alignment vertical="center"/>
    </xf>
    <xf numFmtId="0" fontId="80" fillId="0" borderId="0" xfId="2" applyFont="1" applyFill="1" applyBorder="1" applyAlignment="1">
      <alignment horizontal="left" vertical="center" wrapText="1"/>
    </xf>
    <xf numFmtId="0" fontId="70" fillId="0" borderId="0" xfId="2" applyFont="1" applyFill="1" applyBorder="1" applyAlignment="1">
      <alignment horizontal="center" vertical="center" wrapText="1"/>
    </xf>
    <xf numFmtId="167" fontId="70" fillId="0" borderId="0" xfId="29" applyNumberFormat="1" applyFont="1" applyFill="1" applyBorder="1" applyAlignment="1">
      <alignment horizontal="right" vertical="center" wrapText="1"/>
    </xf>
    <xf numFmtId="166" fontId="49" fillId="0" borderId="0" xfId="2" applyNumberFormat="1" applyFont="1" applyFill="1" applyBorder="1" applyAlignment="1">
      <alignment vertical="center"/>
    </xf>
    <xf numFmtId="166" fontId="70" fillId="0" borderId="0" xfId="29" applyNumberFormat="1" applyFont="1" applyFill="1" applyBorder="1" applyAlignment="1">
      <alignment horizontal="center" vertical="center" wrapText="1"/>
    </xf>
    <xf numFmtId="0" fontId="74" fillId="0" borderId="2" xfId="0" applyFont="1" applyBorder="1" applyAlignment="1">
      <alignment vertical="center"/>
    </xf>
    <xf numFmtId="0" fontId="90" fillId="0" borderId="2" xfId="2" applyFont="1" applyBorder="1" applyAlignment="1">
      <alignment vertical="center"/>
    </xf>
    <xf numFmtId="0" fontId="90" fillId="0" borderId="0" xfId="2" applyFont="1" applyBorder="1" applyAlignment="1">
      <alignment vertical="center"/>
    </xf>
    <xf numFmtId="0" fontId="70" fillId="0" borderId="0" xfId="2" applyFont="1" applyFill="1" applyBorder="1" applyAlignment="1">
      <alignment horizontal="left" vertical="center"/>
    </xf>
    <xf numFmtId="0" fontId="80" fillId="0" borderId="0" xfId="2" applyFont="1" applyFill="1" applyBorder="1" applyAlignment="1"/>
    <xf numFmtId="0" fontId="46" fillId="0" borderId="2" xfId="2" applyFont="1" applyFill="1" applyBorder="1" applyAlignment="1">
      <alignment vertical="center" wrapText="1"/>
    </xf>
    <xf numFmtId="0" fontId="46" fillId="0" borderId="2" xfId="2" applyFont="1" applyFill="1" applyBorder="1" applyAlignment="1">
      <alignment horizontal="center" vertical="center" wrapText="1"/>
    </xf>
    <xf numFmtId="0" fontId="49" fillId="0" borderId="0" xfId="2" applyFont="1" applyBorder="1" applyAlignment="1">
      <alignment wrapText="1"/>
    </xf>
    <xf numFmtId="0" fontId="49" fillId="0" borderId="0" xfId="2" applyFont="1" applyAlignment="1">
      <alignment wrapText="1"/>
    </xf>
    <xf numFmtId="0" fontId="70" fillId="0" borderId="0" xfId="2" applyFont="1" applyFill="1" applyBorder="1" applyAlignment="1">
      <alignment vertical="center" wrapText="1"/>
    </xf>
    <xf numFmtId="0" fontId="49" fillId="0" borderId="0" xfId="2" applyFont="1" applyFill="1" applyBorder="1" applyAlignment="1">
      <alignment wrapText="1"/>
    </xf>
    <xf numFmtId="168" fontId="49" fillId="0" borderId="0" xfId="25" applyNumberFormat="1" applyFont="1" applyFill="1" applyBorder="1" applyAlignment="1">
      <alignment wrapText="1"/>
    </xf>
    <xf numFmtId="166" fontId="49" fillId="0" borderId="0" xfId="2" applyNumberFormat="1" applyFont="1" applyFill="1" applyBorder="1" applyAlignment="1">
      <alignment wrapText="1"/>
    </xf>
    <xf numFmtId="0" fontId="45" fillId="0" borderId="2" xfId="2" applyFont="1" applyFill="1" applyBorder="1" applyAlignment="1">
      <alignment horizontal="center" vertical="center"/>
    </xf>
    <xf numFmtId="0" fontId="45" fillId="0" borderId="2" xfId="2" applyFont="1" applyFill="1" applyBorder="1" applyAlignment="1">
      <alignment horizontal="center" vertical="center" wrapText="1"/>
    </xf>
    <xf numFmtId="0" fontId="49" fillId="0" borderId="0" xfId="2" applyFont="1" applyBorder="1"/>
    <xf numFmtId="0" fontId="45" fillId="0" borderId="0" xfId="2" applyFont="1" applyFill="1" applyAlignment="1">
      <alignment vertical="center"/>
    </xf>
    <xf numFmtId="0" fontId="45" fillId="0" borderId="0" xfId="2" applyFont="1" applyFill="1" applyAlignment="1">
      <alignment horizontal="center" vertical="center" wrapText="1"/>
    </xf>
    <xf numFmtId="0" fontId="70" fillId="0" borderId="0" xfId="2" applyFont="1" applyFill="1" applyBorder="1" applyAlignment="1">
      <alignment horizontal="left" vertical="center" wrapText="1"/>
    </xf>
    <xf numFmtId="0" fontId="45" fillId="0" borderId="0" xfId="2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vertical="center"/>
    </xf>
    <xf numFmtId="2" fontId="46" fillId="0" borderId="0" xfId="28" applyNumberFormat="1" applyFont="1" applyFill="1" applyBorder="1" applyAlignment="1">
      <alignment vertical="center"/>
    </xf>
    <xf numFmtId="2" fontId="49" fillId="0" borderId="0" xfId="2" applyNumberFormat="1" applyFont="1" applyFill="1" applyBorder="1"/>
    <xf numFmtId="164" fontId="46" fillId="0" borderId="0" xfId="2" applyNumberFormat="1" applyFont="1" applyFill="1" applyBorder="1" applyAlignment="1">
      <alignment vertical="center"/>
    </xf>
    <xf numFmtId="0" fontId="45" fillId="0" borderId="2" xfId="2" applyFont="1" applyFill="1" applyBorder="1" applyAlignment="1">
      <alignment vertical="center"/>
    </xf>
    <xf numFmtId="0" fontId="53" fillId="0" borderId="0" xfId="2" applyFont="1" applyFill="1" applyBorder="1" applyAlignment="1">
      <alignment vertical="top"/>
    </xf>
    <xf numFmtId="0" fontId="45" fillId="0" borderId="0" xfId="2" applyFont="1" applyFill="1" applyBorder="1" applyAlignment="1">
      <alignment vertical="center" wrapText="1"/>
    </xf>
    <xf numFmtId="0" fontId="46" fillId="0" borderId="0" xfId="2" applyFont="1" applyFill="1" applyBorder="1" applyAlignment="1">
      <alignment vertical="center"/>
    </xf>
    <xf numFmtId="0" fontId="46" fillId="0" borderId="0" xfId="2" applyFont="1" applyFill="1" applyBorder="1" applyAlignment="1">
      <alignment horizontal="center" vertical="center" wrapText="1"/>
    </xf>
    <xf numFmtId="166" fontId="45" fillId="0" borderId="0" xfId="2" applyNumberFormat="1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left"/>
    </xf>
    <xf numFmtId="164" fontId="49" fillId="0" borderId="0" xfId="2" applyNumberFormat="1" applyFont="1" applyFill="1" applyBorder="1"/>
    <xf numFmtId="170" fontId="49" fillId="0" borderId="0" xfId="2" applyNumberFormat="1" applyFont="1"/>
    <xf numFmtId="0" fontId="50" fillId="0" borderId="25" xfId="0" applyFont="1" applyBorder="1"/>
    <xf numFmtId="0" fontId="46" fillId="0" borderId="4" xfId="0" applyFont="1" applyBorder="1" applyAlignment="1">
      <alignment vertical="center"/>
    </xf>
    <xf numFmtId="0" fontId="46" fillId="0" borderId="4" xfId="0" applyFont="1" applyBorder="1" applyAlignment="1">
      <alignment horizontal="right" vertical="center"/>
    </xf>
    <xf numFmtId="0" fontId="46" fillId="0" borderId="15" xfId="0" applyFont="1" applyBorder="1" applyAlignment="1">
      <alignment horizontal="center" vertical="center"/>
    </xf>
    <xf numFmtId="166" fontId="45" fillId="0" borderId="0" xfId="0" applyNumberFormat="1" applyFont="1" applyFill="1" applyAlignment="1">
      <alignment horizontal="center" vertical="center" wrapText="1"/>
    </xf>
    <xf numFmtId="166" fontId="45" fillId="0" borderId="5" xfId="0" applyNumberFormat="1" applyFont="1" applyBorder="1" applyAlignment="1">
      <alignment horizontal="center" vertical="center"/>
    </xf>
    <xf numFmtId="166" fontId="45" fillId="0" borderId="11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49" fillId="0" borderId="0" xfId="0" applyFont="1" applyBorder="1" applyAlignment="1"/>
    <xf numFmtId="0" fontId="53" fillId="0" borderId="0" xfId="0" applyFont="1" applyBorder="1" applyAlignment="1">
      <alignment horizontal="right" vertical="center"/>
    </xf>
    <xf numFmtId="0" fontId="86" fillId="0" borderId="0" xfId="0" applyFont="1" applyAlignment="1">
      <alignment vertical="center"/>
    </xf>
    <xf numFmtId="0" fontId="46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 indent="1"/>
    </xf>
    <xf numFmtId="0" fontId="86" fillId="0" borderId="2" xfId="0" applyFont="1" applyBorder="1"/>
    <xf numFmtId="2" fontId="45" fillId="0" borderId="0" xfId="0" applyNumberFormat="1" applyFont="1" applyAlignment="1">
      <alignment horizontal="center" vertical="center"/>
    </xf>
    <xf numFmtId="2" fontId="48" fillId="0" borderId="0" xfId="19" applyNumberFormat="1" applyFont="1" applyFill="1" applyBorder="1" applyAlignment="1">
      <alignment horizontal="center"/>
    </xf>
    <xf numFmtId="2" fontId="46" fillId="0" borderId="2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49" fillId="0" borderId="0" xfId="0" applyFont="1" applyAlignment="1">
      <alignment horizontal="left" vertical="center" wrapText="1" indent="2"/>
    </xf>
    <xf numFmtId="0" fontId="49" fillId="0" borderId="2" xfId="0" applyFont="1" applyBorder="1" applyAlignment="1">
      <alignment horizontal="left" vertical="center" wrapText="1" indent="1"/>
    </xf>
    <xf numFmtId="166" fontId="49" fillId="0" borderId="0" xfId="0" applyNumberFormat="1" applyFont="1" applyAlignment="1">
      <alignment horizontal="right" vertical="center" wrapText="1"/>
    </xf>
    <xf numFmtId="0" fontId="49" fillId="0" borderId="19" xfId="0" applyFont="1" applyBorder="1" applyAlignment="1">
      <alignment vertical="center" wrapText="1"/>
    </xf>
    <xf numFmtId="0" fontId="73" fillId="0" borderId="0" xfId="0" applyFont="1" applyBorder="1" applyAlignment="1">
      <alignment horizontal="right" vertical="center" wrapText="1"/>
    </xf>
    <xf numFmtId="0" fontId="73" fillId="0" borderId="0" xfId="0" applyFont="1" applyAlignment="1">
      <alignment horizontal="right" vertical="center" wrapText="1"/>
    </xf>
    <xf numFmtId="0" fontId="50" fillId="0" borderId="19" xfId="0" applyFont="1" applyBorder="1" applyAlignment="1">
      <alignment vertical="center" wrapText="1"/>
    </xf>
    <xf numFmtId="0" fontId="50" fillId="0" borderId="20" xfId="0" applyFont="1" applyBorder="1" applyAlignment="1">
      <alignment vertical="center" wrapText="1"/>
    </xf>
    <xf numFmtId="0" fontId="91" fillId="0" borderId="2" xfId="0" applyFont="1" applyBorder="1" applyAlignment="1">
      <alignment vertical="center" wrapText="1"/>
    </xf>
    <xf numFmtId="0" fontId="49" fillId="0" borderId="2" xfId="0" applyFont="1" applyBorder="1" applyAlignment="1">
      <alignment horizontal="left" vertical="center" wrapText="1" indent="2"/>
    </xf>
    <xf numFmtId="0" fontId="73" fillId="0" borderId="20" xfId="0" applyFont="1" applyBorder="1" applyAlignment="1">
      <alignment vertical="center" wrapText="1"/>
    </xf>
    <xf numFmtId="0" fontId="49" fillId="0" borderId="0" xfId="0" applyFont="1" applyBorder="1" applyAlignment="1">
      <alignment horizontal="left" vertical="center" wrapText="1" indent="2"/>
    </xf>
    <xf numFmtId="166" fontId="78" fillId="0" borderId="0" xfId="0" applyNumberFormat="1" applyFont="1" applyBorder="1"/>
    <xf numFmtId="166" fontId="49" fillId="0" borderId="0" xfId="0" applyNumberFormat="1" applyFont="1" applyFill="1"/>
    <xf numFmtId="0" fontId="93" fillId="0" borderId="0" xfId="0" applyFont="1"/>
    <xf numFmtId="0" fontId="92" fillId="0" borderId="0" xfId="0" applyFont="1"/>
    <xf numFmtId="0" fontId="94" fillId="0" borderId="2" xfId="0" applyFont="1" applyBorder="1"/>
    <xf numFmtId="0" fontId="93" fillId="0" borderId="2" xfId="0" applyFont="1" applyBorder="1"/>
    <xf numFmtId="0" fontId="94" fillId="0" borderId="0" xfId="0" applyFont="1" applyBorder="1"/>
    <xf numFmtId="0" fontId="93" fillId="0" borderId="0" xfId="0" applyFont="1" applyBorder="1"/>
    <xf numFmtId="0" fontId="92" fillId="8" borderId="0" xfId="4" applyFont="1" applyFill="1"/>
    <xf numFmtId="0" fontId="95" fillId="0" borderId="0" xfId="4" applyFont="1"/>
    <xf numFmtId="0" fontId="92" fillId="0" borderId="0" xfId="0" applyFont="1" applyBorder="1"/>
    <xf numFmtId="0" fontId="8" fillId="0" borderId="0" xfId="0" applyFont="1" applyBorder="1"/>
    <xf numFmtId="166" fontId="45" fillId="0" borderId="0" xfId="0" applyNumberFormat="1" applyFont="1" applyAlignment="1">
      <alignment vertical="center"/>
    </xf>
    <xf numFmtId="0" fontId="96" fillId="0" borderId="0" xfId="0" applyFont="1"/>
    <xf numFmtId="0" fontId="96" fillId="0" borderId="0" xfId="0" applyFont="1" applyBorder="1"/>
    <xf numFmtId="0" fontId="96" fillId="8" borderId="0" xfId="4" applyFont="1" applyFill="1"/>
    <xf numFmtId="166" fontId="48" fillId="0" borderId="0" xfId="0" applyNumberFormat="1" applyFont="1"/>
    <xf numFmtId="168" fontId="97" fillId="47" borderId="0" xfId="44" applyNumberFormat="1" applyFont="1" applyFill="1" applyBorder="1" applyAlignment="1">
      <alignment horizontal="right" vertical="center"/>
    </xf>
    <xf numFmtId="0" fontId="50" fillId="0" borderId="0" xfId="0" applyFont="1" applyFill="1"/>
    <xf numFmtId="0" fontId="50" fillId="0" borderId="58" xfId="0" applyFont="1" applyBorder="1" applyAlignment="1">
      <alignment horizontal="center" vertical="center"/>
    </xf>
    <xf numFmtId="0" fontId="49" fillId="0" borderId="58" xfId="0" applyFont="1" applyBorder="1"/>
    <xf numFmtId="0" fontId="50" fillId="0" borderId="58" xfId="0" applyFont="1" applyBorder="1" applyAlignment="1">
      <alignment horizontal="center"/>
    </xf>
    <xf numFmtId="0" fontId="49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/>
    <xf numFmtId="0" fontId="45" fillId="0" borderId="3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1" fontId="45" fillId="0" borderId="0" xfId="0" applyNumberFormat="1" applyFont="1" applyFill="1" applyAlignment="1">
      <alignment horizontal="center" vertical="center"/>
    </xf>
    <xf numFmtId="0" fontId="0" fillId="3" borderId="0" xfId="0" applyFill="1"/>
    <xf numFmtId="0" fontId="50" fillId="3" borderId="0" xfId="0" applyFont="1" applyFill="1"/>
    <xf numFmtId="0" fontId="118" fillId="3" borderId="0" xfId="0" applyFont="1" applyFill="1"/>
    <xf numFmtId="0" fontId="50" fillId="3" borderId="1" xfId="0" applyFont="1" applyFill="1" applyBorder="1"/>
    <xf numFmtId="0" fontId="0" fillId="3" borderId="1" xfId="0" applyFill="1" applyBorder="1"/>
    <xf numFmtId="0" fontId="50" fillId="3" borderId="1" xfId="0" applyFont="1" applyFill="1" applyBorder="1" applyAlignment="1">
      <alignment horizontal="center"/>
    </xf>
    <xf numFmtId="166" fontId="50" fillId="3" borderId="0" xfId="0" applyNumberFormat="1" applyFont="1" applyFill="1" applyAlignment="1">
      <alignment horizontal="center"/>
    </xf>
    <xf numFmtId="166" fontId="46" fillId="3" borderId="0" xfId="44" applyNumberFormat="1" applyFont="1" applyFill="1" applyBorder="1" applyAlignment="1">
      <alignment horizontal="center"/>
    </xf>
    <xf numFmtId="0" fontId="137" fillId="3" borderId="1" xfId="0" applyFont="1" applyFill="1" applyBorder="1" applyAlignment="1">
      <alignment horizontal="center"/>
    </xf>
    <xf numFmtId="166" fontId="138" fillId="3" borderId="0" xfId="17" applyNumberFormat="1" applyFont="1" applyFill="1" applyBorder="1" applyAlignment="1">
      <alignment horizontal="center"/>
    </xf>
    <xf numFmtId="0" fontId="138" fillId="3" borderId="0" xfId="17" applyNumberFormat="1" applyFont="1" applyFill="1" applyBorder="1" applyAlignment="1">
      <alignment horizontal="center"/>
    </xf>
    <xf numFmtId="0" fontId="71" fillId="3" borderId="0" xfId="0" applyFont="1" applyFill="1" applyAlignment="1"/>
    <xf numFmtId="0" fontId="78" fillId="3" borderId="0" xfId="0" applyFont="1" applyFill="1" applyAlignment="1"/>
    <xf numFmtId="0" fontId="71" fillId="3" borderId="0" xfId="0" applyFont="1" applyFill="1" applyAlignment="1"/>
    <xf numFmtId="0" fontId="71" fillId="3" borderId="0" xfId="0" applyFont="1" applyFill="1" applyAlignment="1"/>
    <xf numFmtId="14" fontId="50" fillId="3" borderId="1" xfId="0" applyNumberFormat="1" applyFont="1" applyFill="1" applyBorder="1" applyAlignment="1">
      <alignment horizontal="center"/>
    </xf>
    <xf numFmtId="1" fontId="50" fillId="3" borderId="0" xfId="0" applyNumberFormat="1" applyFont="1" applyFill="1"/>
    <xf numFmtId="14" fontId="50" fillId="3" borderId="1" xfId="0" applyNumberFormat="1" applyFont="1" applyFill="1" applyBorder="1"/>
    <xf numFmtId="1" fontId="50" fillId="3" borderId="0" xfId="0" applyNumberFormat="1" applyFont="1" applyFill="1" applyAlignment="1">
      <alignment horizontal="center"/>
    </xf>
    <xf numFmtId="1" fontId="46" fillId="3" borderId="0" xfId="44" applyNumberFormat="1" applyFont="1" applyFill="1" applyBorder="1" applyAlignment="1">
      <alignment horizontal="center"/>
    </xf>
    <xf numFmtId="0" fontId="25" fillId="3" borderId="0" xfId="4" applyFill="1"/>
    <xf numFmtId="0" fontId="46" fillId="0" borderId="4" xfId="0" applyFont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 wrapText="1"/>
    </xf>
    <xf numFmtId="4" fontId="51" fillId="11" borderId="0" xfId="5" applyNumberFormat="1" applyFont="1" applyFill="1" applyBorder="1" applyAlignment="1" applyProtection="1">
      <alignment horizontal="right" vertical="center"/>
      <protection locked="0"/>
    </xf>
    <xf numFmtId="168" fontId="51" fillId="11" borderId="0" xfId="25" applyNumberFormat="1" applyFont="1" applyFill="1" applyBorder="1" applyAlignment="1" applyProtection="1">
      <alignment horizontal="right" vertical="center"/>
      <protection locked="0"/>
    </xf>
    <xf numFmtId="4" fontId="80" fillId="10" borderId="0" xfId="69" applyNumberFormat="1" applyFont="1" applyFill="1" applyBorder="1" applyAlignment="1" applyProtection="1"/>
    <xf numFmtId="4" fontId="48" fillId="0" borderId="0" xfId="69" applyNumberFormat="1" applyFont="1" applyFill="1" applyBorder="1" applyAlignment="1" applyProtection="1"/>
    <xf numFmtId="4" fontId="51" fillId="10" borderId="0" xfId="69" applyNumberFormat="1" applyFont="1" applyFill="1" applyBorder="1" applyAlignment="1" applyProtection="1"/>
    <xf numFmtId="167" fontId="70" fillId="0" borderId="25" xfId="29" applyNumberFormat="1" applyFont="1" applyFill="1" applyBorder="1" applyAlignment="1">
      <alignment wrapText="1"/>
    </xf>
    <xf numFmtId="3" fontId="49" fillId="0" borderId="0" xfId="52" applyNumberFormat="1" applyFont="1" applyBorder="1"/>
    <xf numFmtId="9" fontId="49" fillId="0" borderId="0" xfId="12" applyFont="1" applyFill="1" applyBorder="1"/>
    <xf numFmtId="0" fontId="49" fillId="0" borderId="0" xfId="52" applyFont="1" applyBorder="1" applyAlignment="1">
      <alignment horizontal="left" indent="1"/>
    </xf>
    <xf numFmtId="0" fontId="48" fillId="0" borderId="0" xfId="22" applyFont="1" applyBorder="1"/>
    <xf numFmtId="1" fontId="48" fillId="0" borderId="0" xfId="22" applyNumberFormat="1" applyFont="1" applyBorder="1"/>
    <xf numFmtId="9" fontId="49" fillId="0" borderId="1" xfId="12" applyFont="1" applyFill="1" applyBorder="1"/>
    <xf numFmtId="0" fontId="74" fillId="0" borderId="0" xfId="0" applyFont="1" applyBorder="1"/>
    <xf numFmtId="166" fontId="48" fillId="0" borderId="0" xfId="22" applyNumberFormat="1" applyFont="1" applyBorder="1"/>
    <xf numFmtId="0" fontId="50" fillId="0" borderId="1" xfId="52" applyFont="1" applyBorder="1"/>
    <xf numFmtId="1" fontId="50" fillId="0" borderId="25" xfId="52" applyNumberFormat="1" applyFont="1" applyBorder="1" applyAlignment="1">
      <alignment horizontal="right"/>
    </xf>
    <xf numFmtId="166" fontId="49" fillId="0" borderId="25" xfId="0" applyNumberFormat="1" applyFont="1" applyFill="1" applyBorder="1" applyAlignment="1">
      <alignment horizontal="center"/>
    </xf>
    <xf numFmtId="168" fontId="49" fillId="0" borderId="0" xfId="12" applyNumberFormat="1" applyFont="1"/>
    <xf numFmtId="14" fontId="49" fillId="0" borderId="27" xfId="0" applyNumberFormat="1" applyFont="1" applyFill="1" applyBorder="1" applyAlignment="1">
      <alignment horizontal="center"/>
    </xf>
    <xf numFmtId="168" fontId="49" fillId="0" borderId="25" xfId="12" applyNumberFormat="1" applyFont="1" applyBorder="1"/>
    <xf numFmtId="0" fontId="46" fillId="0" borderId="0" xfId="0" applyFont="1" applyBorder="1" applyAlignment="1">
      <alignment vertical="center"/>
    </xf>
    <xf numFmtId="166" fontId="46" fillId="0" borderId="0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166" fontId="46" fillId="0" borderId="12" xfId="0" applyNumberFormat="1" applyFont="1" applyFill="1" applyBorder="1" applyAlignment="1">
      <alignment horizontal="center" vertical="center"/>
    </xf>
    <xf numFmtId="166" fontId="46" fillId="0" borderId="7" xfId="0" applyNumberFormat="1" applyFont="1" applyFill="1" applyBorder="1" applyAlignment="1">
      <alignment horizontal="center" vertical="center"/>
    </xf>
    <xf numFmtId="166" fontId="46" fillId="0" borderId="34" xfId="0" applyNumberFormat="1" applyFont="1" applyFill="1" applyBorder="1" applyAlignment="1">
      <alignment horizontal="center" vertical="center"/>
    </xf>
    <xf numFmtId="166" fontId="46" fillId="0" borderId="3" xfId="0" applyNumberFormat="1" applyFont="1" applyFill="1" applyBorder="1" applyAlignment="1">
      <alignment horizontal="center" vertical="center"/>
    </xf>
    <xf numFmtId="166" fontId="46" fillId="0" borderId="8" xfId="0" applyNumberFormat="1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166" fontId="48" fillId="0" borderId="8" xfId="0" applyNumberFormat="1" applyFont="1" applyFill="1" applyBorder="1" applyAlignment="1">
      <alignment horizontal="center" vertical="center"/>
    </xf>
    <xf numFmtId="166" fontId="48" fillId="0" borderId="11" xfId="0" applyNumberFormat="1" applyFont="1" applyFill="1" applyBorder="1" applyAlignment="1">
      <alignment horizontal="center" vertical="center"/>
    </xf>
    <xf numFmtId="166" fontId="48" fillId="0" borderId="2" xfId="0" applyNumberFormat="1" applyFont="1" applyFill="1" applyBorder="1" applyAlignment="1">
      <alignment horizontal="center" vertical="center"/>
    </xf>
    <xf numFmtId="166" fontId="48" fillId="0" borderId="0" xfId="0" applyNumberFormat="1" applyFont="1" applyFill="1" applyAlignment="1">
      <alignment horizontal="center" vertical="center"/>
    </xf>
    <xf numFmtId="166" fontId="45" fillId="0" borderId="2" xfId="0" applyNumberFormat="1" applyFont="1" applyFill="1" applyBorder="1" applyAlignment="1">
      <alignment horizontal="center" vertical="center" wrapText="1"/>
    </xf>
    <xf numFmtId="168" fontId="49" fillId="0" borderId="1" xfId="12" applyNumberFormat="1" applyFont="1" applyFill="1" applyBorder="1"/>
    <xf numFmtId="168" fontId="48" fillId="0" borderId="0" xfId="22" applyNumberFormat="1" applyFont="1"/>
    <xf numFmtId="0" fontId="45" fillId="0" borderId="2" xfId="0" applyFont="1" applyBorder="1" applyAlignment="1">
      <alignment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167" fontId="48" fillId="0" borderId="0" xfId="22" applyNumberFormat="1" applyFont="1" applyFill="1" applyBorder="1" applyAlignment="1">
      <alignment horizontal="center" vertical="center"/>
    </xf>
    <xf numFmtId="167" fontId="48" fillId="0" borderId="0" xfId="22" applyNumberFormat="1" applyFont="1" applyAlignment="1">
      <alignment vertical="center"/>
    </xf>
    <xf numFmtId="0" fontId="48" fillId="0" borderId="0" xfId="22" applyFont="1" applyAlignment="1">
      <alignment vertical="center"/>
    </xf>
    <xf numFmtId="0" fontId="48" fillId="0" borderId="1" xfId="22" applyFont="1" applyBorder="1" applyAlignment="1">
      <alignment horizontal="center"/>
    </xf>
    <xf numFmtId="167" fontId="48" fillId="0" borderId="0" xfId="22" applyNumberFormat="1" applyFont="1" applyAlignment="1">
      <alignment horizontal="center" vertical="center"/>
    </xf>
    <xf numFmtId="166" fontId="48" fillId="0" borderId="0" xfId="22" applyNumberFormat="1" applyFont="1" applyAlignment="1">
      <alignment horizontal="center" vertical="center"/>
    </xf>
    <xf numFmtId="2" fontId="138" fillId="0" borderId="0" xfId="0" applyNumberFormat="1" applyFont="1" applyFill="1" applyAlignment="1">
      <alignment horizontal="center" vertical="center" wrapText="1"/>
    </xf>
    <xf numFmtId="2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vertical="center" wrapText="1"/>
    </xf>
    <xf numFmtId="2" fontId="52" fillId="0" borderId="2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vertical="center" wrapText="1"/>
    </xf>
    <xf numFmtId="0" fontId="138" fillId="0" borderId="0" xfId="0" applyFont="1" applyFill="1" applyAlignment="1">
      <alignment vertical="center" wrapText="1"/>
    </xf>
    <xf numFmtId="0" fontId="139" fillId="0" borderId="0" xfId="0" applyFont="1" applyFill="1" applyAlignment="1">
      <alignment vertical="center" wrapText="1"/>
    </xf>
    <xf numFmtId="0" fontId="52" fillId="0" borderId="2" xfId="0" applyFont="1" applyFill="1" applyBorder="1" applyAlignment="1">
      <alignment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2" fontId="46" fillId="0" borderId="0" xfId="0" applyNumberFormat="1" applyFont="1" applyAlignment="1">
      <alignment horizontal="center" vertical="center" wrapText="1"/>
    </xf>
    <xf numFmtId="2" fontId="46" fillId="0" borderId="2" xfId="0" applyNumberFormat="1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vertical="center" wrapText="1"/>
    </xf>
    <xf numFmtId="0" fontId="49" fillId="0" borderId="2" xfId="0" applyFont="1" applyFill="1" applyBorder="1"/>
    <xf numFmtId="0" fontId="45" fillId="0" borderId="2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74" fillId="0" borderId="0" xfId="0" applyFont="1" applyAlignment="1">
      <alignment vertical="center"/>
    </xf>
    <xf numFmtId="0" fontId="45" fillId="0" borderId="2" xfId="0" applyFont="1" applyFill="1" applyBorder="1" applyAlignment="1">
      <alignment horizontal="left" vertical="center" wrapText="1"/>
    </xf>
    <xf numFmtId="0" fontId="46" fillId="0" borderId="4" xfId="0" applyFont="1" applyBorder="1" applyAlignment="1">
      <alignment horizontal="center" vertical="center"/>
    </xf>
    <xf numFmtId="0" fontId="71" fillId="0" borderId="58" xfId="0" applyFont="1" applyBorder="1"/>
    <xf numFmtId="0" fontId="45" fillId="0" borderId="58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 wrapText="1"/>
    </xf>
    <xf numFmtId="0" fontId="49" fillId="0" borderId="58" xfId="0" applyFont="1" applyBorder="1" applyAlignment="1">
      <alignment horizontal="center" vertical="center"/>
    </xf>
    <xf numFmtId="0" fontId="49" fillId="0" borderId="58" xfId="0" applyFont="1" applyBorder="1" applyAlignment="1">
      <alignment horizontal="right" vertical="center"/>
    </xf>
    <xf numFmtId="0" fontId="45" fillId="2" borderId="0" xfId="0" applyFont="1" applyFill="1" applyAlignment="1">
      <alignment vertical="center" wrapText="1"/>
    </xf>
    <xf numFmtId="0" fontId="45" fillId="2" borderId="0" xfId="0" applyFont="1" applyFill="1" applyAlignment="1">
      <alignment vertical="center"/>
    </xf>
    <xf numFmtId="166" fontId="45" fillId="0" borderId="58" xfId="0" applyNumberFormat="1" applyFont="1" applyBorder="1" applyAlignment="1">
      <alignment horizontal="center" vertical="center"/>
    </xf>
    <xf numFmtId="2" fontId="45" fillId="0" borderId="58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vertical="center"/>
    </xf>
    <xf numFmtId="0" fontId="49" fillId="0" borderId="58" xfId="0" applyFont="1" applyBorder="1" applyAlignment="1">
      <alignment vertical="center"/>
    </xf>
    <xf numFmtId="0" fontId="45" fillId="0" borderId="58" xfId="0" applyFont="1" applyBorder="1" applyAlignment="1">
      <alignment vertical="center"/>
    </xf>
    <xf numFmtId="174" fontId="45" fillId="0" borderId="58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1" fontId="49" fillId="0" borderId="0" xfId="0" applyNumberFormat="1" applyFont="1" applyBorder="1" applyAlignment="1">
      <alignment horizontal="right" vertical="center" wrapText="1"/>
    </xf>
    <xf numFmtId="174" fontId="45" fillId="0" borderId="0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166" fontId="45" fillId="0" borderId="1" xfId="0" applyNumberFormat="1" applyFont="1" applyBorder="1" applyAlignment="1">
      <alignment horizontal="center" vertical="center"/>
    </xf>
    <xf numFmtId="174" fontId="45" fillId="0" borderId="1" xfId="0" applyNumberFormat="1" applyFont="1" applyBorder="1" applyAlignment="1">
      <alignment horizontal="center" vertical="center"/>
    </xf>
    <xf numFmtId="166" fontId="46" fillId="0" borderId="0" xfId="0" applyNumberFormat="1" applyFont="1" applyBorder="1" applyAlignment="1">
      <alignment horizontal="center" vertical="center"/>
    </xf>
    <xf numFmtId="174" fontId="46" fillId="0" borderId="0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1" fontId="49" fillId="0" borderId="1" xfId="0" applyNumberFormat="1" applyFont="1" applyBorder="1" applyAlignment="1">
      <alignment horizontal="right" vertical="center" wrapText="1"/>
    </xf>
    <xf numFmtId="0" fontId="50" fillId="0" borderId="0" xfId="0" applyFont="1" applyBorder="1" applyAlignment="1">
      <alignment vertical="center"/>
    </xf>
    <xf numFmtId="166" fontId="49" fillId="0" borderId="0" xfId="0" applyNumberFormat="1" applyFont="1" applyBorder="1" applyAlignment="1">
      <alignment horizontal="right" vertical="center" wrapText="1"/>
    </xf>
    <xf numFmtId="166" fontId="53" fillId="0" borderId="0" xfId="0" applyNumberFormat="1" applyFont="1" applyBorder="1" applyAlignment="1">
      <alignment horizontal="left" vertical="center"/>
    </xf>
    <xf numFmtId="0" fontId="74" fillId="0" borderId="58" xfId="0" applyFont="1" applyBorder="1" applyAlignment="1">
      <alignment vertical="center"/>
    </xf>
    <xf numFmtId="0" fontId="74" fillId="0" borderId="58" xfId="0" applyFont="1" applyBorder="1" applyAlignment="1">
      <alignment vertical="center" wrapText="1"/>
    </xf>
    <xf numFmtId="0" fontId="46" fillId="0" borderId="58" xfId="0" applyFont="1" applyBorder="1" applyAlignment="1">
      <alignment horizontal="center" vertical="center" wrapText="1"/>
    </xf>
    <xf numFmtId="0" fontId="50" fillId="0" borderId="58" xfId="0" applyFont="1" applyBorder="1" applyAlignment="1">
      <alignment horizontal="right" vertical="center"/>
    </xf>
    <xf numFmtId="166" fontId="49" fillId="0" borderId="1" xfId="0" applyNumberFormat="1" applyFont="1" applyBorder="1" applyAlignment="1">
      <alignment horizontal="right" vertical="center" wrapText="1"/>
    </xf>
    <xf numFmtId="166" fontId="53" fillId="0" borderId="0" xfId="0" applyNumberFormat="1" applyFont="1" applyBorder="1" applyAlignment="1">
      <alignment horizontal="center" vertical="center"/>
    </xf>
    <xf numFmtId="166" fontId="49" fillId="0" borderId="0" xfId="0" applyNumberFormat="1" applyFont="1" applyFill="1" applyAlignment="1">
      <alignment horizontal="right" vertical="center" wrapText="1"/>
    </xf>
    <xf numFmtId="166" fontId="49" fillId="0" borderId="58" xfId="0" applyNumberFormat="1" applyFont="1" applyFill="1" applyBorder="1" applyAlignment="1">
      <alignment horizontal="right" vertical="center" wrapText="1"/>
    </xf>
    <xf numFmtId="0" fontId="46" fillId="0" borderId="58" xfId="0" applyFont="1" applyBorder="1" applyAlignment="1">
      <alignment vertical="center"/>
    </xf>
    <xf numFmtId="0" fontId="46" fillId="0" borderId="58" xfId="0" applyFont="1" applyBorder="1" applyAlignment="1">
      <alignment horizontal="center" vertical="center"/>
    </xf>
    <xf numFmtId="0" fontId="53" fillId="0" borderId="58" xfId="0" applyFont="1" applyBorder="1" applyAlignment="1">
      <alignment vertical="center"/>
    </xf>
    <xf numFmtId="0" fontId="53" fillId="0" borderId="4" xfId="0" applyFont="1" applyBorder="1" applyAlignment="1">
      <alignment vertical="center"/>
    </xf>
    <xf numFmtId="0" fontId="53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3" fontId="50" fillId="0" borderId="0" xfId="9" applyNumberFormat="1" applyFont="1" applyFill="1" applyBorder="1"/>
    <xf numFmtId="3" fontId="49" fillId="0" borderId="0" xfId="9" applyNumberFormat="1" applyFont="1" applyFill="1" applyBorder="1" applyProtection="1">
      <protection locked="0"/>
    </xf>
    <xf numFmtId="3" fontId="49" fillId="0" borderId="0" xfId="9" applyNumberFormat="1" applyFont="1" applyFill="1" applyBorder="1"/>
    <xf numFmtId="0" fontId="51" fillId="0" borderId="1" xfId="9" applyFont="1" applyFill="1" applyBorder="1"/>
    <xf numFmtId="3" fontId="50" fillId="0" borderId="1" xfId="9" applyNumberFormat="1" applyFont="1" applyFill="1" applyBorder="1"/>
    <xf numFmtId="3" fontId="49" fillId="0" borderId="1" xfId="9" applyNumberFormat="1" applyFont="1" applyFill="1" applyBorder="1" applyProtection="1">
      <protection locked="0"/>
    </xf>
    <xf numFmtId="0" fontId="50" fillId="0" borderId="1" xfId="0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166" fontId="49" fillId="0" borderId="16" xfId="0" applyNumberFormat="1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166" fontId="49" fillId="0" borderId="17" xfId="0" applyNumberFormat="1" applyFont="1" applyBorder="1" applyAlignment="1">
      <alignment horizontal="center"/>
    </xf>
    <xf numFmtId="166" fontId="49" fillId="0" borderId="59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59" xfId="0" applyFont="1" applyBorder="1" applyAlignment="1">
      <alignment horizontal="center" wrapText="1"/>
    </xf>
    <xf numFmtId="0" fontId="50" fillId="0" borderId="1" xfId="859" applyFont="1" applyFill="1" applyBorder="1" applyAlignment="1">
      <alignment vertical="top" wrapText="1"/>
    </xf>
    <xf numFmtId="0" fontId="50" fillId="0" borderId="1" xfId="859" applyFont="1" applyFill="1" applyBorder="1" applyAlignment="1">
      <alignment horizontal="center" vertical="top" wrapText="1"/>
    </xf>
    <xf numFmtId="0" fontId="50" fillId="0" borderId="25" xfId="859" applyFont="1" applyFill="1" applyBorder="1" applyAlignment="1">
      <alignment vertical="top" wrapText="1"/>
    </xf>
    <xf numFmtId="0" fontId="50" fillId="0" borderId="1" xfId="9" applyFont="1" applyFill="1" applyBorder="1" applyAlignment="1">
      <alignment horizontal="center" wrapText="1"/>
    </xf>
    <xf numFmtId="0" fontId="50" fillId="0" borderId="0" xfId="859" applyFont="1" applyFill="1" applyBorder="1" applyAlignment="1">
      <alignment vertical="top" wrapText="1"/>
    </xf>
    <xf numFmtId="166" fontId="49" fillId="0" borderId="0" xfId="191" applyNumberFormat="1" applyFont="1" applyAlignment="1">
      <alignment horizontal="center"/>
    </xf>
    <xf numFmtId="166" fontId="50" fillId="0" borderId="0" xfId="859" applyNumberFormat="1" applyFont="1" applyFill="1" applyBorder="1" applyAlignment="1">
      <alignment horizontal="center" vertical="top" wrapText="1"/>
    </xf>
    <xf numFmtId="0" fontId="50" fillId="0" borderId="0" xfId="859" applyFont="1" applyFill="1" applyBorder="1" applyAlignment="1">
      <alignment horizontal="center" vertical="top" wrapText="1"/>
    </xf>
    <xf numFmtId="167" fontId="49" fillId="0" borderId="0" xfId="859" applyNumberFormat="1" applyFont="1" applyFill="1" applyBorder="1" applyAlignment="1" applyProtection="1">
      <alignment horizontal="center"/>
      <protection locked="0"/>
    </xf>
    <xf numFmtId="166" fontId="49" fillId="0" borderId="0" xfId="859" applyNumberFormat="1" applyFont="1" applyFill="1" applyBorder="1" applyAlignment="1" applyProtection="1">
      <alignment horizontal="center"/>
      <protection locked="0"/>
    </xf>
    <xf numFmtId="166" fontId="49" fillId="0" borderId="1" xfId="191" applyNumberFormat="1" applyFont="1" applyBorder="1" applyAlignment="1">
      <alignment horizontal="center"/>
    </xf>
    <xf numFmtId="166" fontId="49" fillId="0" borderId="1" xfId="859" applyNumberFormat="1" applyFont="1" applyFill="1" applyBorder="1" applyAlignment="1" applyProtection="1">
      <alignment horizontal="center"/>
      <protection locked="0"/>
    </xf>
    <xf numFmtId="167" fontId="49" fillId="0" borderId="1" xfId="859" applyNumberFormat="1" applyFont="1" applyFill="1" applyBorder="1" applyAlignment="1" applyProtection="1">
      <alignment horizontal="center"/>
      <protection locked="0"/>
    </xf>
    <xf numFmtId="0" fontId="141" fillId="0" borderId="0" xfId="0" applyFont="1" applyAlignment="1">
      <alignment horizontal="left" vertical="center"/>
    </xf>
    <xf numFmtId="0" fontId="142" fillId="0" borderId="1" xfId="0" applyFont="1" applyFill="1" applyBorder="1" applyAlignment="1">
      <alignment horizontal="left" vertical="center"/>
    </xf>
    <xf numFmtId="0" fontId="142" fillId="0" borderId="1" xfId="0" applyFont="1" applyFill="1" applyBorder="1" applyAlignment="1">
      <alignment vertical="center"/>
    </xf>
    <xf numFmtId="0" fontId="142" fillId="0" borderId="0" xfId="0" applyFont="1" applyAlignment="1">
      <alignment horizontal="left" vertical="center"/>
    </xf>
    <xf numFmtId="166" fontId="96" fillId="0" borderId="0" xfId="0" applyNumberFormat="1" applyFont="1" applyFill="1" applyAlignment="1">
      <alignment vertical="center"/>
    </xf>
    <xf numFmtId="166" fontId="96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Fill="1" applyAlignment="1">
      <alignment vertical="center"/>
    </xf>
    <xf numFmtId="0" fontId="143" fillId="0" borderId="0" xfId="0" applyFont="1"/>
    <xf numFmtId="0" fontId="73" fillId="0" borderId="0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52" fillId="0" borderId="46" xfId="0" applyFont="1" applyBorder="1" applyAlignment="1">
      <alignment horizontal="center" vertical="center" wrapText="1"/>
    </xf>
    <xf numFmtId="0" fontId="139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139" fillId="0" borderId="46" xfId="0" applyFont="1" applyFill="1" applyBorder="1" applyAlignment="1">
      <alignment horizontal="center" vertical="center" wrapText="1"/>
    </xf>
    <xf numFmtId="0" fontId="52" fillId="0" borderId="46" xfId="0" applyFont="1" applyFill="1" applyBorder="1" applyAlignment="1">
      <alignment horizontal="center" vertical="center" wrapText="1"/>
    </xf>
    <xf numFmtId="0" fontId="139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73" fillId="0" borderId="46" xfId="0" applyFont="1" applyFill="1" applyBorder="1" applyAlignment="1">
      <alignment horizontal="right" vertical="center" wrapText="1"/>
    </xf>
    <xf numFmtId="0" fontId="1" fillId="0" borderId="0" xfId="0" applyFont="1"/>
    <xf numFmtId="0" fontId="144" fillId="0" borderId="60" xfId="0" applyFont="1" applyBorder="1" applyAlignment="1">
      <alignment vertical="center"/>
    </xf>
    <xf numFmtId="0" fontId="138" fillId="0" borderId="58" xfId="0" applyFont="1" applyBorder="1" applyAlignment="1">
      <alignment horizontal="center" vertical="center"/>
    </xf>
    <xf numFmtId="0" fontId="52" fillId="0" borderId="60" xfId="0" applyFont="1" applyBorder="1" applyAlignment="1">
      <alignment vertical="center"/>
    </xf>
    <xf numFmtId="0" fontId="138" fillId="0" borderId="60" xfId="0" applyFont="1" applyBorder="1" applyAlignment="1">
      <alignment horizontal="center" vertical="center"/>
    </xf>
    <xf numFmtId="0" fontId="138" fillId="0" borderId="60" xfId="0" applyFont="1" applyBorder="1" applyAlignment="1">
      <alignment vertical="center"/>
    </xf>
    <xf numFmtId="0" fontId="52" fillId="0" borderId="8" xfId="0" applyFont="1" applyBorder="1" applyAlignment="1">
      <alignment vertical="center"/>
    </xf>
    <xf numFmtId="0" fontId="52" fillId="0" borderId="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9" fillId="0" borderId="0" xfId="0" applyFont="1" applyAlignment="1">
      <alignment horizontal="center" vertical="center"/>
    </xf>
    <xf numFmtId="0" fontId="139" fillId="0" borderId="8" xfId="0" applyFont="1" applyBorder="1" applyAlignment="1">
      <alignment vertical="center"/>
    </xf>
    <xf numFmtId="0" fontId="139" fillId="0" borderId="8" xfId="0" applyFont="1" applyBorder="1" applyAlignment="1">
      <alignment horizontal="center" vertical="center"/>
    </xf>
    <xf numFmtId="0" fontId="138" fillId="0" borderId="15" xfId="0" applyFont="1" applyBorder="1" applyAlignment="1">
      <alignment vertical="center"/>
    </xf>
    <xf numFmtId="0" fontId="138" fillId="0" borderId="15" xfId="0" applyFont="1" applyBorder="1" applyAlignment="1">
      <alignment horizontal="center" vertical="center"/>
    </xf>
    <xf numFmtId="0" fontId="138" fillId="0" borderId="4" xfId="0" applyFont="1" applyBorder="1" applyAlignment="1">
      <alignment horizontal="center" vertical="center"/>
    </xf>
    <xf numFmtId="0" fontId="144" fillId="0" borderId="8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137" fillId="0" borderId="4" xfId="0" applyFont="1" applyBorder="1" applyAlignment="1">
      <alignment horizontal="center" vertical="center"/>
    </xf>
    <xf numFmtId="0" fontId="138" fillId="0" borderId="8" xfId="0" applyFont="1" applyBorder="1" applyAlignment="1">
      <alignment vertical="center"/>
    </xf>
    <xf numFmtId="0" fontId="139" fillId="0" borderId="60" xfId="0" applyFont="1" applyBorder="1" applyAlignment="1">
      <alignment vertical="center"/>
    </xf>
    <xf numFmtId="0" fontId="139" fillId="0" borderId="58" xfId="0" applyFont="1" applyBorder="1" applyAlignment="1">
      <alignment horizontal="center" vertical="center"/>
    </xf>
    <xf numFmtId="0" fontId="139" fillId="0" borderId="60" xfId="0" applyFont="1" applyBorder="1" applyAlignment="1">
      <alignment horizontal="center" vertical="center"/>
    </xf>
    <xf numFmtId="0" fontId="137" fillId="0" borderId="60" xfId="0" applyFont="1" applyBorder="1" applyAlignment="1">
      <alignment vertical="center"/>
    </xf>
    <xf numFmtId="0" fontId="137" fillId="0" borderId="58" xfId="0" applyFont="1" applyBorder="1" applyAlignment="1">
      <alignment vertical="center"/>
    </xf>
    <xf numFmtId="0" fontId="138" fillId="0" borderId="62" xfId="0" applyFont="1" applyBorder="1" applyAlignment="1">
      <alignment horizontal="center" vertical="center"/>
    </xf>
    <xf numFmtId="0" fontId="138" fillId="0" borderId="58" xfId="0" applyFont="1" applyBorder="1" applyAlignment="1">
      <alignment vertical="center"/>
    </xf>
    <xf numFmtId="3" fontId="138" fillId="0" borderId="58" xfId="0" applyNumberFormat="1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139" fillId="0" borderId="7" xfId="0" applyFont="1" applyBorder="1" applyAlignment="1">
      <alignment horizontal="center" vertical="center"/>
    </xf>
    <xf numFmtId="0" fontId="139" fillId="0" borderId="58" xfId="0" applyFont="1" applyBorder="1" applyAlignment="1">
      <alignment vertical="center"/>
    </xf>
    <xf numFmtId="0" fontId="52" fillId="0" borderId="62" xfId="0" applyFont="1" applyBorder="1" applyAlignment="1">
      <alignment horizontal="center" vertical="center"/>
    </xf>
    <xf numFmtId="0" fontId="141" fillId="0" borderId="0" xfId="0" applyFont="1" applyAlignment="1">
      <alignment vertical="center" wrapText="1"/>
    </xf>
    <xf numFmtId="0" fontId="141" fillId="0" borderId="0" xfId="0" applyFont="1" applyAlignment="1">
      <alignment horizontal="center" vertical="center"/>
    </xf>
    <xf numFmtId="0" fontId="141" fillId="0" borderId="58" xfId="0" applyFont="1" applyBorder="1" applyAlignment="1">
      <alignment vertical="center" wrapText="1"/>
    </xf>
    <xf numFmtId="0" fontId="141" fillId="0" borderId="58" xfId="0" applyFont="1" applyBorder="1" applyAlignment="1">
      <alignment horizontal="center" vertical="center"/>
    </xf>
    <xf numFmtId="0" fontId="145" fillId="0" borderId="58" xfId="0" applyFont="1" applyBorder="1" applyAlignment="1">
      <alignment vertical="center" wrapText="1"/>
    </xf>
    <xf numFmtId="0" fontId="145" fillId="0" borderId="58" xfId="0" applyFont="1" applyBorder="1" applyAlignment="1">
      <alignment horizontal="center" vertical="center"/>
    </xf>
    <xf numFmtId="3" fontId="145" fillId="0" borderId="0" xfId="0" applyNumberFormat="1" applyFont="1" applyAlignment="1">
      <alignment horizontal="right" vertical="center"/>
    </xf>
    <xf numFmtId="3" fontId="141" fillId="0" borderId="0" xfId="0" applyNumberFormat="1" applyFont="1" applyAlignment="1">
      <alignment horizontal="right" vertical="center"/>
    </xf>
    <xf numFmtId="0" fontId="141" fillId="0" borderId="0" xfId="0" applyFont="1" applyAlignment="1">
      <alignment horizontal="right" vertical="center"/>
    </xf>
    <xf numFmtId="3" fontId="145" fillId="0" borderId="22" xfId="0" applyNumberFormat="1" applyFont="1" applyBorder="1" applyAlignment="1">
      <alignment horizontal="right" vertical="center"/>
    </xf>
    <xf numFmtId="3" fontId="141" fillId="0" borderId="22" xfId="0" applyNumberFormat="1" applyFont="1" applyBorder="1" applyAlignment="1">
      <alignment horizontal="right" vertical="center"/>
    </xf>
    <xf numFmtId="0" fontId="141" fillId="0" borderId="22" xfId="0" applyFont="1" applyBorder="1" applyAlignment="1">
      <alignment horizontal="right" vertical="center"/>
    </xf>
    <xf numFmtId="0" fontId="141" fillId="0" borderId="21" xfId="0" applyFont="1" applyBorder="1" applyAlignment="1">
      <alignment horizontal="right" vertical="center"/>
    </xf>
    <xf numFmtId="0" fontId="141" fillId="0" borderId="3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 wrapText="1"/>
    </xf>
    <xf numFmtId="0" fontId="50" fillId="0" borderId="35" xfId="0" applyFont="1" applyBorder="1"/>
    <xf numFmtId="1" fontId="4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1" fontId="48" fillId="0" borderId="0" xfId="0" applyNumberFormat="1" applyFont="1" applyFill="1" applyAlignment="1">
      <alignment horizontal="center" vertical="center" wrapText="1"/>
    </xf>
    <xf numFmtId="1" fontId="49" fillId="0" borderId="0" xfId="0" applyNumberFormat="1" applyFont="1" applyFill="1" applyAlignment="1">
      <alignment horizontal="center" vertical="center" wrapText="1"/>
    </xf>
    <xf numFmtId="1" fontId="45" fillId="0" borderId="0" xfId="0" applyNumberFormat="1" applyFont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50" fillId="0" borderId="35" xfId="0" applyNumberFormat="1" applyFont="1" applyBorder="1" applyAlignment="1">
      <alignment horizontal="center"/>
    </xf>
    <xf numFmtId="1" fontId="50" fillId="0" borderId="58" xfId="0" applyNumberFormat="1" applyFont="1" applyBorder="1" applyAlignment="1">
      <alignment horizontal="center"/>
    </xf>
    <xf numFmtId="0" fontId="51" fillId="0" borderId="59" xfId="0" applyFont="1" applyFill="1" applyBorder="1" applyAlignment="1">
      <alignment horizontal="left"/>
    </xf>
    <xf numFmtId="0" fontId="25" fillId="0" borderId="0" xfId="4" applyAlignment="1">
      <alignment vertical="center"/>
    </xf>
    <xf numFmtId="0" fontId="96" fillId="0" borderId="0" xfId="0" applyFont="1" applyFill="1"/>
    <xf numFmtId="0" fontId="8" fillId="46" borderId="0" xfId="4" applyFont="1" applyFill="1"/>
    <xf numFmtId="0" fontId="8" fillId="8" borderId="0" xfId="4" applyFont="1" applyFill="1"/>
    <xf numFmtId="0" fontId="146" fillId="8" borderId="0" xfId="4" applyFont="1" applyFill="1"/>
    <xf numFmtId="0" fontId="146" fillId="46" borderId="0" xfId="4" applyFont="1" applyFill="1"/>
    <xf numFmtId="0" fontId="147" fillId="0" borderId="0" xfId="0" applyFont="1"/>
    <xf numFmtId="0" fontId="71" fillId="0" borderId="1" xfId="0" applyFont="1" applyBorder="1"/>
    <xf numFmtId="0" fontId="51" fillId="0" borderId="0" xfId="0" applyFont="1"/>
    <xf numFmtId="167" fontId="51" fillId="0" borderId="0" xfId="0" applyNumberFormat="1" applyFont="1" applyAlignment="1">
      <alignment horizontal="center"/>
    </xf>
    <xf numFmtId="0" fontId="148" fillId="0" borderId="0" xfId="0" applyFont="1"/>
    <xf numFmtId="167" fontId="48" fillId="0" borderId="0" xfId="0" applyNumberFormat="1" applyFont="1" applyAlignment="1">
      <alignment horizontal="center"/>
    </xf>
    <xf numFmtId="167" fontId="48" fillId="0" borderId="0" xfId="0" applyNumberFormat="1" applyFont="1" applyFill="1" applyAlignment="1">
      <alignment horizontal="center"/>
    </xf>
    <xf numFmtId="0" fontId="48" fillId="0" borderId="0" xfId="0" applyFont="1" applyAlignment="1">
      <alignment horizontal="left" indent="1"/>
    </xf>
    <xf numFmtId="0" fontId="48" fillId="0" borderId="0" xfId="0" applyFont="1" applyBorder="1" applyAlignment="1">
      <alignment horizontal="left" indent="1"/>
    </xf>
    <xf numFmtId="0" fontId="51" fillId="0" borderId="0" xfId="0" applyNumberFormat="1" applyFont="1" applyAlignment="1">
      <alignment horizontal="center"/>
    </xf>
    <xf numFmtId="0" fontId="71" fillId="0" borderId="0" xfId="0" applyFont="1" applyBorder="1"/>
    <xf numFmtId="0" fontId="8" fillId="0" borderId="0" xfId="0" applyFont="1" applyFill="1"/>
    <xf numFmtId="0" fontId="49" fillId="0" borderId="1" xfId="66" applyFont="1" applyBorder="1"/>
    <xf numFmtId="0" fontId="77" fillId="0" borderId="1" xfId="66" applyFont="1" applyBorder="1"/>
    <xf numFmtId="1" fontId="50" fillId="0" borderId="1" xfId="66" applyNumberFormat="1" applyFont="1" applyBorder="1"/>
    <xf numFmtId="1" fontId="50" fillId="0" borderId="1" xfId="66" applyNumberFormat="1" applyFont="1" applyFill="1" applyBorder="1"/>
    <xf numFmtId="0" fontId="50" fillId="0" borderId="0" xfId="66" applyFont="1"/>
    <xf numFmtId="0" fontId="149" fillId="0" borderId="0" xfId="66" applyFont="1"/>
    <xf numFmtId="166" fontId="49" fillId="0" borderId="0" xfId="66" applyNumberFormat="1" applyFont="1"/>
    <xf numFmtId="166" fontId="49" fillId="0" borderId="0" xfId="66" applyNumberFormat="1" applyFont="1" applyFill="1"/>
    <xf numFmtId="0" fontId="50" fillId="0" borderId="0" xfId="66" applyFont="1" applyFill="1"/>
    <xf numFmtId="0" fontId="149" fillId="0" borderId="0" xfId="66" applyFont="1" applyFill="1"/>
    <xf numFmtId="166" fontId="50" fillId="0" borderId="0" xfId="66" applyNumberFormat="1" applyFont="1" applyFill="1"/>
    <xf numFmtId="0" fontId="49" fillId="0" borderId="0" xfId="66" applyFont="1"/>
    <xf numFmtId="166" fontId="77" fillId="0" borderId="0" xfId="66" applyNumberFormat="1" applyFont="1"/>
    <xf numFmtId="166" fontId="77" fillId="0" borderId="1" xfId="66" applyNumberFormat="1" applyFont="1" applyBorder="1"/>
    <xf numFmtId="166" fontId="49" fillId="0" borderId="1" xfId="66" applyNumberFormat="1" applyFont="1" applyBorder="1"/>
    <xf numFmtId="166" fontId="77" fillId="0" borderId="0" xfId="66" applyNumberFormat="1" applyFont="1" applyBorder="1"/>
    <xf numFmtId="0" fontId="49" fillId="0" borderId="0" xfId="66" applyFont="1" applyFill="1"/>
    <xf numFmtId="166" fontId="46" fillId="70" borderId="4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right" vertical="center" wrapText="1"/>
    </xf>
    <xf numFmtId="0" fontId="53" fillId="0" borderId="35" xfId="0" applyFont="1" applyFill="1" applyBorder="1" applyAlignment="1">
      <alignment vertical="center"/>
    </xf>
    <xf numFmtId="0" fontId="73" fillId="0" borderId="25" xfId="0" applyFont="1" applyBorder="1" applyAlignment="1">
      <alignment vertical="center" wrapText="1"/>
    </xf>
    <xf numFmtId="0" fontId="49" fillId="0" borderId="25" xfId="0" applyFont="1" applyBorder="1" applyAlignment="1">
      <alignment horizontal="center" vertical="center" wrapText="1"/>
    </xf>
    <xf numFmtId="166" fontId="53" fillId="70" borderId="35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 indent="1"/>
    </xf>
    <xf numFmtId="0" fontId="93" fillId="0" borderId="0" xfId="0" applyFont="1" applyFill="1"/>
    <xf numFmtId="0" fontId="25" fillId="0" borderId="0" xfId="4" applyFill="1" applyAlignment="1">
      <alignment vertical="center"/>
    </xf>
    <xf numFmtId="0" fontId="96" fillId="0" borderId="0" xfId="0" applyFont="1" applyFill="1" applyBorder="1"/>
    <xf numFmtId="0" fontId="137" fillId="0" borderId="58" xfId="0" applyFont="1" applyBorder="1" applyAlignment="1">
      <alignment horizontal="right" vertical="center" wrapText="1"/>
    </xf>
    <xf numFmtId="3" fontId="137" fillId="0" borderId="4" xfId="0" applyNumberFormat="1" applyFont="1" applyBorder="1" applyAlignment="1">
      <alignment horizontal="right" vertical="center" wrapText="1"/>
    </xf>
    <xf numFmtId="0" fontId="137" fillId="0" borderId="0" xfId="0" applyFont="1" applyAlignment="1">
      <alignment horizontal="right" vertical="center" wrapText="1"/>
    </xf>
    <xf numFmtId="3" fontId="137" fillId="0" borderId="0" xfId="0" applyNumberFormat="1" applyFont="1" applyAlignment="1">
      <alignment horizontal="right" vertical="center" wrapText="1"/>
    </xf>
    <xf numFmtId="3" fontId="139" fillId="0" borderId="0" xfId="0" applyNumberFormat="1" applyFont="1" applyAlignment="1">
      <alignment horizontal="right" vertical="center" wrapText="1"/>
    </xf>
    <xf numFmtId="0" fontId="139" fillId="0" borderId="0" xfId="0" applyFont="1" applyAlignment="1">
      <alignment horizontal="right" vertical="center" wrapText="1"/>
    </xf>
    <xf numFmtId="0" fontId="139" fillId="0" borderId="58" xfId="0" applyFont="1" applyBorder="1" applyAlignment="1">
      <alignment horizontal="right" vertical="center" wrapText="1"/>
    </xf>
    <xf numFmtId="3" fontId="137" fillId="0" borderId="3" xfId="0" applyNumberFormat="1" applyFont="1" applyBorder="1" applyAlignment="1">
      <alignment horizontal="right" vertical="center" wrapText="1"/>
    </xf>
    <xf numFmtId="0" fontId="137" fillId="0" borderId="3" xfId="0" applyFont="1" applyBorder="1" applyAlignment="1">
      <alignment horizontal="right" vertical="center" wrapText="1"/>
    </xf>
    <xf numFmtId="0" fontId="139" fillId="0" borderId="19" xfId="0" applyFont="1" applyBorder="1" applyAlignment="1">
      <alignment horizontal="right" vertical="center" wrapText="1"/>
    </xf>
    <xf numFmtId="0" fontId="49" fillId="0" borderId="20" xfId="0" applyFont="1" applyBorder="1"/>
    <xf numFmtId="0" fontId="150" fillId="0" borderId="0" xfId="69" applyNumberFormat="1" applyFont="1" applyFill="1" applyBorder="1" applyAlignment="1" applyProtection="1"/>
    <xf numFmtId="0" fontId="80" fillId="11" borderId="16" xfId="69" applyFont="1" applyFill="1" applyBorder="1" applyAlignment="1">
      <alignment horizontal="center" vertical="center"/>
    </xf>
    <xf numFmtId="0" fontId="80" fillId="11" borderId="17" xfId="69" applyFont="1" applyFill="1" applyBorder="1" applyAlignment="1">
      <alignment horizontal="center" vertical="center"/>
    </xf>
    <xf numFmtId="0" fontId="74" fillId="0" borderId="58" xfId="0" applyFont="1" applyBorder="1" applyAlignment="1">
      <alignment vertical="center"/>
    </xf>
    <xf numFmtId="0" fontId="74" fillId="0" borderId="58" xfId="0" applyFont="1" applyBorder="1" applyAlignment="1">
      <alignment vertical="center" wrapText="1"/>
    </xf>
    <xf numFmtId="166" fontId="53" fillId="0" borderId="0" xfId="0" applyNumberFormat="1" applyFont="1" applyBorder="1" applyAlignment="1">
      <alignment horizontal="center" vertical="center"/>
    </xf>
    <xf numFmtId="0" fontId="71" fillId="0" borderId="0" xfId="0" applyFont="1" applyAlignment="1"/>
    <xf numFmtId="0" fontId="78" fillId="0" borderId="0" xfId="0" applyFont="1" applyAlignment="1"/>
    <xf numFmtId="0" fontId="71" fillId="3" borderId="0" xfId="0" applyFont="1" applyFill="1" applyAlignment="1"/>
    <xf numFmtId="0" fontId="78" fillId="3" borderId="0" xfId="0" applyFont="1" applyFill="1" applyAlignment="1"/>
    <xf numFmtId="0" fontId="45" fillId="0" borderId="34" xfId="0" applyFont="1" applyBorder="1" applyAlignment="1">
      <alignment vertical="center"/>
    </xf>
    <xf numFmtId="0" fontId="45" fillId="0" borderId="8" xfId="0" applyFont="1" applyBorder="1" applyAlignment="1">
      <alignment vertical="center"/>
    </xf>
    <xf numFmtId="0" fontId="45" fillId="0" borderId="33" xfId="0" applyFont="1" applyBorder="1" applyAlignment="1">
      <alignment vertical="center"/>
    </xf>
    <xf numFmtId="0" fontId="45" fillId="0" borderId="32" xfId="0" applyFont="1" applyBorder="1" applyAlignment="1">
      <alignment vertical="center"/>
    </xf>
    <xf numFmtId="0" fontId="45" fillId="0" borderId="32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53" fillId="0" borderId="3" xfId="0" applyFont="1" applyBorder="1" applyAlignment="1">
      <alignment horizontal="right" vertical="center"/>
    </xf>
    <xf numFmtId="0" fontId="49" fillId="0" borderId="3" xfId="0" applyFont="1" applyBorder="1" applyAlignment="1"/>
    <xf numFmtId="0" fontId="74" fillId="0" borderId="2" xfId="0" applyFont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49" fillId="0" borderId="0" xfId="0" applyFont="1" applyAlignment="1"/>
    <xf numFmtId="0" fontId="73" fillId="0" borderId="46" xfId="0" applyFont="1" applyBorder="1" applyAlignment="1">
      <alignment horizontal="right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/>
    </xf>
    <xf numFmtId="0" fontId="46" fillId="0" borderId="47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49" fillId="0" borderId="3" xfId="0" applyFont="1" applyFill="1" applyBorder="1" applyAlignment="1">
      <alignment horizontal="center" vertical="center"/>
    </xf>
    <xf numFmtId="0" fontId="49" fillId="0" borderId="47" xfId="0" applyFont="1" applyFill="1" applyBorder="1" applyAlignment="1">
      <alignment horizontal="center" vertical="center"/>
    </xf>
    <xf numFmtId="0" fontId="73" fillId="0" borderId="46" xfId="0" applyFont="1" applyFill="1" applyBorder="1" applyAlignment="1">
      <alignment horizontal="right" vertical="center" wrapText="1"/>
    </xf>
    <xf numFmtId="0" fontId="71" fillId="0" borderId="0" xfId="0" applyFont="1" applyFill="1" applyAlignment="1"/>
    <xf numFmtId="0" fontId="49" fillId="0" borderId="0" xfId="0" applyFont="1" applyFill="1" applyAlignment="1"/>
    <xf numFmtId="0" fontId="45" fillId="0" borderId="46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71" fillId="0" borderId="2" xfId="51" applyFont="1" applyBorder="1" applyAlignment="1">
      <alignment horizontal="left"/>
    </xf>
    <xf numFmtId="0" fontId="50" fillId="0" borderId="0" xfId="0" applyFont="1" applyAlignment="1">
      <alignment horizontal="center"/>
    </xf>
    <xf numFmtId="0" fontId="74" fillId="0" borderId="1" xfId="0" applyFont="1" applyBorder="1" applyAlignment="1">
      <alignment vertical="center" wrapText="1"/>
    </xf>
    <xf numFmtId="0" fontId="73" fillId="0" borderId="0" xfId="0" applyFont="1" applyBorder="1" applyAlignment="1">
      <alignment horizontal="right" vertical="center" wrapText="1"/>
    </xf>
    <xf numFmtId="0" fontId="140" fillId="0" borderId="3" xfId="0" applyFont="1" applyBorder="1" applyAlignment="1">
      <alignment horizontal="left" vertical="center"/>
    </xf>
    <xf numFmtId="0" fontId="140" fillId="0" borderId="0" xfId="0" applyFont="1" applyAlignment="1">
      <alignment horizontal="left" vertical="center" wrapText="1"/>
    </xf>
    <xf numFmtId="0" fontId="140" fillId="0" borderId="0" xfId="0" applyFont="1" applyAlignment="1">
      <alignment horizontal="left" vertical="center"/>
    </xf>
    <xf numFmtId="0" fontId="46" fillId="0" borderId="0" xfId="0" applyFont="1" applyBorder="1" applyAlignment="1">
      <alignment vertical="center"/>
    </xf>
    <xf numFmtId="0" fontId="71" fillId="0" borderId="0" xfId="0" applyFont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  <xf numFmtId="0" fontId="46" fillId="0" borderId="0" xfId="2" applyFont="1" applyFill="1" applyBorder="1" applyAlignment="1">
      <alignment horizontal="center" vertical="center" wrapText="1"/>
    </xf>
    <xf numFmtId="0" fontId="74" fillId="0" borderId="2" xfId="0" applyFont="1" applyBorder="1" applyAlignment="1">
      <alignment horizontal="justify" vertical="center"/>
    </xf>
    <xf numFmtId="0" fontId="74" fillId="0" borderId="0" xfId="0" applyFont="1" applyBorder="1" applyAlignment="1">
      <alignment horizontal="justify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74" fillId="0" borderId="2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9" fillId="0" borderId="3" xfId="0" applyFont="1" applyBorder="1" applyAlignment="1">
      <alignment vertical="center"/>
    </xf>
    <xf numFmtId="0" fontId="74" fillId="0" borderId="1" xfId="0" applyFont="1" applyBorder="1" applyAlignment="1">
      <alignment horizontal="left" vertical="center" wrapText="1"/>
    </xf>
    <xf numFmtId="0" fontId="74" fillId="0" borderId="2" xfId="0" applyFont="1" applyBorder="1" applyAlignment="1">
      <alignment horizontal="justify" vertical="center" wrapText="1"/>
    </xf>
    <xf numFmtId="0" fontId="53" fillId="0" borderId="3" xfId="0" applyFont="1" applyBorder="1" applyAlignment="1">
      <alignment vertical="center"/>
    </xf>
    <xf numFmtId="0" fontId="73" fillId="0" borderId="20" xfId="0" applyFont="1" applyBorder="1" applyAlignment="1">
      <alignment vertical="center" wrapText="1"/>
    </xf>
    <xf numFmtId="0" fontId="73" fillId="0" borderId="0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74" fillId="0" borderId="0" xfId="0" applyFont="1" applyAlignment="1">
      <alignment horizontal="left" vertical="center"/>
    </xf>
    <xf numFmtId="0" fontId="73" fillId="0" borderId="3" xfId="0" applyFont="1" applyBorder="1" applyAlignment="1">
      <alignment horizontal="left" vertical="center" wrapText="1"/>
    </xf>
    <xf numFmtId="0" fontId="74" fillId="0" borderId="0" xfId="0" applyFont="1" applyAlignment="1">
      <alignment vertical="center"/>
    </xf>
    <xf numFmtId="0" fontId="138" fillId="0" borderId="63" xfId="0" applyFont="1" applyBorder="1" applyAlignment="1">
      <alignment horizontal="center" vertical="center"/>
    </xf>
    <xf numFmtId="0" fontId="138" fillId="0" borderId="58" xfId="0" applyFont="1" applyBorder="1" applyAlignment="1">
      <alignment horizontal="center" vertical="center"/>
    </xf>
    <xf numFmtId="0" fontId="139" fillId="0" borderId="3" xfId="0" applyFont="1" applyBorder="1" applyAlignment="1">
      <alignment vertical="center"/>
    </xf>
    <xf numFmtId="0" fontId="138" fillId="0" borderId="62" xfId="0" applyFont="1" applyBorder="1" applyAlignment="1">
      <alignment horizontal="center" vertical="center"/>
    </xf>
    <xf numFmtId="0" fontId="138" fillId="0" borderId="61" xfId="0" applyFont="1" applyBorder="1" applyAlignment="1">
      <alignment horizontal="center" vertical="center"/>
    </xf>
  </cellXfs>
  <cellStyles count="1488">
    <cellStyle name="_x000a_386grabber=S" xfId="131"/>
    <cellStyle name="_x000a_386grabber=S 10" xfId="1203"/>
    <cellStyle name="_x000a_386grabber=S 2" xfId="140"/>
    <cellStyle name="_x000a_386grabber=S 2 2" xfId="181"/>
    <cellStyle name="_x000a_386grabber=S 3" xfId="174"/>
    <cellStyle name="_x000a_386grabber=S 4" xfId="320"/>
    <cellStyle name="_x000a_386grabber=S 5" xfId="358"/>
    <cellStyle name="_x000a_386grabber=S 6" xfId="332"/>
    <cellStyle name="_x000a_386grabber=S 7" xfId="780"/>
    <cellStyle name="_x000a_386grabber=S 8" xfId="786"/>
    <cellStyle name="_x000a_386grabber=S 9" xfId="1205"/>
    <cellStyle name="=D:\WINNT\SYSTEM32\COMMAND.COM" xfId="132"/>
    <cellStyle name="=D:\WINNT\SYSTEM32\COMMAND.COM 10" xfId="1210"/>
    <cellStyle name="=D:\WINNT\SYSTEM32\COMMAND.COM 2" xfId="139"/>
    <cellStyle name="=D:\WINNT\SYSTEM32\COMMAND.COM 2 2" xfId="180"/>
    <cellStyle name="=D:\WINNT\SYSTEM32\COMMAND.COM 3" xfId="175"/>
    <cellStyle name="=D:\WINNT\SYSTEM32\COMMAND.COM 4" xfId="321"/>
    <cellStyle name="=D:\WINNT\SYSTEM32\COMMAND.COM 5" xfId="344"/>
    <cellStyle name="=D:\WINNT\SYSTEM32\COMMAND.COM 6" xfId="319"/>
    <cellStyle name="=D:\WINNT\SYSTEM32\COMMAND.COM 7" xfId="781"/>
    <cellStyle name="=D:\WINNT\SYSTEM32\COMMAND.COM 8" xfId="779"/>
    <cellStyle name="=D:\WINNT\SYSTEM32\COMMAND.COM 9" xfId="1206"/>
    <cellStyle name="20 % - zvýraznenie1" xfId="92" builtinId="30" customBuiltin="1"/>
    <cellStyle name="20 % - zvýraznenie1 2" xfId="1292"/>
    <cellStyle name="20 % - zvýraznenie2" xfId="96" builtinId="34" customBuiltin="1"/>
    <cellStyle name="20 % - zvýraznenie2 2" xfId="1296"/>
    <cellStyle name="20 % - zvýraznenie3" xfId="100" builtinId="38" customBuiltin="1"/>
    <cellStyle name="20 % - zvýraznenie3 2" xfId="1300"/>
    <cellStyle name="20 % - zvýraznenie4" xfId="104" builtinId="42" customBuiltin="1"/>
    <cellStyle name="20 % - zvýraznenie4 2" xfId="1304"/>
    <cellStyle name="20 % - zvýraznenie5" xfId="108" builtinId="46" customBuiltin="1"/>
    <cellStyle name="20 % - zvýraznenie5 2" xfId="1308"/>
    <cellStyle name="20 % - zvýraznenie6" xfId="112" builtinId="50" customBuiltin="1"/>
    <cellStyle name="20 % - zvýraznenie6 2" xfId="1312"/>
    <cellStyle name="20% - Accent1" xfId="1406"/>
    <cellStyle name="20% - Accent2" xfId="1370"/>
    <cellStyle name="20% - Accent3" xfId="1355"/>
    <cellStyle name="20% - Accent4" xfId="1393"/>
    <cellStyle name="20% - Accent5" xfId="1379"/>
    <cellStyle name="20% - Accent6" xfId="1480"/>
    <cellStyle name="40 % - zvýraznenie1" xfId="93" builtinId="31" customBuiltin="1"/>
    <cellStyle name="40 % - zvýraznenie1 2" xfId="1293"/>
    <cellStyle name="40 % - zvýraznenie2" xfId="97" builtinId="35" customBuiltin="1"/>
    <cellStyle name="40 % - zvýraznenie2 2" xfId="1297"/>
    <cellStyle name="40 % - zvýraznenie3" xfId="101" builtinId="39" customBuiltin="1"/>
    <cellStyle name="40 % - zvýraznenie3 2" xfId="1301"/>
    <cellStyle name="40 % - zvýraznenie4" xfId="105" builtinId="43" customBuiltin="1"/>
    <cellStyle name="40 % - zvýraznenie4 2" xfId="1305"/>
    <cellStyle name="40 % - zvýraznenie5" xfId="109" builtinId="47" customBuiltin="1"/>
    <cellStyle name="40 % - zvýraznenie5 2" xfId="1309"/>
    <cellStyle name="40 % - zvýraznenie6" xfId="113" builtinId="51" customBuiltin="1"/>
    <cellStyle name="40 % - zvýraznenie6 2" xfId="1313"/>
    <cellStyle name="40% - Accent1" xfId="1359"/>
    <cellStyle name="40% - Accent2" xfId="1375"/>
    <cellStyle name="40% - Accent3" xfId="1363"/>
    <cellStyle name="40% - Accent4" xfId="1369"/>
    <cellStyle name="40% - Accent5" xfId="1339"/>
    <cellStyle name="40% - Accent6" xfId="1373"/>
    <cellStyle name="60 % - zvýraznenie1" xfId="94" builtinId="32" customBuiltin="1"/>
    <cellStyle name="60 % - zvýraznenie1 2" xfId="1294"/>
    <cellStyle name="60 % - zvýraznenie2" xfId="98" builtinId="36" customBuiltin="1"/>
    <cellStyle name="60 % - zvýraznenie2 2" xfId="1298"/>
    <cellStyle name="60 % - zvýraznenie3" xfId="102" builtinId="40" customBuiltin="1"/>
    <cellStyle name="60 % - zvýraznenie3 2" xfId="1302"/>
    <cellStyle name="60 % - zvýraznenie4" xfId="106" builtinId="44" customBuiltin="1"/>
    <cellStyle name="60 % - zvýraznenie4 2" xfId="1306"/>
    <cellStyle name="60 % - zvýraznenie5" xfId="110" builtinId="48" customBuiltin="1"/>
    <cellStyle name="60 % - zvýraznenie5 2" xfId="1310"/>
    <cellStyle name="60 % - zvýraznenie6" xfId="114" builtinId="52" customBuiltin="1"/>
    <cellStyle name="60 % - zvýraznenie6 2" xfId="1314"/>
    <cellStyle name="60% - Accent1" xfId="1403"/>
    <cellStyle name="60% - Accent2" xfId="1383"/>
    <cellStyle name="60% - Accent3" xfId="1340"/>
    <cellStyle name="60% - Accent4" xfId="1479"/>
    <cellStyle name="60% - Accent5" xfId="1338"/>
    <cellStyle name="60% - Accent6" xfId="1402"/>
    <cellStyle name="Accent1" xfId="1377"/>
    <cellStyle name="Accent2" xfId="1396"/>
    <cellStyle name="Accent3" xfId="1356"/>
    <cellStyle name="Accent4" xfId="1354"/>
    <cellStyle name="Accent5" xfId="41"/>
    <cellStyle name="Accent5 2" xfId="1382"/>
    <cellStyle name="Accent6" xfId="42"/>
    <cellStyle name="Accent6 2" xfId="1391"/>
    <cellStyle name="Bad" xfId="1401"/>
    <cellStyle name="Calculation" xfId="1378"/>
    <cellStyle name="Čiarka" xfId="8" builtinId="3"/>
    <cellStyle name="Čiarka 2" xfId="16"/>
    <cellStyle name="Čiarka 2 2" xfId="36"/>
    <cellStyle name="Čiarka 2 2 2" xfId="61"/>
    <cellStyle name="Čiarka 2 3" xfId="128"/>
    <cellStyle name="Čiarka 3" xfId="28"/>
    <cellStyle name="Čiarka 3 2" xfId="29"/>
    <cellStyle name="Čiarka 3 3" xfId="1409"/>
    <cellStyle name="Čiarka 4" xfId="33"/>
    <cellStyle name="Čiarka 5" xfId="63"/>
    <cellStyle name="Čiarka 6" xfId="74"/>
    <cellStyle name="čiarky 2" xfId="150"/>
    <cellStyle name="čiarky 2 10" xfId="1159"/>
    <cellStyle name="čiarky 2 11" xfId="1179"/>
    <cellStyle name="čiarky 2 2" xfId="188"/>
    <cellStyle name="čiarky 2 3" xfId="1113"/>
    <cellStyle name="čiarky 2 4" xfId="1180"/>
    <cellStyle name="čiarky 2 5" xfId="1143"/>
    <cellStyle name="čiarky 2 6" xfId="1169"/>
    <cellStyle name="čiarky 2 7" xfId="1125"/>
    <cellStyle name="čiarky 2 8" xfId="1155"/>
    <cellStyle name="čiarky 2 9" xfId="1135"/>
    <cellStyle name="čiarky 3" xfId="172"/>
    <cellStyle name="čiarky 4" xfId="199"/>
    <cellStyle name="čiarky 5" xfId="238"/>
    <cellStyle name="čiarky 6" xfId="1412"/>
    <cellStyle name="Date" xfId="771"/>
    <cellStyle name="Dobrá" xfId="80" builtinId="26" customBuiltin="1"/>
    <cellStyle name="Dobrá 2" xfId="1280"/>
    <cellStyle name="Excel Built-in Normal" xfId="10"/>
    <cellStyle name="Explanatory Text" xfId="1397"/>
    <cellStyle name="Good" xfId="1342"/>
    <cellStyle name="Heading 1" xfId="1374"/>
    <cellStyle name="Heading 2" xfId="1380"/>
    <cellStyle name="Heading 3" xfId="1372"/>
    <cellStyle name="Heading 4" xfId="1381"/>
    <cellStyle name="Hypertextové prepojenie" xfId="4" builtinId="8"/>
    <cellStyle name="Hypertextové prepojenie 2" xfId="43"/>
    <cellStyle name="Hypertextové prepojenie 2 2" xfId="137"/>
    <cellStyle name="Hypertextové prepojenie 3" xfId="48"/>
    <cellStyle name="Check Cell" xfId="1350"/>
    <cellStyle name="Input" xfId="1361"/>
    <cellStyle name="Kontrolná bunka" xfId="87" builtinId="23" customBuiltin="1"/>
    <cellStyle name="Kontrolná bunka 2" xfId="40"/>
    <cellStyle name="Kontrolná bunka 2 2" xfId="1287"/>
    <cellStyle name="Linked Cell" xfId="1365"/>
    <cellStyle name="Nadpis 1" xfId="76" builtinId="16" customBuiltin="1"/>
    <cellStyle name="Nadpis 1 2" xfId="38"/>
    <cellStyle name="Nadpis 1 2 2" xfId="1276"/>
    <cellStyle name="Nadpis 2" xfId="77" builtinId="17" customBuiltin="1"/>
    <cellStyle name="Nadpis 2 2" xfId="1277"/>
    <cellStyle name="Nadpis 3" xfId="78" builtinId="18" customBuiltin="1"/>
    <cellStyle name="Nadpis 3 2" xfId="1278"/>
    <cellStyle name="Nadpis 4" xfId="79" builtinId="19" customBuiltin="1"/>
    <cellStyle name="Nadpis 4 2" xfId="1279"/>
    <cellStyle name="Neutral" xfId="1405"/>
    <cellStyle name="Neutrálna" xfId="82" builtinId="28" customBuiltin="1"/>
    <cellStyle name="Neutrálna 2" xfId="1282"/>
    <cellStyle name="Normal 2" xfId="1"/>
    <cellStyle name="Normal 2 2" xfId="772"/>
    <cellStyle name="Normal 45" xfId="56"/>
    <cellStyle name="Normal 45 2" xfId="71"/>
    <cellStyle name="Normal_TAB2 2" xfId="57"/>
    <cellStyle name="Normálna" xfId="0" builtinId="0"/>
    <cellStyle name="Normálna 11" xfId="3"/>
    <cellStyle name="Normálna 2" xfId="44"/>
    <cellStyle name="Normálna 2 2" xfId="5"/>
    <cellStyle name="Normálna 2 2 2" xfId="118"/>
    <cellStyle name="Normálna 2 3" xfId="1351"/>
    <cellStyle name="Normálna 2 4" xfId="65"/>
    <cellStyle name="Normálna 2 5" xfId="127"/>
    <cellStyle name="Normálna 3" xfId="17"/>
    <cellStyle name="Normálna 3 2" xfId="70"/>
    <cellStyle name="Normálna 3 3" xfId="1333"/>
    <cellStyle name="Normálna 4" xfId="14"/>
    <cellStyle name="Normálna 4 2" xfId="46"/>
    <cellStyle name="Normálna 4 3" xfId="45"/>
    <cellStyle name="Normálna 4 4" xfId="1336"/>
    <cellStyle name="Normálna 5" xfId="1483"/>
    <cellStyle name="Normálna 6" xfId="6"/>
    <cellStyle name="Normálna 6 2" xfId="1487"/>
    <cellStyle name="Normálna 7" xfId="126"/>
    <cellStyle name="Normálne 10" xfId="55"/>
    <cellStyle name="normálne 10 2" xfId="69"/>
    <cellStyle name="normálne 10 2 2" xfId="1389"/>
    <cellStyle name="normálne 10 3" xfId="158"/>
    <cellStyle name="Normálne 11" xfId="66"/>
    <cellStyle name="normálne 11 10" xfId="1154"/>
    <cellStyle name="normálne 11 11" xfId="1141"/>
    <cellStyle name="normálne 11 12" xfId="809"/>
    <cellStyle name="normálne 11 12 2" xfId="1438"/>
    <cellStyle name="normálne 11 13" xfId="1204"/>
    <cellStyle name="normálne 11 13 2" xfId="1464"/>
    <cellStyle name="normálne 11 14" xfId="1221"/>
    <cellStyle name="normálne 11 14 2" xfId="1465"/>
    <cellStyle name="normálne 11 15" xfId="1228"/>
    <cellStyle name="normálne 11 15 2" xfId="1466"/>
    <cellStyle name="normálne 11 16" xfId="1235"/>
    <cellStyle name="normálne 11 16 2" xfId="1467"/>
    <cellStyle name="normálne 11 17" xfId="1242"/>
    <cellStyle name="normálne 11 17 2" xfId="1468"/>
    <cellStyle name="normálne 11 18" xfId="1249"/>
    <cellStyle name="normálne 11 18 2" xfId="1469"/>
    <cellStyle name="normálne 11 19" xfId="1255"/>
    <cellStyle name="normálne 11 19 2" xfId="1470"/>
    <cellStyle name="normálne 11 2" xfId="777"/>
    <cellStyle name="normálne 11 2 2" xfId="808"/>
    <cellStyle name="normálne 11 2 3" xfId="1045"/>
    <cellStyle name="normálne 11 2 4" xfId="1434"/>
    <cellStyle name="normálne 11 20" xfId="1261"/>
    <cellStyle name="normálne 11 20 2" xfId="1471"/>
    <cellStyle name="normálne 11 21" xfId="1267"/>
    <cellStyle name="normálne 11 21 2" xfId="1472"/>
    <cellStyle name="normálne 11 22" xfId="1273"/>
    <cellStyle name="normálne 11 22 2" xfId="1473"/>
    <cellStyle name="normálne 11 23" xfId="1345"/>
    <cellStyle name="normálne 11 24" xfId="171"/>
    <cellStyle name="normálne 11 3" xfId="1119"/>
    <cellStyle name="normálne 11 4" xfId="1126"/>
    <cellStyle name="normálne 11 5" xfId="1168"/>
    <cellStyle name="normálne 11 6" xfId="1149"/>
    <cellStyle name="normálne 11 7" xfId="1174"/>
    <cellStyle name="normálne 11 8" xfId="1111"/>
    <cellStyle name="normálne 11 9" xfId="1164"/>
    <cellStyle name="Normálne 12" xfId="73"/>
    <cellStyle name="normálne 12 2" xfId="1386"/>
    <cellStyle name="normálne 12 3" xfId="198"/>
    <cellStyle name="Normálne 13" xfId="115"/>
    <cellStyle name="normálne 13 2" xfId="274"/>
    <cellStyle name="normálne 13 2 2" xfId="453"/>
    <cellStyle name="normálne 13 2 3" xfId="590"/>
    <cellStyle name="normálne 13 2 4" xfId="730"/>
    <cellStyle name="normálne 13 2 5" xfId="896"/>
    <cellStyle name="normálne 13 2 6" xfId="999"/>
    <cellStyle name="normálne 13 3" xfId="378"/>
    <cellStyle name="normálne 13 4" xfId="517"/>
    <cellStyle name="normálne 13 5" xfId="659"/>
    <cellStyle name="normálne 13 6" xfId="823"/>
    <cellStyle name="normálne 13 7" xfId="1070"/>
    <cellStyle name="normálne 13 8" xfId="1376"/>
    <cellStyle name="normálne 13 9" xfId="197"/>
    <cellStyle name="Normálne 14" xfId="9"/>
    <cellStyle name="Normálne 14 2" xfId="11"/>
    <cellStyle name="Normálne 14 2 2" xfId="19"/>
    <cellStyle name="normálne 14 2 2 2" xfId="488"/>
    <cellStyle name="normálne 14 2 3" xfId="625"/>
    <cellStyle name="normálne 14 2 4" xfId="765"/>
    <cellStyle name="normálne 14 2 5" xfId="931"/>
    <cellStyle name="normálne 14 2 6" xfId="1049"/>
    <cellStyle name="normálne 14 2 7" xfId="309"/>
    <cellStyle name="Normálne 14 3" xfId="18"/>
    <cellStyle name="normálne 14 3 2" xfId="415"/>
    <cellStyle name="Normálne 14 4" xfId="119"/>
    <cellStyle name="normálne 14 4 2" xfId="553"/>
    <cellStyle name="Normálne 14 5" xfId="123"/>
    <cellStyle name="normálne 14 5 2" xfId="694"/>
    <cellStyle name="normálne 14 6" xfId="859"/>
    <cellStyle name="normálne 14 7" xfId="977"/>
    <cellStyle name="normálne 14 8" xfId="1366"/>
    <cellStyle name="normálne 14 9" xfId="235"/>
    <cellStyle name="Normálne 15" xfId="117"/>
    <cellStyle name="normálne 15 2" xfId="1343"/>
    <cellStyle name="normálne 15 3" xfId="237"/>
    <cellStyle name="Normálne 16" xfId="122"/>
    <cellStyle name="normálne 16 2" xfId="416"/>
    <cellStyle name="normálne 16 3" xfId="554"/>
    <cellStyle name="normálne 16 4" xfId="695"/>
    <cellStyle name="normálne 16 5" xfId="860"/>
    <cellStyle name="normálne 16 6" xfId="1099"/>
    <cellStyle name="normálne 16 7" xfId="1360"/>
    <cellStyle name="normálne 16 8" xfId="236"/>
    <cellStyle name="Normálne 17" xfId="124"/>
    <cellStyle name="normálne 17 2" xfId="489"/>
    <cellStyle name="normálne 17 3" xfId="626"/>
    <cellStyle name="normálne 17 4" xfId="766"/>
    <cellStyle name="normálne 17 5" xfId="932"/>
    <cellStyle name="normálne 17 6" xfId="1055"/>
    <cellStyle name="normálne 17 7" xfId="1367"/>
    <cellStyle name="normálne 17 8" xfId="310"/>
    <cellStyle name="normálne 18" xfId="311"/>
    <cellStyle name="normálne 18 2" xfId="1407"/>
    <cellStyle name="normálne 19" xfId="314"/>
    <cellStyle name="normálne 19 2" xfId="492"/>
    <cellStyle name="normálne 19 2 2" xfId="1425"/>
    <cellStyle name="normálne 19 3" xfId="629"/>
    <cellStyle name="normálne 19 3 2" xfId="1430"/>
    <cellStyle name="normálne 19 4" xfId="768"/>
    <cellStyle name="normálne 19 4 2" xfId="1432"/>
    <cellStyle name="normálne 19 5" xfId="935"/>
    <cellStyle name="normálne 19 5 2" xfId="1439"/>
    <cellStyle name="normálne 19 6" xfId="1032"/>
    <cellStyle name="normálne 19 6 2" xfId="1457"/>
    <cellStyle name="normálne 19 7" xfId="1416"/>
    <cellStyle name="normálne 19 8" xfId="1358"/>
    <cellStyle name="Normálne 2" xfId="2"/>
    <cellStyle name="normálne 2 10" xfId="1102"/>
    <cellStyle name="normálne 2 11" xfId="1112"/>
    <cellStyle name="normálne 2 12" xfId="1150"/>
    <cellStyle name="normálne 2 13" xfId="1162"/>
    <cellStyle name="normálne 2 14" xfId="1117"/>
    <cellStyle name="normálne 2 15" xfId="1152"/>
    <cellStyle name="normálne 2 16" xfId="1140"/>
    <cellStyle name="normálne 2 17" xfId="1103"/>
    <cellStyle name="normálne 2 18" xfId="1194"/>
    <cellStyle name="normálne 2 19" xfId="1207"/>
    <cellStyle name="Normálne 2 2" xfId="20"/>
    <cellStyle name="normálne 2 2 10" xfId="1175"/>
    <cellStyle name="normálne 2 2 11" xfId="1173"/>
    <cellStyle name="normálne 2 2 12" xfId="1161"/>
    <cellStyle name="normálne 2 2 13" xfId="1153"/>
    <cellStyle name="normálne 2 2 14" xfId="1130"/>
    <cellStyle name="normálne 2 2 15" xfId="941"/>
    <cellStyle name="normálne 2 2 16" xfId="138"/>
    <cellStyle name="normálne 2 2 2" xfId="178"/>
    <cellStyle name="normálne 2 2 3" xfId="325"/>
    <cellStyle name="normálne 2 2 4" xfId="373"/>
    <cellStyle name="normálne 2 2 5" xfId="501"/>
    <cellStyle name="normálne 2 2 6" xfId="785"/>
    <cellStyle name="normálne 2 2 6 2" xfId="1105"/>
    <cellStyle name="normálne 2 2 6 3" xfId="1197"/>
    <cellStyle name="normálne 2 2 7" xfId="1104"/>
    <cellStyle name="normálne 2 2 8" xfId="1115"/>
    <cellStyle name="normálne 2 2 9" xfId="1170"/>
    <cellStyle name="normálne 2 20" xfId="1213"/>
    <cellStyle name="normálne 2 21" xfId="1357"/>
    <cellStyle name="normálne 2 22" xfId="136"/>
    <cellStyle name="Normálne 2 3" xfId="34"/>
    <cellStyle name="normálne 2 3 2" xfId="144"/>
    <cellStyle name="Normálne 2 4" xfId="51"/>
    <cellStyle name="normálne 2 4 10" xfId="975"/>
    <cellStyle name="normálne 2 4 11" xfId="153"/>
    <cellStyle name="normálne 2 4 2" xfId="167"/>
    <cellStyle name="normálne 2 4 2 2" xfId="219"/>
    <cellStyle name="normálne 2 4 2 2 2" xfId="293"/>
    <cellStyle name="normálne 2 4 2 2 2 2" xfId="472"/>
    <cellStyle name="normálne 2 4 2 2 2 3" xfId="609"/>
    <cellStyle name="normálne 2 4 2 2 2 4" xfId="749"/>
    <cellStyle name="normálne 2 4 2 2 2 5" xfId="915"/>
    <cellStyle name="normálne 2 4 2 2 2 6" xfId="1063"/>
    <cellStyle name="normálne 2 4 2 2 3" xfId="399"/>
    <cellStyle name="normálne 2 4 2 2 4" xfId="537"/>
    <cellStyle name="normálne 2 4 2 2 5" xfId="678"/>
    <cellStyle name="normálne 2 4 2 2 6" xfId="843"/>
    <cellStyle name="normálne 2 4 2 2 7" xfId="1028"/>
    <cellStyle name="normálne 2 4 2 3" xfId="258"/>
    <cellStyle name="normálne 2 4 2 3 2" xfId="437"/>
    <cellStyle name="normálne 2 4 2 3 3" xfId="574"/>
    <cellStyle name="normálne 2 4 2 3 4" xfId="714"/>
    <cellStyle name="normálne 2 4 2 3 5" xfId="880"/>
    <cellStyle name="normálne 2 4 2 3 6" xfId="1013"/>
    <cellStyle name="normálne 2 4 2 4" xfId="352"/>
    <cellStyle name="normálne 2 4 2 5" xfId="497"/>
    <cellStyle name="normálne 2 4 2 6" xfId="643"/>
    <cellStyle name="normálne 2 4 2 7" xfId="804"/>
    <cellStyle name="normálne 2 4 2 8" xfId="1067"/>
    <cellStyle name="normálne 2 4 3" xfId="191"/>
    <cellStyle name="normálne 2 4 3 2" xfId="230"/>
    <cellStyle name="normálne 2 4 3 2 2" xfId="304"/>
    <cellStyle name="normálne 2 4 3 2 2 2" xfId="483"/>
    <cellStyle name="normálne 2 4 3 2 2 3" xfId="620"/>
    <cellStyle name="normálne 2 4 3 2 2 4" xfId="760"/>
    <cellStyle name="normálne 2 4 3 2 2 5" xfId="926"/>
    <cellStyle name="normálne 2 4 3 2 2 6" xfId="990"/>
    <cellStyle name="normálne 2 4 3 2 3" xfId="410"/>
    <cellStyle name="normálne 2 4 3 2 4" xfId="548"/>
    <cellStyle name="normálne 2 4 3 2 5" xfId="689"/>
    <cellStyle name="normálne 2 4 3 2 6" xfId="854"/>
    <cellStyle name="normálne 2 4 3 2 7" xfId="1085"/>
    <cellStyle name="normálne 2 4 3 3" xfId="269"/>
    <cellStyle name="normálne 2 4 3 3 2" xfId="448"/>
    <cellStyle name="normálne 2 4 3 3 3" xfId="585"/>
    <cellStyle name="normálne 2 4 3 3 4" xfId="725"/>
    <cellStyle name="normálne 2 4 3 3 5" xfId="891"/>
    <cellStyle name="normálne 2 4 3 3 6" xfId="1069"/>
    <cellStyle name="normálne 2 4 3 4" xfId="372"/>
    <cellStyle name="normálne 2 4 3 5" xfId="512"/>
    <cellStyle name="normálne 2 4 3 6" xfId="654"/>
    <cellStyle name="normálne 2 4 3 7" xfId="818"/>
    <cellStyle name="normálne 2 4 3 8" xfId="1057"/>
    <cellStyle name="normálne 2 4 4" xfId="208"/>
    <cellStyle name="normálne 2 4 4 2" xfId="282"/>
    <cellStyle name="normálne 2 4 4 2 2" xfId="461"/>
    <cellStyle name="normálne 2 4 4 2 3" xfId="598"/>
    <cellStyle name="normálne 2 4 4 2 4" xfId="738"/>
    <cellStyle name="normálne 2 4 4 2 5" xfId="904"/>
    <cellStyle name="normálne 2 4 4 2 6" xfId="1016"/>
    <cellStyle name="normálne 2 4 4 3" xfId="388"/>
    <cellStyle name="normálne 2 4 4 4" xfId="526"/>
    <cellStyle name="normálne 2 4 4 5" xfId="667"/>
    <cellStyle name="normálne 2 4 4 6" xfId="832"/>
    <cellStyle name="normálne 2 4 4 7" xfId="984"/>
    <cellStyle name="normálne 2 4 5" xfId="247"/>
    <cellStyle name="normálne 2 4 5 2" xfId="426"/>
    <cellStyle name="normálne 2 4 5 3" xfId="563"/>
    <cellStyle name="normálne 2 4 5 4" xfId="703"/>
    <cellStyle name="normálne 2 4 5 5" xfId="869"/>
    <cellStyle name="normálne 2 4 5 6" xfId="973"/>
    <cellStyle name="normálne 2 4 6" xfId="339"/>
    <cellStyle name="normálne 2 4 7" xfId="318"/>
    <cellStyle name="normálne 2 4 8" xfId="632"/>
    <cellStyle name="normálne 2 4 9" xfId="795"/>
    <cellStyle name="normálne 2 5" xfId="147"/>
    <cellStyle name="normálne 2 5 2" xfId="335"/>
    <cellStyle name="normálne 2 5 2 2" xfId="942"/>
    <cellStyle name="normálne 2 5 2 2 2" xfId="1442"/>
    <cellStyle name="normálne 2 5 2 3" xfId="1007"/>
    <cellStyle name="normálne 2 5 2 3 2" xfId="1454"/>
    <cellStyle name="normálne 2 5 2 4" xfId="1420"/>
    <cellStyle name="normálne 2 5 3" xfId="417"/>
    <cellStyle name="normálne 2 5 3 2" xfId="978"/>
    <cellStyle name="normálne 2 5 3 2 2" xfId="1450"/>
    <cellStyle name="normálne 2 5 3 3" xfId="1095"/>
    <cellStyle name="normálne 2 5 3 3 2" xfId="1462"/>
    <cellStyle name="normálne 2 5 3 4" xfId="1424"/>
    <cellStyle name="normálne 2 5 4" xfId="503"/>
    <cellStyle name="normálne 2 5 4 2" xfId="1006"/>
    <cellStyle name="normálne 2 5 4 2 2" xfId="1453"/>
    <cellStyle name="normálne 2 5 4 3" xfId="1090"/>
    <cellStyle name="normálne 2 5 4 3 2" xfId="1461"/>
    <cellStyle name="normálne 2 5 4 4" xfId="1427"/>
    <cellStyle name="normálne 2 5 5" xfId="792"/>
    <cellStyle name="normálne 2 5 5 2" xfId="1436"/>
    <cellStyle name="normálne 2 5 6" xfId="958"/>
    <cellStyle name="normálne 2 5 6 2" xfId="1446"/>
    <cellStyle name="normálne 2 5 7" xfId="1414"/>
    <cellStyle name="normálne 2 6" xfId="161"/>
    <cellStyle name="normálne 2 6 2" xfId="196"/>
    <cellStyle name="normálne 2 6 2 2" xfId="234"/>
    <cellStyle name="normálne 2 6 2 2 2" xfId="308"/>
    <cellStyle name="normálne 2 6 2 2 2 2" xfId="487"/>
    <cellStyle name="normálne 2 6 2 2 2 3" xfId="624"/>
    <cellStyle name="normálne 2 6 2 2 2 4" xfId="764"/>
    <cellStyle name="normálne 2 6 2 2 2 5" xfId="930"/>
    <cellStyle name="normálne 2 6 2 2 2 6" xfId="1098"/>
    <cellStyle name="normálne 2 6 2 2 3" xfId="414"/>
    <cellStyle name="normálne 2 6 2 2 4" xfId="552"/>
    <cellStyle name="normálne 2 6 2 2 5" xfId="693"/>
    <cellStyle name="normálne 2 6 2 2 6" xfId="858"/>
    <cellStyle name="normálne 2 6 2 2 7" xfId="1023"/>
    <cellStyle name="normálne 2 6 2 3" xfId="273"/>
    <cellStyle name="normálne 2 6 2 3 2" xfId="452"/>
    <cellStyle name="normálne 2 6 2 3 3" xfId="589"/>
    <cellStyle name="normálne 2 6 2 3 4" xfId="729"/>
    <cellStyle name="normálne 2 6 2 3 5" xfId="895"/>
    <cellStyle name="normálne 2 6 2 3 6" xfId="1047"/>
    <cellStyle name="normálne 2 6 2 4" xfId="377"/>
    <cellStyle name="normálne 2 6 2 5" xfId="516"/>
    <cellStyle name="normálne 2 6 2 6" xfId="658"/>
    <cellStyle name="normálne 2 6 2 7" xfId="822"/>
    <cellStyle name="normálne 2 6 2 8" xfId="989"/>
    <cellStyle name="normálne 2 6 3" xfId="213"/>
    <cellStyle name="normálne 2 6 3 2" xfId="287"/>
    <cellStyle name="normálne 2 6 3 2 2" xfId="466"/>
    <cellStyle name="normálne 2 6 3 2 3" xfId="603"/>
    <cellStyle name="normálne 2 6 3 2 4" xfId="743"/>
    <cellStyle name="normálne 2 6 3 2 5" xfId="909"/>
    <cellStyle name="normálne 2 6 3 2 6" xfId="1050"/>
    <cellStyle name="normálne 2 6 3 3" xfId="393"/>
    <cellStyle name="normálne 2 6 3 4" xfId="531"/>
    <cellStyle name="normálne 2 6 3 5" xfId="672"/>
    <cellStyle name="normálne 2 6 3 6" xfId="837"/>
    <cellStyle name="normálne 2 6 3 7" xfId="1044"/>
    <cellStyle name="normálne 2 6 4" xfId="252"/>
    <cellStyle name="normálne 2 6 4 2" xfId="431"/>
    <cellStyle name="normálne 2 6 4 3" xfId="568"/>
    <cellStyle name="normálne 2 6 4 4" xfId="708"/>
    <cellStyle name="normálne 2 6 4 5" xfId="874"/>
    <cellStyle name="normálne 2 6 4 6" xfId="940"/>
    <cellStyle name="normálne 2 6 5" xfId="346"/>
    <cellStyle name="normálne 2 6 6" xfId="327"/>
    <cellStyle name="normálne 2 6 7" xfId="637"/>
    <cellStyle name="normálne 2 6 8" xfId="799"/>
    <cellStyle name="normálne 2 6 9" xfId="1002"/>
    <cellStyle name="normálne 2 7" xfId="177"/>
    <cellStyle name="normálne 2 7 2" xfId="224"/>
    <cellStyle name="normálne 2 7 2 2" xfId="298"/>
    <cellStyle name="normálne 2 7 2 2 2" xfId="477"/>
    <cellStyle name="normálne 2 7 2 2 3" xfId="614"/>
    <cellStyle name="normálne 2 7 2 2 4" xfId="754"/>
    <cellStyle name="normálne 2 7 2 2 5" xfId="920"/>
    <cellStyle name="normálne 2 7 2 2 6" xfId="994"/>
    <cellStyle name="normálne 2 7 2 3" xfId="404"/>
    <cellStyle name="normálne 2 7 2 4" xfId="542"/>
    <cellStyle name="normálne 2 7 2 5" xfId="683"/>
    <cellStyle name="normálne 2 7 2 6" xfId="848"/>
    <cellStyle name="normálne 2 7 2 7" xfId="1089"/>
    <cellStyle name="normálne 2 7 3" xfId="263"/>
    <cellStyle name="normálne 2 7 3 2" xfId="442"/>
    <cellStyle name="normálne 2 7 3 3" xfId="579"/>
    <cellStyle name="normálne 2 7 3 4" xfId="719"/>
    <cellStyle name="normálne 2 7 3 5" xfId="885"/>
    <cellStyle name="normálne 2 7 3 6" xfId="1056"/>
    <cellStyle name="normálne 2 7 4" xfId="361"/>
    <cellStyle name="normálne 2 7 5" xfId="505"/>
    <cellStyle name="normálne 2 7 6" xfId="648"/>
    <cellStyle name="normálne 2 7 7" xfId="811"/>
    <cellStyle name="normálne 2 7 8" xfId="947"/>
    <cellStyle name="normálne 2 8" xfId="202"/>
    <cellStyle name="normálne 2 8 2" xfId="276"/>
    <cellStyle name="normálne 2 8 2 2" xfId="455"/>
    <cellStyle name="normálne 2 8 2 3" xfId="592"/>
    <cellStyle name="normálne 2 8 2 4" xfId="732"/>
    <cellStyle name="normálne 2 8 2 5" xfId="898"/>
    <cellStyle name="normálne 2 8 2 6" xfId="955"/>
    <cellStyle name="normálne 2 8 3" xfId="382"/>
    <cellStyle name="normálne 2 8 4" xfId="520"/>
    <cellStyle name="normálne 2 8 5" xfId="661"/>
    <cellStyle name="normálne 2 8 6" xfId="826"/>
    <cellStyle name="normálne 2 8 7" xfId="1000"/>
    <cellStyle name="normálne 2 9" xfId="241"/>
    <cellStyle name="normálne 2 9 2" xfId="420"/>
    <cellStyle name="normálne 2 9 3" xfId="557"/>
    <cellStyle name="normálne 2 9 4" xfId="697"/>
    <cellStyle name="normálne 2 9 5" xfId="863"/>
    <cellStyle name="normálne 2 9 6" xfId="952"/>
    <cellStyle name="normálne 20" xfId="316"/>
    <cellStyle name="normálne 20 2" xfId="1418"/>
    <cellStyle name="normálne 20 3" xfId="1368"/>
    <cellStyle name="normálne 21" xfId="317"/>
    <cellStyle name="normálne 21 2" xfId="1347"/>
    <cellStyle name="normálne 22" xfId="324"/>
    <cellStyle name="normálne 22 2" xfId="1392"/>
    <cellStyle name="normálne 23" xfId="356"/>
    <cellStyle name="normálne 23 2" xfId="1349"/>
    <cellStyle name="normálne 24" xfId="770"/>
    <cellStyle name="normálne 24 2" xfId="816"/>
    <cellStyle name="normálne 24 3" xfId="1039"/>
    <cellStyle name="normálne 24 4" xfId="1348"/>
    <cellStyle name="normálne 25" xfId="1101"/>
    <cellStyle name="normálne 25 2" xfId="1362"/>
    <cellStyle name="normálne 26" xfId="1139"/>
    <cellStyle name="normálne 26 2" xfId="1394"/>
    <cellStyle name="normálne 27" xfId="1118"/>
    <cellStyle name="normálne 27 2" xfId="1341"/>
    <cellStyle name="normálne 28" xfId="1132"/>
    <cellStyle name="normálne 29" xfId="1136"/>
    <cellStyle name="Normálne 3" xfId="13"/>
    <cellStyle name="normálne 3 10" xfId="518"/>
    <cellStyle name="normálne 3 11" xfId="773"/>
    <cellStyle name="normálne 3 11 2" xfId="1107"/>
    <cellStyle name="normálne 3 11 3" xfId="1199"/>
    <cellStyle name="normálne 3 12" xfId="1128"/>
    <cellStyle name="normálne 3 13" xfId="1172"/>
    <cellStyle name="normálne 3 14" xfId="1187"/>
    <cellStyle name="normálne 3 15" xfId="1122"/>
    <cellStyle name="normálne 3 16" xfId="1163"/>
    <cellStyle name="normálne 3 17" xfId="1184"/>
    <cellStyle name="normálne 3 18" xfId="1127"/>
    <cellStyle name="normálne 3 19" xfId="1129"/>
    <cellStyle name="Normálne 3 2" xfId="26"/>
    <cellStyle name="normálne 3 2 10" xfId="967"/>
    <cellStyle name="normálne 3 2 11" xfId="155"/>
    <cellStyle name="normálne 3 2 2" xfId="168"/>
    <cellStyle name="normálne 3 2 2 2" xfId="220"/>
    <cellStyle name="normálne 3 2 2 2 2" xfId="294"/>
    <cellStyle name="normálne 3 2 2 2 2 2" xfId="473"/>
    <cellStyle name="normálne 3 2 2 2 2 3" xfId="610"/>
    <cellStyle name="normálne 3 2 2 2 2 4" xfId="750"/>
    <cellStyle name="normálne 3 2 2 2 2 5" xfId="916"/>
    <cellStyle name="normálne 3 2 2 2 2 6" xfId="1014"/>
    <cellStyle name="normálne 3 2 2 2 3" xfId="400"/>
    <cellStyle name="normálne 3 2 2 2 4" xfId="538"/>
    <cellStyle name="normálne 3 2 2 2 5" xfId="679"/>
    <cellStyle name="normálne 3 2 2 2 6" xfId="844"/>
    <cellStyle name="normálne 3 2 2 2 7" xfId="982"/>
    <cellStyle name="normálne 3 2 2 3" xfId="259"/>
    <cellStyle name="normálne 3 2 2 3 2" xfId="438"/>
    <cellStyle name="normálne 3 2 2 3 3" xfId="575"/>
    <cellStyle name="normálne 3 2 2 3 4" xfId="715"/>
    <cellStyle name="normálne 3 2 2 3 5" xfId="881"/>
    <cellStyle name="normálne 3 2 2 3 6" xfId="965"/>
    <cellStyle name="normálne 3 2 2 4" xfId="353"/>
    <cellStyle name="normálne 3 2 2 5" xfId="498"/>
    <cellStyle name="normálne 3 2 2 6" xfId="644"/>
    <cellStyle name="normálne 3 2 2 7" xfId="805"/>
    <cellStyle name="normálne 3 2 2 8" xfId="1018"/>
    <cellStyle name="normálne 3 2 3" xfId="193"/>
    <cellStyle name="normálne 3 2 3 2" xfId="231"/>
    <cellStyle name="normálne 3 2 3 2 2" xfId="305"/>
    <cellStyle name="normálne 3 2 3 2 2 2" xfId="484"/>
    <cellStyle name="normálne 3 2 3 2 2 3" xfId="621"/>
    <cellStyle name="normálne 3 2 3 2 2 4" xfId="761"/>
    <cellStyle name="normálne 3 2 3 2 2 5" xfId="927"/>
    <cellStyle name="normálne 3 2 3 2 2 6" xfId="1071"/>
    <cellStyle name="normálne 3 2 3 2 3" xfId="411"/>
    <cellStyle name="normálne 3 2 3 2 4" xfId="549"/>
    <cellStyle name="normálne 3 2 3 2 5" xfId="690"/>
    <cellStyle name="normálne 3 2 3 2 6" xfId="855"/>
    <cellStyle name="normálne 3 2 3 2 7" xfId="1037"/>
    <cellStyle name="normálne 3 2 3 3" xfId="270"/>
    <cellStyle name="normálne 3 2 3 3 2" xfId="449"/>
    <cellStyle name="normálne 3 2 3 3 3" xfId="586"/>
    <cellStyle name="normálne 3 2 3 3 4" xfId="726"/>
    <cellStyle name="normálne 3 2 3 3 5" xfId="892"/>
    <cellStyle name="normálne 3 2 3 3 6" xfId="1020"/>
    <cellStyle name="normálne 3 2 3 4" xfId="374"/>
    <cellStyle name="normálne 3 2 3 5" xfId="513"/>
    <cellStyle name="normálne 3 2 3 6" xfId="655"/>
    <cellStyle name="normálne 3 2 3 7" xfId="819"/>
    <cellStyle name="normálne 3 2 3 8" xfId="957"/>
    <cellStyle name="normálne 3 2 4" xfId="209"/>
    <cellStyle name="normálne 3 2 4 2" xfId="283"/>
    <cellStyle name="normálne 3 2 4 2 2" xfId="462"/>
    <cellStyle name="normálne 3 2 4 2 3" xfId="599"/>
    <cellStyle name="normálne 3 2 4 2 4" xfId="739"/>
    <cellStyle name="normálne 3 2 4 2 5" xfId="905"/>
    <cellStyle name="normálne 3 2 4 2 6" xfId="970"/>
    <cellStyle name="normálne 3 2 4 3" xfId="389"/>
    <cellStyle name="normálne 3 2 4 4" xfId="527"/>
    <cellStyle name="normálne 3 2 4 5" xfId="668"/>
    <cellStyle name="normálne 3 2 4 6" xfId="833"/>
    <cellStyle name="normálne 3 2 4 7" xfId="1066"/>
    <cellStyle name="normálne 3 2 5" xfId="248"/>
    <cellStyle name="normálne 3 2 5 2" xfId="427"/>
    <cellStyle name="normálne 3 2 5 3" xfId="564"/>
    <cellStyle name="normálne 3 2 5 4" xfId="704"/>
    <cellStyle name="normálne 3 2 5 5" xfId="870"/>
    <cellStyle name="normálne 3 2 5 6" xfId="1094"/>
    <cellStyle name="normálne 3 2 6" xfId="340"/>
    <cellStyle name="normálne 3 2 7" xfId="418"/>
    <cellStyle name="normálne 3 2 8" xfId="633"/>
    <cellStyle name="normálne 3 2 9" xfId="787"/>
    <cellStyle name="normálne 3 20" xfId="1001"/>
    <cellStyle name="normálne 3 21" xfId="1208"/>
    <cellStyle name="normálne 3 22" xfId="1217"/>
    <cellStyle name="normálne 3 23" xfId="1224"/>
    <cellStyle name="normálne 3 24" xfId="1231"/>
    <cellStyle name="normálne 3 25" xfId="1238"/>
    <cellStyle name="normálne 3 26" xfId="1245"/>
    <cellStyle name="normálne 3 27" xfId="1251"/>
    <cellStyle name="normálne 3 28" xfId="1257"/>
    <cellStyle name="normálne 3 29" xfId="1263"/>
    <cellStyle name="Normálne 3 3" xfId="35"/>
    <cellStyle name="Normálne 3 3 2" xfId="60"/>
    <cellStyle name="normálne 3 3 2 2" xfId="288"/>
    <cellStyle name="normálne 3 3 2 2 2" xfId="467"/>
    <cellStyle name="normálne 3 3 2 2 3" xfId="604"/>
    <cellStyle name="normálne 3 3 2 2 4" xfId="744"/>
    <cellStyle name="normálne 3 3 2 2 5" xfId="910"/>
    <cellStyle name="normálne 3 3 2 2 6" xfId="964"/>
    <cellStyle name="normálne 3 3 2 3" xfId="394"/>
    <cellStyle name="normálne 3 3 2 4" xfId="532"/>
    <cellStyle name="normálne 3 3 2 5" xfId="673"/>
    <cellStyle name="normálne 3 3 2 6" xfId="838"/>
    <cellStyle name="normálne 3 3 2 7" xfId="997"/>
    <cellStyle name="normálne 3 3 2 8" xfId="214"/>
    <cellStyle name="normálne 3 3 3" xfId="253"/>
    <cellStyle name="normálne 3 3 3 2" xfId="432"/>
    <cellStyle name="normálne 3 3 3 3" xfId="569"/>
    <cellStyle name="normálne 3 3 3 4" xfId="709"/>
    <cellStyle name="normálne 3 3 3 5" xfId="875"/>
    <cellStyle name="normálne 3 3 3 6" xfId="939"/>
    <cellStyle name="normálne 3 3 4" xfId="347"/>
    <cellStyle name="normálne 3 3 5" xfId="359"/>
    <cellStyle name="normálne 3 3 6" xfId="638"/>
    <cellStyle name="normálne 3 3 7" xfId="800"/>
    <cellStyle name="normálne 3 3 8" xfId="950"/>
    <cellStyle name="normálne 3 3 9" xfId="162"/>
    <cellStyle name="normálne 3 30" xfId="1269"/>
    <cellStyle name="normálne 3 31" xfId="141"/>
    <cellStyle name="Normálne 3 4" xfId="53"/>
    <cellStyle name="normálne 3 4 2" xfId="225"/>
    <cellStyle name="normálne 3 4 2 2" xfId="299"/>
    <cellStyle name="normálne 3 4 2 2 2" xfId="478"/>
    <cellStyle name="normálne 3 4 2 2 3" xfId="615"/>
    <cellStyle name="normálne 3 4 2 2 4" xfId="755"/>
    <cellStyle name="normálne 3 4 2 2 5" xfId="921"/>
    <cellStyle name="normálne 3 4 2 2 6" xfId="1058"/>
    <cellStyle name="normálne 3 4 2 3" xfId="405"/>
    <cellStyle name="normálne 3 4 2 4" xfId="543"/>
    <cellStyle name="normálne 3 4 2 5" xfId="684"/>
    <cellStyle name="normálne 3 4 2 6" xfId="849"/>
    <cellStyle name="normálne 3 4 2 7" xfId="1042"/>
    <cellStyle name="normálne 3 4 3" xfId="264"/>
    <cellStyle name="normálne 3 4 3 2" xfId="443"/>
    <cellStyle name="normálne 3 4 3 3" xfId="580"/>
    <cellStyle name="normálne 3 4 3 4" xfId="720"/>
    <cellStyle name="normálne 3 4 3 5" xfId="886"/>
    <cellStyle name="normálne 3 4 3 6" xfId="1009"/>
    <cellStyle name="normálne 3 4 4" xfId="364"/>
    <cellStyle name="normálne 3 4 5" xfId="507"/>
    <cellStyle name="normálne 3 4 6" xfId="649"/>
    <cellStyle name="normálne 3 4 7" xfId="812"/>
    <cellStyle name="normálne 3 4 8" xfId="1026"/>
    <cellStyle name="normálne 3 4 9" xfId="182"/>
    <cellStyle name="normálne 3 5" xfId="203"/>
    <cellStyle name="normálne 3 5 2" xfId="277"/>
    <cellStyle name="normálne 3 5 2 2" xfId="456"/>
    <cellStyle name="normálne 3 5 2 3" xfId="593"/>
    <cellStyle name="normálne 3 5 2 4" xfId="733"/>
    <cellStyle name="normálne 3 5 2 5" xfId="899"/>
    <cellStyle name="normálne 3 5 2 6" xfId="948"/>
    <cellStyle name="normálne 3 5 3" xfId="383"/>
    <cellStyle name="normálne 3 5 4" xfId="521"/>
    <cellStyle name="normálne 3 5 5" xfId="662"/>
    <cellStyle name="normálne 3 5 6" xfId="827"/>
    <cellStyle name="normálne 3 5 7" xfId="1053"/>
    <cellStyle name="normálne 3 6" xfId="242"/>
    <cellStyle name="normálne 3 6 2" xfId="421"/>
    <cellStyle name="normálne 3 6 3" xfId="558"/>
    <cellStyle name="normálne 3 6 4" xfId="698"/>
    <cellStyle name="normálne 3 6 5" xfId="864"/>
    <cellStyle name="normálne 3 6 6" xfId="1079"/>
    <cellStyle name="normálne 3 7" xfId="312"/>
    <cellStyle name="normálne 3 7 2" xfId="491"/>
    <cellStyle name="normálne 3 7 3" xfId="628"/>
    <cellStyle name="normálne 3 7 4" xfId="767"/>
    <cellStyle name="normálne 3 7 5" xfId="933"/>
    <cellStyle name="normálne 3 7 6" xfId="951"/>
    <cellStyle name="normálne 3 8" xfId="329"/>
    <cellStyle name="normálne 3 9" xfId="367"/>
    <cellStyle name="normálne 30" xfId="1196"/>
    <cellStyle name="normálne 31" xfId="1124"/>
    <cellStyle name="normálne 32" xfId="1188"/>
    <cellStyle name="normálne 33" xfId="133"/>
    <cellStyle name="normálne 33 10" xfId="782"/>
    <cellStyle name="normálne 33 11" xfId="796"/>
    <cellStyle name="normálne 33 2" xfId="152"/>
    <cellStyle name="normálne 33 2 10" xfId="1021"/>
    <cellStyle name="normálne 33 2 2" xfId="166"/>
    <cellStyle name="normálne 33 2 2 2" xfId="218"/>
    <cellStyle name="normálne 33 2 2 2 2" xfId="292"/>
    <cellStyle name="normálne 33 2 2 2 2 2" xfId="471"/>
    <cellStyle name="normálne 33 2 2 2 2 3" xfId="608"/>
    <cellStyle name="normálne 33 2 2 2 2 4" xfId="748"/>
    <cellStyle name="normálne 33 2 2 2 2 5" xfId="914"/>
    <cellStyle name="normálne 33 2 2 2 2 6" xfId="981"/>
    <cellStyle name="normálne 33 2 2 2 3" xfId="398"/>
    <cellStyle name="normálne 33 2 2 2 4" xfId="536"/>
    <cellStyle name="normálne 33 2 2 2 5" xfId="677"/>
    <cellStyle name="normálne 33 2 2 2 6" xfId="842"/>
    <cellStyle name="normálne 33 2 2 2 7" xfId="1075"/>
    <cellStyle name="normálne 33 2 2 3" xfId="257"/>
    <cellStyle name="normálne 33 2 2 3 2" xfId="436"/>
    <cellStyle name="normálne 33 2 2 3 3" xfId="573"/>
    <cellStyle name="normálne 33 2 2 3 4" xfId="713"/>
    <cellStyle name="normálne 33 2 2 3 5" xfId="879"/>
    <cellStyle name="normálne 33 2 2 3 6" xfId="1061"/>
    <cellStyle name="normálne 33 2 2 4" xfId="351"/>
    <cellStyle name="normálne 33 2 2 5" xfId="496"/>
    <cellStyle name="normálne 33 2 2 6" xfId="642"/>
    <cellStyle name="normálne 33 2 2 7" xfId="803"/>
    <cellStyle name="normálne 33 2 2 8" xfId="985"/>
    <cellStyle name="normálne 33 2 3" xfId="190"/>
    <cellStyle name="normálne 33 2 3 2" xfId="229"/>
    <cellStyle name="normálne 33 2 3 2 2" xfId="303"/>
    <cellStyle name="normálne 33 2 3 2 2 2" xfId="482"/>
    <cellStyle name="normálne 33 2 3 2 2 3" xfId="619"/>
    <cellStyle name="normálne 33 2 3 2 2 4" xfId="759"/>
    <cellStyle name="normálne 33 2 3 2 2 5" xfId="925"/>
    <cellStyle name="normálne 33 2 3 2 2 6" xfId="1036"/>
    <cellStyle name="normálne 33 2 3 2 3" xfId="409"/>
    <cellStyle name="normálne 33 2 3 2 4" xfId="547"/>
    <cellStyle name="normálne 33 2 3 2 5" xfId="688"/>
    <cellStyle name="normálne 33 2 3 2 6" xfId="853"/>
    <cellStyle name="normálne 33 2 3 2 7" xfId="962"/>
    <cellStyle name="normálne 33 2 3 3" xfId="268"/>
    <cellStyle name="normálne 33 2 3 3 2" xfId="447"/>
    <cellStyle name="normálne 33 2 3 3 3" xfId="584"/>
    <cellStyle name="normálne 33 2 3 3 4" xfId="724"/>
    <cellStyle name="normálne 33 2 3 3 5" xfId="890"/>
    <cellStyle name="normálne 33 2 3 3 6" xfId="988"/>
    <cellStyle name="normálne 33 2 3 4" xfId="371"/>
    <cellStyle name="normálne 33 2 3 5" xfId="511"/>
    <cellStyle name="normálne 33 2 3 6" xfId="653"/>
    <cellStyle name="normálne 33 2 3 7" xfId="817"/>
    <cellStyle name="normálne 33 2 3 8" xfId="993"/>
    <cellStyle name="normálne 33 2 4" xfId="207"/>
    <cellStyle name="normálne 33 2 4 2" xfId="281"/>
    <cellStyle name="normálne 33 2 4 2 2" xfId="460"/>
    <cellStyle name="normálne 33 2 4 2 3" xfId="597"/>
    <cellStyle name="normálne 33 2 4 2 4" xfId="737"/>
    <cellStyle name="normálne 33 2 4 2 5" xfId="903"/>
    <cellStyle name="normálne 33 2 4 2 6" xfId="1065"/>
    <cellStyle name="normálne 33 2 4 3" xfId="387"/>
    <cellStyle name="normálne 33 2 4 4" xfId="525"/>
    <cellStyle name="normálne 33 2 4 5" xfId="666"/>
    <cellStyle name="normálne 33 2 4 6" xfId="831"/>
    <cellStyle name="normálne 33 2 4 7" xfId="1030"/>
    <cellStyle name="normálne 33 2 5" xfId="246"/>
    <cellStyle name="normálne 33 2 5 2" xfId="425"/>
    <cellStyle name="normálne 33 2 5 3" xfId="562"/>
    <cellStyle name="normálne 33 2 5 4" xfId="702"/>
    <cellStyle name="normálne 33 2 5 5" xfId="868"/>
    <cellStyle name="normálne 33 2 5 6" xfId="1019"/>
    <cellStyle name="normálne 33 2 6" xfId="338"/>
    <cellStyle name="normálne 33 2 7" xfId="326"/>
    <cellStyle name="normálne 33 2 8" xfId="631"/>
    <cellStyle name="normálne 33 2 9" xfId="794"/>
    <cellStyle name="normálne 33 3" xfId="160"/>
    <cellStyle name="normálne 33 3 2" xfId="212"/>
    <cellStyle name="normálne 33 3 2 2" xfId="286"/>
    <cellStyle name="normálne 33 3 2 2 2" xfId="465"/>
    <cellStyle name="normálne 33 3 2 2 3" xfId="602"/>
    <cellStyle name="normálne 33 3 2 2 4" xfId="742"/>
    <cellStyle name="normálne 33 3 2 2 5" xfId="908"/>
    <cellStyle name="normálne 33 3 2 2 6" xfId="996"/>
    <cellStyle name="normálne 33 3 2 3" xfId="392"/>
    <cellStyle name="normálne 33 3 2 4" xfId="530"/>
    <cellStyle name="normálne 33 3 2 5" xfId="671"/>
    <cellStyle name="normálne 33 3 2 6" xfId="836"/>
    <cellStyle name="normálne 33 3 2 7" xfId="1092"/>
    <cellStyle name="normálne 33 3 3" xfId="251"/>
    <cellStyle name="normálne 33 3 3 2" xfId="430"/>
    <cellStyle name="normálne 33 3 3 3" xfId="567"/>
    <cellStyle name="normálne 33 3 3 4" xfId="707"/>
    <cellStyle name="normálne 33 3 3 5" xfId="873"/>
    <cellStyle name="normálne 33 3 3 6" xfId="1005"/>
    <cellStyle name="normálne 33 3 4" xfId="345"/>
    <cellStyle name="normálne 33 3 5" xfId="362"/>
    <cellStyle name="normálne 33 3 6" xfId="636"/>
    <cellStyle name="normálne 33 3 7" xfId="798"/>
    <cellStyle name="normálne 33 3 8" xfId="1054"/>
    <cellStyle name="normálne 33 4" xfId="176"/>
    <cellStyle name="normálne 33 4 2" xfId="223"/>
    <cellStyle name="normálne 33 4 2 2" xfId="297"/>
    <cellStyle name="normálne 33 4 2 2 2" xfId="476"/>
    <cellStyle name="normálne 33 4 2 2 3" xfId="613"/>
    <cellStyle name="normálne 33 4 2 2 4" xfId="753"/>
    <cellStyle name="normálne 33 4 2 2 5" xfId="919"/>
    <cellStyle name="normálne 33 4 2 2 6" xfId="1041"/>
    <cellStyle name="normálne 33 4 2 3" xfId="403"/>
    <cellStyle name="normálne 33 4 2 4" xfId="541"/>
    <cellStyle name="normálne 33 4 2 5" xfId="682"/>
    <cellStyle name="normálne 33 4 2 6" xfId="847"/>
    <cellStyle name="normálne 33 4 2 7" xfId="969"/>
    <cellStyle name="normálne 33 4 3" xfId="262"/>
    <cellStyle name="normálne 33 4 3 2" xfId="441"/>
    <cellStyle name="normálne 33 4 3 3" xfId="578"/>
    <cellStyle name="normálne 33 4 3 4" xfId="718"/>
    <cellStyle name="normálne 33 4 3 5" xfId="884"/>
    <cellStyle name="normálne 33 4 3 6" xfId="992"/>
    <cellStyle name="normálne 33 4 4" xfId="360"/>
    <cellStyle name="normálne 33 4 5" xfId="504"/>
    <cellStyle name="normálne 33 4 6" xfId="647"/>
    <cellStyle name="normálne 33 4 7" xfId="810"/>
    <cellStyle name="normálne 33 4 8" xfId="790"/>
    <cellStyle name="normálne 33 5" xfId="201"/>
    <cellStyle name="normálne 33 5 2" xfId="275"/>
    <cellStyle name="normálne 33 5 2 2" xfId="454"/>
    <cellStyle name="normálne 33 5 2 3" xfId="591"/>
    <cellStyle name="normálne 33 5 2 4" xfId="731"/>
    <cellStyle name="normálne 33 5 2 5" xfId="897"/>
    <cellStyle name="normálne 33 5 2 6" xfId="1052"/>
    <cellStyle name="normálne 33 5 3" xfId="381"/>
    <cellStyle name="normálne 33 5 4" xfId="519"/>
    <cellStyle name="normálne 33 5 5" xfId="660"/>
    <cellStyle name="normálne 33 5 6" xfId="825"/>
    <cellStyle name="normálne 33 5 7" xfId="1048"/>
    <cellStyle name="normálne 33 6" xfId="240"/>
    <cellStyle name="normálne 33 6 2" xfId="419"/>
    <cellStyle name="normálne 33 6 3" xfId="556"/>
    <cellStyle name="normálne 33 6 4" xfId="696"/>
    <cellStyle name="normálne 33 6 5" xfId="862"/>
    <cellStyle name="normálne 33 6 6" xfId="1003"/>
    <cellStyle name="normálne 33 7" xfId="322"/>
    <cellStyle name="normálne 33 8" xfId="370"/>
    <cellStyle name="normálne 33 9" xfId="627"/>
    <cellStyle name="normálne 34" xfId="784"/>
    <cellStyle name="normálne 35" xfId="1331"/>
    <cellStyle name="normálne 35 2" xfId="1475"/>
    <cellStyle name="normálne 36" xfId="1329"/>
    <cellStyle name="normálne 37" xfId="1216"/>
    <cellStyle name="normálne 38" xfId="1215"/>
    <cellStyle name="normálne 39" xfId="1223"/>
    <cellStyle name="Normálne 4" xfId="22"/>
    <cellStyle name="normálne 4 10" xfId="774"/>
    <cellStyle name="normálne 4 10 2" xfId="1108"/>
    <cellStyle name="normálne 4 10 3" xfId="1200"/>
    <cellStyle name="normálne 4 11" xfId="1116"/>
    <cellStyle name="normálne 4 12" xfId="1177"/>
    <cellStyle name="normálne 4 13" xfId="1166"/>
    <cellStyle name="normálne 4 14" xfId="1157"/>
    <cellStyle name="normálne 4 15" xfId="1123"/>
    <cellStyle name="normálne 4 16" xfId="1146"/>
    <cellStyle name="normálne 4 17" xfId="1151"/>
    <cellStyle name="normálne 4 18" xfId="1167"/>
    <cellStyle name="normálne 4 19" xfId="934"/>
    <cellStyle name="Normálne 4 2" xfId="59"/>
    <cellStyle name="normálne 4 2 10" xfId="1087"/>
    <cellStyle name="normálne 4 2 11" xfId="156"/>
    <cellStyle name="normálne 4 2 2" xfId="169"/>
    <cellStyle name="normálne 4 2 2 2" xfId="221"/>
    <cellStyle name="normálne 4 2 2 2 2" xfId="295"/>
    <cellStyle name="normálne 4 2 2 2 2 2" xfId="474"/>
    <cellStyle name="normálne 4 2 2 2 2 3" xfId="611"/>
    <cellStyle name="normálne 4 2 2 2 2 4" xfId="751"/>
    <cellStyle name="normálne 4 2 2 2 2 5" xfId="917"/>
    <cellStyle name="normálne 4 2 2 2 2 6" xfId="968"/>
    <cellStyle name="normálne 4 2 2 2 3" xfId="401"/>
    <cellStyle name="normálne 4 2 2 2 4" xfId="539"/>
    <cellStyle name="normálne 4 2 2 2 5" xfId="680"/>
    <cellStyle name="normálne 4 2 2 2 6" xfId="845"/>
    <cellStyle name="normálne 4 2 2 2 7" xfId="1064"/>
    <cellStyle name="normálne 4 2 2 3" xfId="260"/>
    <cellStyle name="normálne 4 2 2 3 2" xfId="439"/>
    <cellStyle name="normálne 4 2 2 3 3" xfId="576"/>
    <cellStyle name="normálne 4 2 2 3 4" xfId="716"/>
    <cellStyle name="normálne 4 2 2 3 5" xfId="882"/>
    <cellStyle name="normálne 4 2 2 3 6" xfId="1086"/>
    <cellStyle name="normálne 4 2 2 4" xfId="354"/>
    <cellStyle name="normálne 4 2 2 5" xfId="499"/>
    <cellStyle name="normálne 4 2 2 6" xfId="645"/>
    <cellStyle name="normálne 4 2 2 7" xfId="806"/>
    <cellStyle name="normálne 4 2 2 8" xfId="972"/>
    <cellStyle name="normálne 4 2 3" xfId="194"/>
    <cellStyle name="normálne 4 2 3 2" xfId="232"/>
    <cellStyle name="normálne 4 2 3 2 2" xfId="306"/>
    <cellStyle name="normálne 4 2 3 2 2 2" xfId="485"/>
    <cellStyle name="normálne 4 2 3 2 2 3" xfId="622"/>
    <cellStyle name="normálne 4 2 3 2 2 4" xfId="762"/>
    <cellStyle name="normálne 4 2 3 2 2 5" xfId="928"/>
    <cellStyle name="normálne 4 2 3 2 2 6" xfId="1022"/>
    <cellStyle name="normálne 4 2 3 2 3" xfId="412"/>
    <cellStyle name="normálne 4 2 3 2 4" xfId="550"/>
    <cellStyle name="normálne 4 2 3 2 5" xfId="691"/>
    <cellStyle name="normálne 4 2 3 2 6" xfId="856"/>
    <cellStyle name="normálne 4 2 3 2 7" xfId="991"/>
    <cellStyle name="normálne 4 2 3 3" xfId="271"/>
    <cellStyle name="normálne 4 2 3 3 2" xfId="450"/>
    <cellStyle name="normálne 4 2 3 3 3" xfId="587"/>
    <cellStyle name="normálne 4 2 3 3 4" xfId="727"/>
    <cellStyle name="normálne 4 2 3 3 5" xfId="893"/>
    <cellStyle name="normálne 4 2 3 3 6" xfId="974"/>
    <cellStyle name="normálne 4 2 3 4" xfId="375"/>
    <cellStyle name="normálne 4 2 3 5" xfId="514"/>
    <cellStyle name="normálne 4 2 3 6" xfId="656"/>
    <cellStyle name="normálne 4 2 3 7" xfId="820"/>
    <cellStyle name="normálne 4 2 3 8" xfId="1082"/>
    <cellStyle name="normálne 4 2 4" xfId="210"/>
    <cellStyle name="normálne 4 2 4 2" xfId="284"/>
    <cellStyle name="normálne 4 2 4 2 2" xfId="463"/>
    <cellStyle name="normálne 4 2 4 2 3" xfId="600"/>
    <cellStyle name="normálne 4 2 4 2 4" xfId="740"/>
    <cellStyle name="normálne 4 2 4 2 5" xfId="906"/>
    <cellStyle name="normálne 4 2 4 2 6" xfId="1091"/>
    <cellStyle name="normálne 4 2 4 3" xfId="390"/>
    <cellStyle name="normálne 4 2 4 4" xfId="528"/>
    <cellStyle name="normálne 4 2 4 5" xfId="669"/>
    <cellStyle name="normálne 4 2 4 6" xfId="834"/>
    <cellStyle name="normálne 4 2 4 7" xfId="1017"/>
    <cellStyle name="normálne 4 2 5" xfId="249"/>
    <cellStyle name="normálne 4 2 5 2" xfId="428"/>
    <cellStyle name="normálne 4 2 5 3" xfId="565"/>
    <cellStyle name="normálne 4 2 5 4" xfId="705"/>
    <cellStyle name="normálne 4 2 5 5" xfId="871"/>
    <cellStyle name="normálne 4 2 5 6" xfId="1046"/>
    <cellStyle name="normálne 4 2 6" xfId="341"/>
    <cellStyle name="normálne 4 2 7" xfId="380"/>
    <cellStyle name="normálne 4 2 8" xfId="634"/>
    <cellStyle name="normálne 4 2 9" xfId="788"/>
    <cellStyle name="normálne 4 20" xfId="1212"/>
    <cellStyle name="normálne 4 21" xfId="1218"/>
    <cellStyle name="normálne 4 22" xfId="1225"/>
    <cellStyle name="normálne 4 23" xfId="1232"/>
    <cellStyle name="normálne 4 24" xfId="1239"/>
    <cellStyle name="normálne 4 25" xfId="1246"/>
    <cellStyle name="normálne 4 26" xfId="1252"/>
    <cellStyle name="normálne 4 27" xfId="1258"/>
    <cellStyle name="normálne 4 28" xfId="1264"/>
    <cellStyle name="normálne 4 29" xfId="1270"/>
    <cellStyle name="normálne 4 3" xfId="64"/>
    <cellStyle name="normálne 4 3 2" xfId="215"/>
    <cellStyle name="normálne 4 3 2 2" xfId="289"/>
    <cellStyle name="normálne 4 3 2 2 2" xfId="468"/>
    <cellStyle name="normálne 4 3 2 2 3" xfId="605"/>
    <cellStyle name="normálne 4 3 2 2 4" xfId="745"/>
    <cellStyle name="normálne 4 3 2 2 5" xfId="911"/>
    <cellStyle name="normálne 4 3 2 2 6" xfId="945"/>
    <cellStyle name="normálne 4 3 2 3" xfId="395"/>
    <cellStyle name="normálne 4 3 2 4" xfId="533"/>
    <cellStyle name="normálne 4 3 2 5" xfId="674"/>
    <cellStyle name="normálne 4 3 2 6" xfId="839"/>
    <cellStyle name="normálne 4 3 2 7" xfId="1051"/>
    <cellStyle name="normálne 4 3 3" xfId="254"/>
    <cellStyle name="normálne 4 3 3 2" xfId="433"/>
    <cellStyle name="normálne 4 3 3 3" xfId="570"/>
    <cellStyle name="normálne 4 3 3 4" xfId="710"/>
    <cellStyle name="normálne 4 3 3 5" xfId="876"/>
    <cellStyle name="normálne 4 3 3 6" xfId="1073"/>
    <cellStyle name="normálne 4 3 4" xfId="348"/>
    <cellStyle name="normálne 4 3 5" xfId="363"/>
    <cellStyle name="normálne 4 3 6" xfId="639"/>
    <cellStyle name="normálne 4 3 7" xfId="801"/>
    <cellStyle name="normálne 4 3 8" xfId="1078"/>
    <cellStyle name="normálne 4 3 9" xfId="163"/>
    <cellStyle name="normálne 4 30" xfId="1385"/>
    <cellStyle name="normálne 4 31" xfId="142"/>
    <cellStyle name="normálne 4 4" xfId="183"/>
    <cellStyle name="normálne 4 4 2" xfId="226"/>
    <cellStyle name="normálne 4 4 2 2" xfId="300"/>
    <cellStyle name="normálne 4 4 2 2 2" xfId="479"/>
    <cellStyle name="normálne 4 4 2 2 3" xfId="616"/>
    <cellStyle name="normálne 4 4 2 2 4" xfId="756"/>
    <cellStyle name="normálne 4 4 2 2 5" xfId="922"/>
    <cellStyle name="normálne 4 4 2 2 6" xfId="1011"/>
    <cellStyle name="normálne 4 4 2 3" xfId="406"/>
    <cellStyle name="normálne 4 4 2 4" xfId="544"/>
    <cellStyle name="normálne 4 4 2 5" xfId="685"/>
    <cellStyle name="normálne 4 4 2 6" xfId="850"/>
    <cellStyle name="normálne 4 4 2 7" xfId="995"/>
    <cellStyle name="normálne 4 4 3" xfId="265"/>
    <cellStyle name="normálne 4 4 3 2" xfId="444"/>
    <cellStyle name="normálne 4 4 3 3" xfId="581"/>
    <cellStyle name="normálne 4 4 3 4" xfId="721"/>
    <cellStyle name="normálne 4 4 3 5" xfId="887"/>
    <cellStyle name="normálne 4 4 3 6" xfId="956"/>
    <cellStyle name="normálne 4 4 4" xfId="365"/>
    <cellStyle name="normálne 4 4 5" xfId="508"/>
    <cellStyle name="normálne 4 4 6" xfId="650"/>
    <cellStyle name="normálne 4 4 7" xfId="813"/>
    <cellStyle name="normálne 4 4 8" xfId="980"/>
    <cellStyle name="normálne 4 5" xfId="204"/>
    <cellStyle name="normálne 4 5 2" xfId="278"/>
    <cellStyle name="normálne 4 5 2 2" xfId="457"/>
    <cellStyle name="normálne 4 5 2 3" xfId="594"/>
    <cellStyle name="normálne 4 5 2 4" xfId="734"/>
    <cellStyle name="normálne 4 5 2 5" xfId="900"/>
    <cellStyle name="normálne 4 5 2 6" xfId="1076"/>
    <cellStyle name="normálne 4 5 3" xfId="384"/>
    <cellStyle name="normálne 4 5 4" xfId="522"/>
    <cellStyle name="normálne 4 5 5" xfId="663"/>
    <cellStyle name="normálne 4 5 6" xfId="828"/>
    <cellStyle name="normálne 4 5 7" xfId="938"/>
    <cellStyle name="normálne 4 6" xfId="243"/>
    <cellStyle name="normálne 4 6 2" xfId="422"/>
    <cellStyle name="normálne 4 6 3" xfId="559"/>
    <cellStyle name="normálne 4 6 4" xfId="699"/>
    <cellStyle name="normálne 4 6 5" xfId="865"/>
    <cellStyle name="normálne 4 6 6" xfId="1033"/>
    <cellStyle name="normálne 4 7" xfId="330"/>
    <cellStyle name="normálne 4 8" xfId="333"/>
    <cellStyle name="normálne 4 9" xfId="502"/>
    <cellStyle name="normálne 40" xfId="1230"/>
    <cellStyle name="normálne 41" xfId="1237"/>
    <cellStyle name="normálne 42" xfId="1244"/>
    <cellStyle name="normálne 43" xfId="1330"/>
    <cellStyle name="normálne 44" xfId="1408"/>
    <cellStyle name="normálne 45" xfId="1322"/>
    <cellStyle name="normálne 46" xfId="1321"/>
    <cellStyle name="normálne 47" xfId="1411"/>
    <cellStyle name="normálne 48" xfId="1410"/>
    <cellStyle name="normálne 49" xfId="1485"/>
    <cellStyle name="Normálne 5" xfId="23"/>
    <cellStyle name="normálne 5 2" xfId="323"/>
    <cellStyle name="normálne 5 2 2" xfId="937"/>
    <cellStyle name="normálne 5 2 2 2" xfId="1441"/>
    <cellStyle name="normálne 5 2 3" xfId="960"/>
    <cellStyle name="normálne 5 2 3 2" xfId="1448"/>
    <cellStyle name="normálne 5 2 4" xfId="1419"/>
    <cellStyle name="normálne 5 3" xfId="337"/>
    <cellStyle name="normálne 5 3 2" xfId="944"/>
    <cellStyle name="normálne 5 3 2 2" xfId="1444"/>
    <cellStyle name="normálne 5 3 3" xfId="1080"/>
    <cellStyle name="normálne 5 3 3 2" xfId="1459"/>
    <cellStyle name="normálne 5 3 4" xfId="1422"/>
    <cellStyle name="normálne 5 4" xfId="555"/>
    <cellStyle name="normálne 5 4 2" xfId="1024"/>
    <cellStyle name="normálne 5 4 2 2" xfId="1456"/>
    <cellStyle name="normálne 5 4 3" xfId="1004"/>
    <cellStyle name="normálne 5 4 3 2" xfId="1452"/>
    <cellStyle name="normálne 5 4 4" xfId="1429"/>
    <cellStyle name="normálne 5 5" xfId="783"/>
    <cellStyle name="normálne 5 5 2" xfId="1435"/>
    <cellStyle name="normálne 5 6" xfId="959"/>
    <cellStyle name="normálne 5 6 2" xfId="1447"/>
    <cellStyle name="normálne 5 7" xfId="1413"/>
    <cellStyle name="normálne 5 8" xfId="1384"/>
    <cellStyle name="normálne 5 9" xfId="134"/>
    <cellStyle name="Normálne 50 2" xfId="30"/>
    <cellStyle name="Normálne 6" xfId="31"/>
    <cellStyle name="normálne 6 10" xfId="775"/>
    <cellStyle name="normálne 6 10 2" xfId="1109"/>
    <cellStyle name="normálne 6 10 3" xfId="1201"/>
    <cellStyle name="normálne 6 11" xfId="1142"/>
    <cellStyle name="normálne 6 12" xfId="1158"/>
    <cellStyle name="normálne 6 13" xfId="1176"/>
    <cellStyle name="normálne 6 14" xfId="1137"/>
    <cellStyle name="normálne 6 15" xfId="1134"/>
    <cellStyle name="normálne 6 16" xfId="1192"/>
    <cellStyle name="normálne 6 17" xfId="1181"/>
    <cellStyle name="normálne 6 18" xfId="1186"/>
    <cellStyle name="normálne 6 19" xfId="861"/>
    <cellStyle name="Normálne 6 2" xfId="68"/>
    <cellStyle name="normálne 6 2 10" xfId="1040"/>
    <cellStyle name="normálne 6 2 11" xfId="157"/>
    <cellStyle name="normálne 6 2 2" xfId="170"/>
    <cellStyle name="normálne 6 2 2 2" xfId="222"/>
    <cellStyle name="normálne 6 2 2 2 2" xfId="296"/>
    <cellStyle name="normálne 6 2 2 2 2 2" xfId="475"/>
    <cellStyle name="normálne 6 2 2 2 2 3" xfId="612"/>
    <cellStyle name="normálne 6 2 2 2 2 4" xfId="752"/>
    <cellStyle name="normálne 6 2 2 2 2 5" xfId="918"/>
    <cellStyle name="normálne 6 2 2 2 2 6" xfId="1088"/>
    <cellStyle name="normálne 6 2 2 2 3" xfId="402"/>
    <cellStyle name="normálne 6 2 2 2 4" xfId="540"/>
    <cellStyle name="normálne 6 2 2 2 5" xfId="681"/>
    <cellStyle name="normálne 6 2 2 2 6" xfId="846"/>
    <cellStyle name="normálne 6 2 2 2 7" xfId="1015"/>
    <cellStyle name="normálne 6 2 2 3" xfId="261"/>
    <cellStyle name="normálne 6 2 2 3 2" xfId="440"/>
    <cellStyle name="normálne 6 2 2 3 3" xfId="577"/>
    <cellStyle name="normálne 6 2 2 3 4" xfId="717"/>
    <cellStyle name="normálne 6 2 2 3 5" xfId="883"/>
    <cellStyle name="normálne 6 2 2 3 6" xfId="1038"/>
    <cellStyle name="normálne 6 2 2 4" xfId="355"/>
    <cellStyle name="normálne 6 2 2 5" xfId="500"/>
    <cellStyle name="normálne 6 2 2 6" xfId="646"/>
    <cellStyle name="normálne 6 2 2 7" xfId="807"/>
    <cellStyle name="normálne 6 2 2 8" xfId="1093"/>
    <cellStyle name="normálne 6 2 3" xfId="195"/>
    <cellStyle name="normálne 6 2 3 2" xfId="233"/>
    <cellStyle name="normálne 6 2 3 2 2" xfId="307"/>
    <cellStyle name="normálne 6 2 3 2 2 2" xfId="486"/>
    <cellStyle name="normálne 6 2 3 2 2 3" xfId="623"/>
    <cellStyle name="normálne 6 2 3 2 2 4" xfId="763"/>
    <cellStyle name="normálne 6 2 3 2 2 5" xfId="929"/>
    <cellStyle name="normálne 6 2 3 2 2 6" xfId="976"/>
    <cellStyle name="normálne 6 2 3 2 3" xfId="413"/>
    <cellStyle name="normálne 6 2 3 2 4" xfId="551"/>
    <cellStyle name="normálne 6 2 3 2 5" xfId="692"/>
    <cellStyle name="normálne 6 2 3 2 6" xfId="857"/>
    <cellStyle name="normálne 6 2 3 2 7" xfId="1072"/>
    <cellStyle name="normálne 6 2 3 3" xfId="272"/>
    <cellStyle name="normálne 6 2 3 3 2" xfId="451"/>
    <cellStyle name="normálne 6 2 3 3 3" xfId="588"/>
    <cellStyle name="normálne 6 2 3 3 4" xfId="728"/>
    <cellStyle name="normálne 6 2 3 3 5" xfId="894"/>
    <cellStyle name="normálne 6 2 3 3 6" xfId="1096"/>
    <cellStyle name="normálne 6 2 3 4" xfId="376"/>
    <cellStyle name="normálne 6 2 3 5" xfId="515"/>
    <cellStyle name="normálne 6 2 3 6" xfId="657"/>
    <cellStyle name="normálne 6 2 3 7" xfId="821"/>
    <cellStyle name="normálne 6 2 3 8" xfId="1035"/>
    <cellStyle name="normálne 6 2 4" xfId="211"/>
    <cellStyle name="normálne 6 2 4 2" xfId="285"/>
    <cellStyle name="normálne 6 2 4 2 2" xfId="464"/>
    <cellStyle name="normálne 6 2 4 2 3" xfId="601"/>
    <cellStyle name="normálne 6 2 4 2 4" xfId="741"/>
    <cellStyle name="normálne 6 2 4 2 5" xfId="907"/>
    <cellStyle name="normálne 6 2 4 2 6" xfId="1043"/>
    <cellStyle name="normálne 6 2 4 3" xfId="391"/>
    <cellStyle name="normálne 6 2 4 4" xfId="529"/>
    <cellStyle name="normálne 6 2 4 5" xfId="670"/>
    <cellStyle name="normálne 6 2 4 6" xfId="835"/>
    <cellStyle name="normálne 6 2 4 7" xfId="971"/>
    <cellStyle name="normálne 6 2 5" xfId="250"/>
    <cellStyle name="normálne 6 2 5 2" xfId="429"/>
    <cellStyle name="normálne 6 2 5 3" xfId="566"/>
    <cellStyle name="normálne 6 2 5 4" xfId="706"/>
    <cellStyle name="normálne 6 2 5 5" xfId="872"/>
    <cellStyle name="normálne 6 2 5 6" xfId="998"/>
    <cellStyle name="normálne 6 2 6" xfId="342"/>
    <cellStyle name="normálne 6 2 7" xfId="357"/>
    <cellStyle name="normálne 6 2 8" xfId="635"/>
    <cellStyle name="normálne 6 2 9" xfId="789"/>
    <cellStyle name="normálne 6 20" xfId="1211"/>
    <cellStyle name="normálne 6 21" xfId="1219"/>
    <cellStyle name="normálne 6 22" xfId="1226"/>
    <cellStyle name="normálne 6 23" xfId="1233"/>
    <cellStyle name="normálne 6 24" xfId="1240"/>
    <cellStyle name="normálne 6 25" xfId="1247"/>
    <cellStyle name="normálne 6 26" xfId="1253"/>
    <cellStyle name="normálne 6 27" xfId="1259"/>
    <cellStyle name="normálne 6 28" xfId="1265"/>
    <cellStyle name="normálne 6 29" xfId="1271"/>
    <cellStyle name="normálne 6 3" xfId="164"/>
    <cellStyle name="normálne 6 3 2" xfId="216"/>
    <cellStyle name="normálne 6 3 2 2" xfId="290"/>
    <cellStyle name="normálne 6 3 2 2 2" xfId="469"/>
    <cellStyle name="normálne 6 3 2 2 3" xfId="606"/>
    <cellStyle name="normálne 6 3 2 2 4" xfId="746"/>
    <cellStyle name="normálne 6 3 2 2 5" xfId="912"/>
    <cellStyle name="normálne 6 3 2 2 6" xfId="1074"/>
    <cellStyle name="normálne 6 3 2 3" xfId="396"/>
    <cellStyle name="normálne 6 3 2 4" xfId="534"/>
    <cellStyle name="normálne 6 3 2 5" xfId="675"/>
    <cellStyle name="normálne 6 3 2 6" xfId="840"/>
    <cellStyle name="normálne 6 3 2 7" xfId="953"/>
    <cellStyle name="normálne 6 3 3" xfId="255"/>
    <cellStyle name="normálne 6 3 3 2" xfId="434"/>
    <cellStyle name="normálne 6 3 3 3" xfId="571"/>
    <cellStyle name="normálne 6 3 3 4" xfId="711"/>
    <cellStyle name="normálne 6 3 3 5" xfId="877"/>
    <cellStyle name="normálne 6 3 3 6" xfId="1025"/>
    <cellStyle name="normálne 6 3 4" xfId="349"/>
    <cellStyle name="normálne 6 3 5" xfId="328"/>
    <cellStyle name="normálne 6 3 6" xfId="640"/>
    <cellStyle name="normálne 6 3 7" xfId="802"/>
    <cellStyle name="normálne 6 3 8" xfId="1031"/>
    <cellStyle name="normálne 6 30" xfId="1364"/>
    <cellStyle name="normálne 6 31" xfId="143"/>
    <cellStyle name="normálne 6 4" xfId="184"/>
    <cellStyle name="normálne 6 4 2" xfId="227"/>
    <cellStyle name="normálne 6 4 2 2" xfId="301"/>
    <cellStyle name="normálne 6 4 2 2 2" xfId="480"/>
    <cellStyle name="normálne 6 4 2 2 3" xfId="617"/>
    <cellStyle name="normálne 6 4 2 2 4" xfId="757"/>
    <cellStyle name="normálne 6 4 2 2 5" xfId="923"/>
    <cellStyle name="normálne 6 4 2 2 6" xfId="961"/>
    <cellStyle name="normálne 6 4 2 3" xfId="407"/>
    <cellStyle name="normálne 6 4 2 4" xfId="545"/>
    <cellStyle name="normálne 6 4 2 5" xfId="686"/>
    <cellStyle name="normálne 6 4 2 6" xfId="851"/>
    <cellStyle name="normálne 6 4 2 7" xfId="1059"/>
    <cellStyle name="normálne 6 4 3" xfId="266"/>
    <cellStyle name="normálne 6 4 3 2" xfId="445"/>
    <cellStyle name="normálne 6 4 3 3" xfId="582"/>
    <cellStyle name="normálne 6 4 3 4" xfId="722"/>
    <cellStyle name="normálne 6 4 3 5" xfId="888"/>
    <cellStyle name="normálne 6 4 3 6" xfId="1081"/>
    <cellStyle name="normálne 6 4 4" xfId="366"/>
    <cellStyle name="normálne 6 4 5" xfId="509"/>
    <cellStyle name="normálne 6 4 6" xfId="651"/>
    <cellStyle name="normálne 6 4 7" xfId="814"/>
    <cellStyle name="normálne 6 4 8" xfId="1062"/>
    <cellStyle name="normálne 6 5" xfId="205"/>
    <cellStyle name="normálne 6 5 2" xfId="279"/>
    <cellStyle name="normálne 6 5 2 2" xfId="458"/>
    <cellStyle name="normálne 6 5 2 3" xfId="595"/>
    <cellStyle name="normálne 6 5 2 4" xfId="735"/>
    <cellStyle name="normálne 6 5 2 5" xfId="901"/>
    <cellStyle name="normálne 6 5 2 6" xfId="1029"/>
    <cellStyle name="normálne 6 5 3" xfId="385"/>
    <cellStyle name="normálne 6 5 4" xfId="523"/>
    <cellStyle name="normálne 6 5 5" xfId="664"/>
    <cellStyle name="normálne 6 5 6" xfId="829"/>
    <cellStyle name="normálne 6 5 7" xfId="949"/>
    <cellStyle name="normálne 6 6" xfId="244"/>
    <cellStyle name="normálne 6 6 2" xfId="423"/>
    <cellStyle name="normálne 6 6 3" xfId="560"/>
    <cellStyle name="normálne 6 6 4" xfId="700"/>
    <cellStyle name="normálne 6 6 5" xfId="866"/>
    <cellStyle name="normálne 6 6 6" xfId="987"/>
    <cellStyle name="normálne 6 7" xfId="331"/>
    <cellStyle name="normálne 6 8" xfId="494"/>
    <cellStyle name="normálne 6 9" xfId="343"/>
    <cellStyle name="Normálne 7" xfId="32"/>
    <cellStyle name="normálne 7 2" xfId="185"/>
    <cellStyle name="normálne 7 3" xfId="1478"/>
    <cellStyle name="normálne 7 4" xfId="145"/>
    <cellStyle name="Normálne 8" xfId="52"/>
    <cellStyle name="normálne 8 2" xfId="187"/>
    <cellStyle name="normálne 8 3" xfId="1352"/>
    <cellStyle name="normálne 8 4" xfId="149"/>
    <cellStyle name="Normálne 9" xfId="54"/>
    <cellStyle name="normálne 9 10" xfId="1182"/>
    <cellStyle name="normálne 9 11" xfId="1189"/>
    <cellStyle name="normálne 9 12" xfId="1191"/>
    <cellStyle name="normálne 9 13" xfId="1193"/>
    <cellStyle name="normálne 9 14" xfId="1195"/>
    <cellStyle name="normálne 9 15" xfId="1120"/>
    <cellStyle name="normálne 9 16" xfId="1171"/>
    <cellStyle name="normálne 9 17" xfId="1183"/>
    <cellStyle name="normálne 9 18" xfId="797"/>
    <cellStyle name="normálne 9 19" xfId="1209"/>
    <cellStyle name="Normálne 9 2" xfId="62"/>
    <cellStyle name="normálne 9 2 2" xfId="217"/>
    <cellStyle name="normálne 9 2 2 2" xfId="291"/>
    <cellStyle name="normálne 9 2 2 2 2" xfId="470"/>
    <cellStyle name="normálne 9 2 2 2 3" xfId="607"/>
    <cellStyle name="normálne 9 2 2 2 4" xfId="747"/>
    <cellStyle name="normálne 9 2 2 2 5" xfId="913"/>
    <cellStyle name="normálne 9 2 2 2 6" xfId="1027"/>
    <cellStyle name="normálne 9 2 2 3" xfId="397"/>
    <cellStyle name="normálne 9 2 2 4" xfId="535"/>
    <cellStyle name="normálne 9 2 2 5" xfId="676"/>
    <cellStyle name="normálne 9 2 2 6" xfId="841"/>
    <cellStyle name="normálne 9 2 2 7" xfId="946"/>
    <cellStyle name="normálne 9 2 3" xfId="256"/>
    <cellStyle name="normálne 9 2 3 2" xfId="435"/>
    <cellStyle name="normálne 9 2 3 3" xfId="572"/>
    <cellStyle name="normálne 9 2 3 4" xfId="712"/>
    <cellStyle name="normálne 9 2 3 5" xfId="878"/>
    <cellStyle name="normálne 9 2 3 6" xfId="979"/>
    <cellStyle name="normálne 9 2 4" xfId="350"/>
    <cellStyle name="normálne 9 2 5" xfId="495"/>
    <cellStyle name="normálne 9 2 6" xfId="641"/>
    <cellStyle name="normálne 9 2 7" xfId="791"/>
    <cellStyle name="normálne 9 2 8" xfId="1010"/>
    <cellStyle name="normálne 9 2 9" xfId="165"/>
    <cellStyle name="normálne 9 20" xfId="1222"/>
    <cellStyle name="normálne 9 21" xfId="1229"/>
    <cellStyle name="normálne 9 22" xfId="1236"/>
    <cellStyle name="normálne 9 23" xfId="1243"/>
    <cellStyle name="normálne 9 24" xfId="1250"/>
    <cellStyle name="normálne 9 25" xfId="1256"/>
    <cellStyle name="normálne 9 26" xfId="1262"/>
    <cellStyle name="normálne 9 27" xfId="1268"/>
    <cellStyle name="normálne 9 28" xfId="1274"/>
    <cellStyle name="normálne 9 29" xfId="146"/>
    <cellStyle name="normálne 9 3" xfId="186"/>
    <cellStyle name="normálne 9 3 2" xfId="228"/>
    <cellStyle name="normálne 9 3 2 2" xfId="302"/>
    <cellStyle name="normálne 9 3 2 2 2" xfId="481"/>
    <cellStyle name="normálne 9 3 2 2 3" xfId="618"/>
    <cellStyle name="normálne 9 3 2 2 4" xfId="758"/>
    <cellStyle name="normálne 9 3 2 2 5" xfId="924"/>
    <cellStyle name="normálne 9 3 2 2 6" xfId="1084"/>
    <cellStyle name="normálne 9 3 2 3" xfId="408"/>
    <cellStyle name="normálne 9 3 2 4" xfId="546"/>
    <cellStyle name="normálne 9 3 2 5" xfId="687"/>
    <cellStyle name="normálne 9 3 2 6" xfId="852"/>
    <cellStyle name="normálne 9 3 2 7" xfId="1012"/>
    <cellStyle name="normálne 9 3 3" xfId="267"/>
    <cellStyle name="normálne 9 3 3 2" xfId="446"/>
    <cellStyle name="normálne 9 3 3 3" xfId="583"/>
    <cellStyle name="normálne 9 3 3 4" xfId="723"/>
    <cellStyle name="normálne 9 3 3 5" xfId="889"/>
    <cellStyle name="normálne 9 3 3 6" xfId="1034"/>
    <cellStyle name="normálne 9 3 4" xfId="368"/>
    <cellStyle name="normálne 9 3 5" xfId="510"/>
    <cellStyle name="normálne 9 3 6" xfId="652"/>
    <cellStyle name="normálne 9 3 7" xfId="815"/>
    <cellStyle name="normálne 9 3 8" xfId="966"/>
    <cellStyle name="normálne 9 4" xfId="206"/>
    <cellStyle name="normálne 9 4 2" xfId="280"/>
    <cellStyle name="normálne 9 4 2 2" xfId="459"/>
    <cellStyle name="normálne 9 4 2 3" xfId="596"/>
    <cellStyle name="normálne 9 4 2 4" xfId="736"/>
    <cellStyle name="normálne 9 4 2 5" xfId="902"/>
    <cellStyle name="normálne 9 4 2 6" xfId="983"/>
    <cellStyle name="normálne 9 4 3" xfId="386"/>
    <cellStyle name="normálne 9 4 4" xfId="524"/>
    <cellStyle name="normálne 9 4 5" xfId="665"/>
    <cellStyle name="normálne 9 4 6" xfId="830"/>
    <cellStyle name="normálne 9 4 7" xfId="1077"/>
    <cellStyle name="normálne 9 5" xfId="245"/>
    <cellStyle name="normálne 9 5 2" xfId="424"/>
    <cellStyle name="normálne 9 5 3" xfId="561"/>
    <cellStyle name="normálne 9 5 4" xfId="701"/>
    <cellStyle name="normálne 9 5 5" xfId="867"/>
    <cellStyle name="normálne 9 5 6" xfId="1068"/>
    <cellStyle name="normálne 9 6" xfId="334"/>
    <cellStyle name="normálne 9 7" xfId="490"/>
    <cellStyle name="normálne 9 8" xfId="369"/>
    <cellStyle name="normálne 9 9" xfId="778"/>
    <cellStyle name="normálne 9 9 2" xfId="1110"/>
    <cellStyle name="normálne 9 9 3" xfId="1202"/>
    <cellStyle name="normálne 9_Tabulky IFP_casove rady-request_20111102_" xfId="72"/>
    <cellStyle name="Normálne 93" xfId="121"/>
    <cellStyle name="normální_CENY.XLS" xfId="129"/>
    <cellStyle name="Note" xfId="1344"/>
    <cellStyle name="Output" xfId="1371"/>
    <cellStyle name="Percentá" xfId="12" builtinId="5"/>
    <cellStyle name="percentá 10" xfId="1323"/>
    <cellStyle name="percentá 11" xfId="1324"/>
    <cellStyle name="percentá 12" xfId="1325"/>
    <cellStyle name="percentá 13" xfId="1332"/>
    <cellStyle name="percentá 13 2" xfId="1476"/>
    <cellStyle name="percentá 14" xfId="1326"/>
    <cellStyle name="percentá 15" xfId="1327"/>
    <cellStyle name="Percentá 16" xfId="130"/>
    <cellStyle name="percentá 17" xfId="1328"/>
    <cellStyle name="Percentá 18" xfId="1334"/>
    <cellStyle name="Percentá 19" xfId="1335"/>
    <cellStyle name="Percentá 2" xfId="15"/>
    <cellStyle name="percentá 2 10" xfId="7"/>
    <cellStyle name="percentá 2 11" xfId="1147"/>
    <cellStyle name="percentá 2 12" xfId="1178"/>
    <cellStyle name="percentá 2 13" xfId="1185"/>
    <cellStyle name="percentá 2 14" xfId="824"/>
    <cellStyle name="percentá 2 15" xfId="1214"/>
    <cellStyle name="percentá 2 16" xfId="1220"/>
    <cellStyle name="percentá 2 17" xfId="1227"/>
    <cellStyle name="percentá 2 18" xfId="1234"/>
    <cellStyle name="percentá 2 19" xfId="1241"/>
    <cellStyle name="Percentá 2 2" xfId="21"/>
    <cellStyle name="percentá 2 2 2" xfId="192"/>
    <cellStyle name="percentá 2 2 3" xfId="154"/>
    <cellStyle name="percentá 2 20" xfId="1248"/>
    <cellStyle name="percentá 2 21" xfId="1254"/>
    <cellStyle name="percentá 2 22" xfId="1260"/>
    <cellStyle name="percentá 2 23" xfId="1266"/>
    <cellStyle name="percentá 2 24" xfId="1272"/>
    <cellStyle name="Percentá 2 3" xfId="25"/>
    <cellStyle name="percentá 2 3 2" xfId="336"/>
    <cellStyle name="percentá 2 3 2 2" xfId="943"/>
    <cellStyle name="percentá 2 3 2 2 2" xfId="1443"/>
    <cellStyle name="percentá 2 3 2 3" xfId="954"/>
    <cellStyle name="percentá 2 3 2 3 2" xfId="1445"/>
    <cellStyle name="percentá 2 3 2 4" xfId="1421"/>
    <cellStyle name="percentá 2 3 3" xfId="379"/>
    <cellStyle name="percentá 2 3 3 2" xfId="963"/>
    <cellStyle name="percentá 2 3 3 2 2" xfId="1449"/>
    <cellStyle name="percentá 2 3 3 3" xfId="1097"/>
    <cellStyle name="percentá 2 3 3 3 2" xfId="1463"/>
    <cellStyle name="percentá 2 3 3 4" xfId="1423"/>
    <cellStyle name="percentá 2 3 4" xfId="506"/>
    <cellStyle name="percentá 2 3 4 2" xfId="1008"/>
    <cellStyle name="percentá 2 3 4 2 2" xfId="1455"/>
    <cellStyle name="percentá 2 3 4 3" xfId="1060"/>
    <cellStyle name="percentá 2 3 4 3 2" xfId="1458"/>
    <cellStyle name="percentá 2 3 4 4" xfId="1428"/>
    <cellStyle name="percentá 2 3 5" xfId="793"/>
    <cellStyle name="percentá 2 3 5 2" xfId="1437"/>
    <cellStyle name="percentá 2 3 6" xfId="1083"/>
    <cellStyle name="percentá 2 3 6 2" xfId="1460"/>
    <cellStyle name="percentá 2 3 7" xfId="1415"/>
    <cellStyle name="percentá 2 3 8" xfId="148"/>
    <cellStyle name="Percentá 2 4" xfId="37"/>
    <cellStyle name="percentá 2 4 2" xfId="179"/>
    <cellStyle name="Percentá 2 5" xfId="49"/>
    <cellStyle name="percentá 2 5 2" xfId="1106"/>
    <cellStyle name="percentá 2 5 3" xfId="1198"/>
    <cellStyle name="percentá 2 5 4" xfId="776"/>
    <cellStyle name="Percentá 2 6" xfId="50"/>
    <cellStyle name="percentá 2 6 2" xfId="1100"/>
    <cellStyle name="percentá 2 7" xfId="1121"/>
    <cellStyle name="percentá 2 8" xfId="1131"/>
    <cellStyle name="percentá 2 9" xfId="1144"/>
    <cellStyle name="Percentá 20" xfId="1337"/>
    <cellStyle name="Percentá 21" xfId="1404"/>
    <cellStyle name="Percentá 22" xfId="1395"/>
    <cellStyle name="Percentá 23" xfId="1353"/>
    <cellStyle name="Percentá 24" xfId="1388"/>
    <cellStyle name="Percentá 25" xfId="1398"/>
    <cellStyle name="Percentá 26" xfId="1399"/>
    <cellStyle name="Percentá 27" xfId="1387"/>
    <cellStyle name="Percentá 28" xfId="1474"/>
    <cellStyle name="Percentá 29" xfId="1400"/>
    <cellStyle name="Percentá 3" xfId="24"/>
    <cellStyle name="percentá 3 10" xfId="1138"/>
    <cellStyle name="percentá 3 11" xfId="1190"/>
    <cellStyle name="percentá 3 12" xfId="151"/>
    <cellStyle name="Percentá 3 2" xfId="27"/>
    <cellStyle name="percentá 3 2 2" xfId="189"/>
    <cellStyle name="percentá 3 3" xfId="1114"/>
    <cellStyle name="percentá 3 4" xfId="1160"/>
    <cellStyle name="percentá 3 5" xfId="1148"/>
    <cellStyle name="percentá 3 6" xfId="1145"/>
    <cellStyle name="percentá 3 7" xfId="1133"/>
    <cellStyle name="percentá 3 8" xfId="1165"/>
    <cellStyle name="percentá 3 9" xfId="1156"/>
    <cellStyle name="Percentá 30" xfId="1481"/>
    <cellStyle name="Percentá 31" xfId="1484"/>
    <cellStyle name="Percentá 32" xfId="1482"/>
    <cellStyle name="Percentá 33" xfId="1486"/>
    <cellStyle name="Percentá 4" xfId="58"/>
    <cellStyle name="percentá 4 2" xfId="159"/>
    <cellStyle name="Percentá 5" xfId="67"/>
    <cellStyle name="percentá 5 2" xfId="173"/>
    <cellStyle name="Percentá 6" xfId="120"/>
    <cellStyle name="percentá 6 2" xfId="200"/>
    <cellStyle name="Percentá 7" xfId="125"/>
    <cellStyle name="percentá 7 2" xfId="239"/>
    <cellStyle name="percentá 8" xfId="313"/>
    <cellStyle name="percentá 9" xfId="315"/>
    <cellStyle name="percentá 9 2" xfId="493"/>
    <cellStyle name="percentá 9 2 2" xfId="1426"/>
    <cellStyle name="percentá 9 3" xfId="630"/>
    <cellStyle name="percentá 9 3 2" xfId="1431"/>
    <cellStyle name="percentá 9 4" xfId="769"/>
    <cellStyle name="percentá 9 4 2" xfId="1433"/>
    <cellStyle name="percentá 9 5" xfId="936"/>
    <cellStyle name="percentá 9 5 2" xfId="1440"/>
    <cellStyle name="percentá 9 6" xfId="986"/>
    <cellStyle name="percentá 9 6 2" xfId="1451"/>
    <cellStyle name="percentá 9 7" xfId="1417"/>
    <cellStyle name="Použité hypertextové prepojenie 2" xfId="47"/>
    <cellStyle name="Poznámka 2" xfId="116"/>
    <cellStyle name="Poznámka 2 2" xfId="1320"/>
    <cellStyle name="Poznámka 3" xfId="1316"/>
    <cellStyle name="Poznámka 4" xfId="1318"/>
    <cellStyle name="Poznámka 5" xfId="1317"/>
    <cellStyle name="Poznámka 6" xfId="1319"/>
    <cellStyle name="Poznámka 7" xfId="1315"/>
    <cellStyle name="Prepojená bunka" xfId="86" builtinId="24" customBuiltin="1"/>
    <cellStyle name="Prepojená bunka 2" xfId="1286"/>
    <cellStyle name="SAPBEXaggData" xfId="135"/>
    <cellStyle name="Spolu" xfId="90" builtinId="25" customBuiltin="1"/>
    <cellStyle name="Spolu 2" xfId="1290"/>
    <cellStyle name="Text upozornenia" xfId="88" builtinId="11" customBuiltin="1"/>
    <cellStyle name="Text upozornenia 2" xfId="1288"/>
    <cellStyle name="Title" xfId="1390"/>
    <cellStyle name="Titul" xfId="75" builtinId="15" customBuiltin="1"/>
    <cellStyle name="Titul 2" xfId="1275"/>
    <cellStyle name="Total" xfId="1346"/>
    <cellStyle name="Vstup" xfId="83" builtinId="20" customBuiltin="1"/>
    <cellStyle name="Vstup 2" xfId="1283"/>
    <cellStyle name="Výpočet" xfId="85" builtinId="22" customBuiltin="1"/>
    <cellStyle name="Výpočet 2" xfId="1285"/>
    <cellStyle name="Výstup" xfId="84" builtinId="21" customBuiltin="1"/>
    <cellStyle name="Výstup 2" xfId="1284"/>
    <cellStyle name="Vysvetľujúci text" xfId="89" builtinId="53" customBuiltin="1"/>
    <cellStyle name="Vysvetľujúci text 2" xfId="1289"/>
    <cellStyle name="Warning Text" xfId="1477"/>
    <cellStyle name="Zlá" xfId="81" builtinId="27" customBuiltin="1"/>
    <cellStyle name="Zlá 2" xfId="39"/>
    <cellStyle name="Zlá 2 2" xfId="1281"/>
    <cellStyle name="Zvýraznenie1" xfId="91" builtinId="29" customBuiltin="1"/>
    <cellStyle name="Zvýraznenie1 2" xfId="1291"/>
    <cellStyle name="Zvýraznenie2" xfId="95" builtinId="33" customBuiltin="1"/>
    <cellStyle name="Zvýraznenie2 2" xfId="1295"/>
    <cellStyle name="Zvýraznenie3" xfId="99" builtinId="37" customBuiltin="1"/>
    <cellStyle name="Zvýraznenie3 2" xfId="1299"/>
    <cellStyle name="Zvýraznenie4" xfId="103" builtinId="41" customBuiltin="1"/>
    <cellStyle name="Zvýraznenie4 2" xfId="1303"/>
    <cellStyle name="Zvýraznenie5" xfId="107" builtinId="45" customBuiltin="1"/>
    <cellStyle name="Zvýraznenie5 2" xfId="1307"/>
    <cellStyle name="Zvýraznenie6" xfId="111" builtinId="49" customBuiltin="1"/>
    <cellStyle name="Zvýraznenie6 2" xfId="1311"/>
  </cellStyles>
  <dxfs count="0"/>
  <tableStyles count="0" defaultTableStyle="TableStyleMedium2" defaultPivotStyle="PivotStyleMedium9"/>
  <colors>
    <mruColors>
      <color rgb="FFF8CBAD"/>
      <color rgb="FF2C9ADC"/>
      <color rgb="FF9E9E9E"/>
      <color rgb="FF727272"/>
      <color rgb="FF0044CC"/>
      <color rgb="FFC5E0B4"/>
      <color rgb="FFC6D9F1"/>
      <color rgb="FFF9C9BA"/>
      <color rgb="FF7F7F7F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externalLink" Target="externalLinks/externalLink26.xml"/><Relationship Id="rId84" Type="http://schemas.openxmlformats.org/officeDocument/2006/relationships/externalLink" Target="externalLinks/externalLink42.xml"/><Relationship Id="rId89" Type="http://schemas.openxmlformats.org/officeDocument/2006/relationships/externalLink" Target="externalLinks/externalLink47.xml"/><Relationship Id="rId112" Type="http://schemas.openxmlformats.org/officeDocument/2006/relationships/externalLink" Target="externalLinks/externalLink70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5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32.xml"/><Relationship Id="rId79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45.xml"/><Relationship Id="rId102" Type="http://schemas.openxmlformats.org/officeDocument/2006/relationships/externalLink" Target="externalLinks/externalLink60.xml"/><Relationship Id="rId110" Type="http://schemas.openxmlformats.org/officeDocument/2006/relationships/externalLink" Target="externalLinks/externalLink68.xml"/><Relationship Id="rId115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9.xml"/><Relationship Id="rId82" Type="http://schemas.openxmlformats.org/officeDocument/2006/relationships/externalLink" Target="externalLinks/externalLink40.xml"/><Relationship Id="rId90" Type="http://schemas.openxmlformats.org/officeDocument/2006/relationships/externalLink" Target="externalLinks/externalLink48.xml"/><Relationship Id="rId95" Type="http://schemas.openxmlformats.org/officeDocument/2006/relationships/externalLink" Target="externalLinks/externalLink5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22.xml"/><Relationship Id="rId69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35.xml"/><Relationship Id="rId100" Type="http://schemas.openxmlformats.org/officeDocument/2006/relationships/externalLink" Target="externalLinks/externalLink58.xml"/><Relationship Id="rId105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71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72" Type="http://schemas.openxmlformats.org/officeDocument/2006/relationships/externalLink" Target="externalLinks/externalLink30.xml"/><Relationship Id="rId80" Type="http://schemas.openxmlformats.org/officeDocument/2006/relationships/externalLink" Target="externalLinks/externalLink38.xml"/><Relationship Id="rId85" Type="http://schemas.openxmlformats.org/officeDocument/2006/relationships/externalLink" Target="externalLinks/externalLink43.xml"/><Relationship Id="rId93" Type="http://schemas.openxmlformats.org/officeDocument/2006/relationships/externalLink" Target="externalLinks/externalLink51.xml"/><Relationship Id="rId98" Type="http://schemas.openxmlformats.org/officeDocument/2006/relationships/externalLink" Target="externalLinks/externalLink5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25.xml"/><Relationship Id="rId103" Type="http://schemas.openxmlformats.org/officeDocument/2006/relationships/externalLink" Target="externalLinks/externalLink61.xml"/><Relationship Id="rId108" Type="http://schemas.openxmlformats.org/officeDocument/2006/relationships/externalLink" Target="externalLinks/externalLink66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20.xml"/><Relationship Id="rId70" Type="http://schemas.openxmlformats.org/officeDocument/2006/relationships/externalLink" Target="externalLinks/externalLink28.xml"/><Relationship Id="rId75" Type="http://schemas.openxmlformats.org/officeDocument/2006/relationships/externalLink" Target="externalLinks/externalLink33.xml"/><Relationship Id="rId83" Type="http://schemas.openxmlformats.org/officeDocument/2006/relationships/externalLink" Target="externalLinks/externalLink41.xml"/><Relationship Id="rId88" Type="http://schemas.openxmlformats.org/officeDocument/2006/relationships/externalLink" Target="externalLinks/externalLink46.xml"/><Relationship Id="rId91" Type="http://schemas.openxmlformats.org/officeDocument/2006/relationships/externalLink" Target="externalLinks/externalLink49.xml"/><Relationship Id="rId96" Type="http://schemas.openxmlformats.org/officeDocument/2006/relationships/externalLink" Target="externalLinks/externalLink54.xml"/><Relationship Id="rId111" Type="http://schemas.openxmlformats.org/officeDocument/2006/relationships/externalLink" Target="externalLinks/externalLink6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6" Type="http://schemas.openxmlformats.org/officeDocument/2006/relationships/externalLink" Target="externalLinks/externalLink64.xml"/><Relationship Id="rId114" Type="http://schemas.openxmlformats.org/officeDocument/2006/relationships/externalLink" Target="externalLinks/externalLink72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31.xml"/><Relationship Id="rId78" Type="http://schemas.openxmlformats.org/officeDocument/2006/relationships/externalLink" Target="externalLinks/externalLink36.xml"/><Relationship Id="rId81" Type="http://schemas.openxmlformats.org/officeDocument/2006/relationships/externalLink" Target="externalLinks/externalLink39.xml"/><Relationship Id="rId86" Type="http://schemas.openxmlformats.org/officeDocument/2006/relationships/externalLink" Target="externalLinks/externalLink44.xml"/><Relationship Id="rId94" Type="http://schemas.openxmlformats.org/officeDocument/2006/relationships/externalLink" Target="externalLinks/externalLink52.xml"/><Relationship Id="rId99" Type="http://schemas.openxmlformats.org/officeDocument/2006/relationships/externalLink" Target="externalLinks/externalLink57.xml"/><Relationship Id="rId101" Type="http://schemas.openxmlformats.org/officeDocument/2006/relationships/externalLink" Target="externalLinks/externalLink5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7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Relationship Id="rId76" Type="http://schemas.openxmlformats.org/officeDocument/2006/relationships/externalLink" Target="externalLinks/externalLink34.xml"/><Relationship Id="rId97" Type="http://schemas.openxmlformats.org/officeDocument/2006/relationships/externalLink" Target="externalLinks/externalLink55.xml"/><Relationship Id="rId104" Type="http://schemas.openxmlformats.org/officeDocument/2006/relationships/externalLink" Target="externalLinks/externalLink6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9.xml"/><Relationship Id="rId92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17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1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-1,33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30-4093-87AC-2AD495C01C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-5,5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30-4093-87AC-2AD495C01C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-2,68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30-4093-87AC-2AD495C01C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-2,6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30-4093-87AC-2AD495C01C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'!$B$20:$G$20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'!$B$21:$G$21</c:f>
              <c:numCache>
                <c:formatCode>General</c:formatCode>
                <c:ptCount val="6"/>
                <c:pt idx="0">
                  <c:v>-1.331659961458199</c:v>
                </c:pt>
                <c:pt idx="1">
                  <c:v>-5.4972654915000234</c:v>
                </c:pt>
                <c:pt idx="2">
                  <c:v>-7.92</c:v>
                </c:pt>
                <c:pt idx="3">
                  <c:v>-4.9400000000000004</c:v>
                </c:pt>
                <c:pt idx="4">
                  <c:v>-2.6760906917588114</c:v>
                </c:pt>
                <c:pt idx="5">
                  <c:v>-2.5997988270923895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9-4EB4-A75E-FD74CCE56527}"/>
            </c:ext>
          </c:extLst>
        </c:ser>
        <c:ser>
          <c:idx val="3"/>
          <c:order val="1"/>
          <c:tx>
            <c:v>Štrukturálne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'!$B$20:$G$20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'!$B$22:$G$22</c:f>
              <c:numCache>
                <c:formatCode>General</c:formatCode>
                <c:ptCount val="6"/>
                <c:pt idx="0">
                  <c:v>-2.034494137395904</c:v>
                </c:pt>
                <c:pt idx="1">
                  <c:v>-2.4356621546077144</c:v>
                </c:pt>
                <c:pt idx="2">
                  <c:v>-4.2757747817135785</c:v>
                </c:pt>
                <c:pt idx="3">
                  <c:v>-4.0771795915916851</c:v>
                </c:pt>
                <c:pt idx="4">
                  <c:v>-3.0767713629137114</c:v>
                </c:pt>
                <c:pt idx="5">
                  <c:v>-2.0767713629137114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9-4EB4-A75E-FD74CCE5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3934136"/>
        <c:axId val="313934528"/>
        <c:extLst/>
      </c:barChart>
      <c:lineChart>
        <c:grouping val="standard"/>
        <c:varyColors val="0"/>
        <c:ser>
          <c:idx val="6"/>
          <c:order val="2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5.6780121106923299E-3"/>
                  <c:y val="-6.5569688257433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89-4EB4-A75E-FD74CCE56527}"/>
                </c:ext>
              </c:extLst>
            </c:dLbl>
            <c:dLbl>
              <c:idx val="4"/>
              <c:layout>
                <c:manualLayout>
                  <c:x val="-3.0824101417572546E-2"/>
                  <c:y val="-6.0564610617247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89-4EB4-A75E-FD74CCE56527}"/>
                </c:ext>
              </c:extLst>
            </c:dLbl>
            <c:dLbl>
              <c:idx val="5"/>
              <c:layout>
                <c:manualLayout>
                  <c:x val="-2.074618336127208E-2"/>
                  <c:y val="-4.4014521883258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89-4EB4-A75E-FD74CCE565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'[63]Zhrnutie '!$B$23:$G$23</c:f>
              <c:numCache>
                <c:formatCode>General</c:formatCode>
                <c:ptCount val="6"/>
                <c:pt idx="0">
                  <c:v>-0.42022344974479364</c:v>
                </c:pt>
                <c:pt idx="1">
                  <c:v>-0.40116801721181039</c:v>
                </c:pt>
                <c:pt idx="2">
                  <c:v>-1.8401126271058641</c:v>
                </c:pt>
                <c:pt idx="3">
                  <c:v>0.19859519012189342</c:v>
                </c:pt>
                <c:pt idx="4">
                  <c:v>1.0004082286779736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89-4EB4-A75E-FD74CCE5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4136"/>
        <c:axId val="313934528"/>
        <c:extLst/>
      </c:lineChart>
      <c:catAx>
        <c:axId val="31393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3934528"/>
        <c:crosses val="autoZero"/>
        <c:auto val="1"/>
        <c:lblAlgn val="ctr"/>
        <c:lblOffset val="100"/>
        <c:noMultiLvlLbl val="0"/>
      </c:catAx>
      <c:valAx>
        <c:axId val="3139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6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393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33999379109864E-2"/>
          <c:y val="4.6413502109704644E-2"/>
          <c:w val="0.86069455027798947"/>
          <c:h val="0.82876009169739873"/>
        </c:manualLayout>
      </c:layout>
      <c:lineChart>
        <c:grouping val="standard"/>
        <c:varyColors val="0"/>
        <c:ser>
          <c:idx val="0"/>
          <c:order val="0"/>
          <c:tx>
            <c:strRef>
              <c:f>'Graf3+4'!$L$13</c:f>
              <c:strCache>
                <c:ptCount val="1"/>
                <c:pt idx="0">
                  <c:v>MV feb 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'Graf3+4'!$N$12:$AO$12</c:f>
              <c:strCache>
                <c:ptCount val="28"/>
                <c:pt idx="0">
                  <c:v>1Q18</c:v>
                </c:pt>
                <c:pt idx="1">
                  <c:v>2Q18</c:v>
                </c:pt>
                <c:pt idx="2">
                  <c:v>3Q18</c:v>
                </c:pt>
                <c:pt idx="3">
                  <c:v>4Q18</c:v>
                </c:pt>
                <c:pt idx="4">
                  <c:v>1Q19</c:v>
                </c:pt>
                <c:pt idx="5">
                  <c:v>2Q19</c:v>
                </c:pt>
                <c:pt idx="6">
                  <c:v>3Q19</c:v>
                </c:pt>
                <c:pt idx="7">
                  <c:v>4Q19</c:v>
                </c:pt>
                <c:pt idx="8">
                  <c:v>1Q20</c:v>
                </c:pt>
                <c:pt idx="9">
                  <c:v>2Q20</c:v>
                </c:pt>
                <c:pt idx="10">
                  <c:v>3Q20</c:v>
                </c:pt>
                <c:pt idx="11">
                  <c:v>4Q20</c:v>
                </c:pt>
                <c:pt idx="12">
                  <c:v>1Q21</c:v>
                </c:pt>
                <c:pt idx="13">
                  <c:v>2Q21</c:v>
                </c:pt>
                <c:pt idx="14">
                  <c:v>3Q21</c:v>
                </c:pt>
                <c:pt idx="15">
                  <c:v>4Q21</c:v>
                </c:pt>
                <c:pt idx="16">
                  <c:v>1Q22</c:v>
                </c:pt>
                <c:pt idx="17">
                  <c:v>2Q22</c:v>
                </c:pt>
                <c:pt idx="18">
                  <c:v>3Q22</c:v>
                </c:pt>
                <c:pt idx="19">
                  <c:v>4Q22</c:v>
                </c:pt>
                <c:pt idx="20">
                  <c:v>1Q23</c:v>
                </c:pt>
                <c:pt idx="21">
                  <c:v>2Q23</c:v>
                </c:pt>
                <c:pt idx="22">
                  <c:v>3Q23</c:v>
                </c:pt>
                <c:pt idx="23">
                  <c:v>4Q23</c:v>
                </c:pt>
                <c:pt idx="24">
                  <c:v>1Q24</c:v>
                </c:pt>
                <c:pt idx="25">
                  <c:v>2Q24</c:v>
                </c:pt>
                <c:pt idx="26">
                  <c:v>3Q24</c:v>
                </c:pt>
                <c:pt idx="27">
                  <c:v>4Q24</c:v>
                </c:pt>
              </c:strCache>
            </c:strRef>
          </c:cat>
          <c:val>
            <c:numRef>
              <c:f>'Graf3+4'!$N$13:$AK$13</c:f>
              <c:numCache>
                <c:formatCode>0.0</c:formatCode>
                <c:ptCount val="24"/>
                <c:pt idx="0">
                  <c:v>95.899272272028341</c:v>
                </c:pt>
                <c:pt idx="1">
                  <c:v>97.091077390349213</c:v>
                </c:pt>
                <c:pt idx="2">
                  <c:v>98.029726839493662</c:v>
                </c:pt>
                <c:pt idx="3">
                  <c:v>98.480717178103589</c:v>
                </c:pt>
                <c:pt idx="4">
                  <c:v>99.104460148408123</c:v>
                </c:pt>
                <c:pt idx="5">
                  <c:v>99.41274675138267</c:v>
                </c:pt>
                <c:pt idx="6">
                  <c:v>99.778955154470154</c:v>
                </c:pt>
                <c:pt idx="7">
                  <c:v>100.02840254235632</c:v>
                </c:pt>
                <c:pt idx="8">
                  <c:v>100.49764592807637</c:v>
                </c:pt>
                <c:pt idx="9">
                  <c:v>101.67433401213061</c:v>
                </c:pt>
                <c:pt idx="10">
                  <c:v>102.06790320081527</c:v>
                </c:pt>
                <c:pt idx="11">
                  <c:v>102.8565238221596</c:v>
                </c:pt>
                <c:pt idx="12">
                  <c:v>103.7970557780326</c:v>
                </c:pt>
                <c:pt idx="13">
                  <c:v>104.43937052948564</c:v>
                </c:pt>
                <c:pt idx="14">
                  <c:v>104.7942899127943</c:v>
                </c:pt>
                <c:pt idx="15">
                  <c:v>104.96275379853924</c:v>
                </c:pt>
                <c:pt idx="16">
                  <c:v>105.83169777078881</c:v>
                </c:pt>
                <c:pt idx="17">
                  <c:v>106.81554920169604</c:v>
                </c:pt>
                <c:pt idx="18">
                  <c:v>107.80766229043839</c:v>
                </c:pt>
                <c:pt idx="19">
                  <c:v>108.76449692551759</c:v>
                </c:pt>
                <c:pt idx="20">
                  <c:v>109.8516357941435</c:v>
                </c:pt>
                <c:pt idx="21">
                  <c:v>110.79607594673023</c:v>
                </c:pt>
                <c:pt idx="22">
                  <c:v>111.57278698614313</c:v>
                </c:pt>
                <c:pt idx="23">
                  <c:v>112.31880006445303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0-460C-A82D-26732AE66FCB}"/>
            </c:ext>
          </c:extLst>
        </c:ser>
        <c:ser>
          <c:idx val="1"/>
          <c:order val="1"/>
          <c:tx>
            <c:strRef>
              <c:f>'Graf3+4'!$L$14</c:f>
              <c:strCache>
                <c:ptCount val="1"/>
                <c:pt idx="0">
                  <c:v>MV sep 2021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'Graf3+4'!$N$14:$AO$14</c:f>
              <c:numCache>
                <c:formatCode>0.0</c:formatCode>
                <c:ptCount val="28"/>
                <c:pt idx="0">
                  <c:v>95.62586629998998</c:v>
                </c:pt>
                <c:pt idx="1">
                  <c:v>96.66613968952305</c:v>
                </c:pt>
                <c:pt idx="2">
                  <c:v>97.586172977627598</c:v>
                </c:pt>
                <c:pt idx="3">
                  <c:v>98.074380811682047</c:v>
                </c:pt>
                <c:pt idx="4">
                  <c:v>98.912606144583535</c:v>
                </c:pt>
                <c:pt idx="5">
                  <c:v>99.27797777974672</c:v>
                </c:pt>
                <c:pt idx="6">
                  <c:v>99.505746338566439</c:v>
                </c:pt>
                <c:pt idx="7">
                  <c:v>100</c:v>
                </c:pt>
                <c:pt idx="8">
                  <c:v>95.719341202275757</c:v>
                </c:pt>
                <c:pt idx="9">
                  <c:v>88.88806183523586</c:v>
                </c:pt>
                <c:pt idx="10">
                  <c:v>96.843829871470916</c:v>
                </c:pt>
                <c:pt idx="11">
                  <c:v>97.337319943600065</c:v>
                </c:pt>
                <c:pt idx="12">
                  <c:v>96.002653026328844</c:v>
                </c:pt>
                <c:pt idx="13">
                  <c:v>97.932349151684917</c:v>
                </c:pt>
                <c:pt idx="14">
                  <c:v>99.454384595917574</c:v>
                </c:pt>
                <c:pt idx="15">
                  <c:v>99.307707633062108</c:v>
                </c:pt>
                <c:pt idx="16">
                  <c:v>100.8791448527584</c:v>
                </c:pt>
                <c:pt idx="17">
                  <c:v>101.83412898999818</c:v>
                </c:pt>
                <c:pt idx="18">
                  <c:v>102.63915075018832</c:v>
                </c:pt>
                <c:pt idx="19">
                  <c:v>103.86023650259939</c:v>
                </c:pt>
                <c:pt idx="20">
                  <c:v>106.00265596976313</c:v>
                </c:pt>
                <c:pt idx="21">
                  <c:v>107.36626996413912</c:v>
                </c:pt>
                <c:pt idx="22">
                  <c:v>108.07462675572872</c:v>
                </c:pt>
                <c:pt idx="23">
                  <c:v>108.21926499893011</c:v>
                </c:pt>
                <c:pt idx="24">
                  <c:v>108.18249478202738</c:v>
                </c:pt>
                <c:pt idx="25">
                  <c:v>107.96624409440257</c:v>
                </c:pt>
                <c:pt idx="26">
                  <c:v>108.07475161329624</c:v>
                </c:pt>
                <c:pt idx="27">
                  <c:v>108.50528712282754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10-460C-A82D-26732AE66FCB}"/>
            </c:ext>
          </c:extLst>
        </c:ser>
        <c:ser>
          <c:idx val="2"/>
          <c:order val="2"/>
          <c:tx>
            <c:strRef>
              <c:f>'Graf3+4'!$L$15</c:f>
              <c:strCache>
                <c:ptCount val="1"/>
                <c:pt idx="0">
                  <c:v>MV sep 2021 bez RRP</c:v>
                </c:pt>
              </c:strCache>
            </c:strRef>
          </c:tx>
          <c:spPr>
            <a:ln w="19050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'Graf3+4'!$N$15:$AO$15</c:f>
              <c:numCache>
                <c:formatCode>0.0</c:formatCode>
                <c:ptCount val="28"/>
                <c:pt idx="0">
                  <c:v>95.62586629998998</c:v>
                </c:pt>
                <c:pt idx="1">
                  <c:v>96.66613968952305</c:v>
                </c:pt>
                <c:pt idx="2">
                  <c:v>97.586172977627598</c:v>
                </c:pt>
                <c:pt idx="3">
                  <c:v>98.074380811682047</c:v>
                </c:pt>
                <c:pt idx="4">
                  <c:v>98.912606144583535</c:v>
                </c:pt>
                <c:pt idx="5">
                  <c:v>99.27797777974672</c:v>
                </c:pt>
                <c:pt idx="6">
                  <c:v>99.505746338566439</c:v>
                </c:pt>
                <c:pt idx="7">
                  <c:v>100</c:v>
                </c:pt>
                <c:pt idx="8">
                  <c:v>95.719341202275757</c:v>
                </c:pt>
                <c:pt idx="9">
                  <c:v>88.88806183523586</c:v>
                </c:pt>
                <c:pt idx="10">
                  <c:v>96.843829871470916</c:v>
                </c:pt>
                <c:pt idx="11">
                  <c:v>97.337319943600065</c:v>
                </c:pt>
                <c:pt idx="12">
                  <c:v>96.002653026328844</c:v>
                </c:pt>
                <c:pt idx="13">
                  <c:v>97.932349151684917</c:v>
                </c:pt>
                <c:pt idx="14">
                  <c:v>99.205469690656827</c:v>
                </c:pt>
                <c:pt idx="15">
                  <c:v>99.007058751275494</c:v>
                </c:pt>
                <c:pt idx="16">
                  <c:v>99.693275075010817</c:v>
                </c:pt>
                <c:pt idx="17">
                  <c:v>100.02161540201892</c:v>
                </c:pt>
                <c:pt idx="18">
                  <c:v>100.36470581424641</c:v>
                </c:pt>
                <c:pt idx="19">
                  <c:v>101.30155529560258</c:v>
                </c:pt>
                <c:pt idx="20">
                  <c:v>103.32832182496587</c:v>
                </c:pt>
                <c:pt idx="21">
                  <c:v>104.64824253563374</c:v>
                </c:pt>
                <c:pt idx="22">
                  <c:v>105.30805027884327</c:v>
                </c:pt>
                <c:pt idx="23">
                  <c:v>105.36440161535229</c:v>
                </c:pt>
                <c:pt idx="24">
                  <c:v>105.07099574138287</c:v>
                </c:pt>
                <c:pt idx="25">
                  <c:v>104.65246634104521</c:v>
                </c:pt>
                <c:pt idx="26">
                  <c:v>104.60808442988161</c:v>
                </c:pt>
                <c:pt idx="27">
                  <c:v>104.94151041261075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10-460C-A82D-26732AE6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646000"/>
        <c:axId val="316646392"/>
      </c:lineChart>
      <c:catAx>
        <c:axId val="3166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6392"/>
        <c:crosses val="autoZero"/>
        <c:auto val="1"/>
        <c:lblAlgn val="ctr"/>
        <c:lblOffset val="100"/>
        <c:tickLblSkip val="2"/>
        <c:noMultiLvlLbl val="0"/>
      </c:catAx>
      <c:valAx>
        <c:axId val="31664639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\ 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676044004188429"/>
          <c:y val="0.52387168699045461"/>
          <c:w val="0.40308281024187664"/>
          <c:h val="0.28302277551612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9728783902015"/>
          <c:y val="4.6939705453484984E-2"/>
          <c:w val="0.84024715660542437"/>
          <c:h val="0.834819405638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'Graf3+4'!$M$8</c:f>
              <c:strCache>
                <c:ptCount val="1"/>
                <c:pt idx="0">
                  <c:v>EU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'Graf3+4'!$N$7:$AA$7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'Graf3+4'!$N$8:$AA$8</c:f>
              <c:numCache>
                <c:formatCode>0.0</c:formatCode>
                <c:ptCount val="14"/>
                <c:pt idx="0">
                  <c:v>1283.3699292199999</c:v>
                </c:pt>
                <c:pt idx="1">
                  <c:v>1165.08914671</c:v>
                </c:pt>
                <c:pt idx="2">
                  <c:v>1104.08107602</c:v>
                </c:pt>
                <c:pt idx="3">
                  <c:v>1075.1658763</c:v>
                </c:pt>
                <c:pt idx="4">
                  <c:v>2816.5415109599999</c:v>
                </c:pt>
                <c:pt idx="5">
                  <c:v>360.88635676000007</c:v>
                </c:pt>
                <c:pt idx="6">
                  <c:v>544.8147242</c:v>
                </c:pt>
                <c:pt idx="7">
                  <c:v>1008.06776471</c:v>
                </c:pt>
                <c:pt idx="8">
                  <c:v>905.44998711999983</c:v>
                </c:pt>
                <c:pt idx="9">
                  <c:v>835.23682229999997</c:v>
                </c:pt>
                <c:pt idx="10">
                  <c:v>825.00475349500005</c:v>
                </c:pt>
                <c:pt idx="11">
                  <c:v>1600.4804533757112</c:v>
                </c:pt>
                <c:pt idx="12">
                  <c:v>3501.8862395497958</c:v>
                </c:pt>
                <c:pt idx="13">
                  <c:v>816.81455587868038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E-4204-A41D-5B6FF729CE4C}"/>
            </c:ext>
          </c:extLst>
        </c:ser>
        <c:ser>
          <c:idx val="1"/>
          <c:order val="1"/>
          <c:tx>
            <c:strRef>
              <c:f>'Graf3+4'!$M$9</c:f>
              <c:strCache>
                <c:ptCount val="1"/>
                <c:pt idx="0">
                  <c:v>RRP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'Graf3+4'!$N$7:$AA$7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'Graf3+4'!$N$9:$AA$9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75.682692845949106</c:v>
                </c:pt>
                <c:pt idx="11">
                  <c:v>1095.9084965811419</c:v>
                </c:pt>
                <c:pt idx="12">
                  <c:v>1150.9542905226874</c:v>
                </c:pt>
                <c:pt idx="13">
                  <c:v>1157.2036974390423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E-4204-A41D-5B6FF729C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46784"/>
        <c:axId val="316647176"/>
      </c:barChart>
      <c:catAx>
        <c:axId val="3166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7176"/>
        <c:crosses val="autoZero"/>
        <c:auto val="1"/>
        <c:lblAlgn val="ctr"/>
        <c:lblOffset val="100"/>
        <c:noMultiLvlLbl val="0"/>
      </c:catAx>
      <c:valAx>
        <c:axId val="31664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34896069025858"/>
          <c:y val="6.6456015578697833E-2"/>
          <c:w val="0.25866577641305094"/>
          <c:h val="6.809782110569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33999379109864E-2"/>
          <c:y val="4.6413502109704644E-2"/>
          <c:w val="0.86069455027798947"/>
          <c:h val="0.82876009169739873"/>
        </c:manualLayout>
      </c:layout>
      <c:lineChart>
        <c:grouping val="standard"/>
        <c:varyColors val="0"/>
        <c:ser>
          <c:idx val="0"/>
          <c:order val="0"/>
          <c:tx>
            <c:strRef>
              <c:f>'Graf3+4'!$M$13</c:f>
              <c:strCache>
                <c:ptCount val="1"/>
                <c:pt idx="0">
                  <c:v>MFSR Forecast feb 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'Graf3+4'!$N$12:$AO$12</c:f>
              <c:strCache>
                <c:ptCount val="28"/>
                <c:pt idx="0">
                  <c:v>1Q18</c:v>
                </c:pt>
                <c:pt idx="1">
                  <c:v>2Q18</c:v>
                </c:pt>
                <c:pt idx="2">
                  <c:v>3Q18</c:v>
                </c:pt>
                <c:pt idx="3">
                  <c:v>4Q18</c:v>
                </c:pt>
                <c:pt idx="4">
                  <c:v>1Q19</c:v>
                </c:pt>
                <c:pt idx="5">
                  <c:v>2Q19</c:v>
                </c:pt>
                <c:pt idx="6">
                  <c:v>3Q19</c:v>
                </c:pt>
                <c:pt idx="7">
                  <c:v>4Q19</c:v>
                </c:pt>
                <c:pt idx="8">
                  <c:v>1Q20</c:v>
                </c:pt>
                <c:pt idx="9">
                  <c:v>2Q20</c:v>
                </c:pt>
                <c:pt idx="10">
                  <c:v>3Q20</c:v>
                </c:pt>
                <c:pt idx="11">
                  <c:v>4Q20</c:v>
                </c:pt>
                <c:pt idx="12">
                  <c:v>1Q21</c:v>
                </c:pt>
                <c:pt idx="13">
                  <c:v>2Q21</c:v>
                </c:pt>
                <c:pt idx="14">
                  <c:v>3Q21</c:v>
                </c:pt>
                <c:pt idx="15">
                  <c:v>4Q21</c:v>
                </c:pt>
                <c:pt idx="16">
                  <c:v>1Q22</c:v>
                </c:pt>
                <c:pt idx="17">
                  <c:v>2Q22</c:v>
                </c:pt>
                <c:pt idx="18">
                  <c:v>3Q22</c:v>
                </c:pt>
                <c:pt idx="19">
                  <c:v>4Q22</c:v>
                </c:pt>
                <c:pt idx="20">
                  <c:v>1Q23</c:v>
                </c:pt>
                <c:pt idx="21">
                  <c:v>2Q23</c:v>
                </c:pt>
                <c:pt idx="22">
                  <c:v>3Q23</c:v>
                </c:pt>
                <c:pt idx="23">
                  <c:v>4Q23</c:v>
                </c:pt>
                <c:pt idx="24">
                  <c:v>1Q24</c:v>
                </c:pt>
                <c:pt idx="25">
                  <c:v>2Q24</c:v>
                </c:pt>
                <c:pt idx="26">
                  <c:v>3Q24</c:v>
                </c:pt>
                <c:pt idx="27">
                  <c:v>4Q24</c:v>
                </c:pt>
              </c:strCache>
            </c:strRef>
          </c:cat>
          <c:val>
            <c:numRef>
              <c:f>'Graf3+4'!$N$13:$AK$13</c:f>
              <c:numCache>
                <c:formatCode>0.0</c:formatCode>
                <c:ptCount val="24"/>
                <c:pt idx="0">
                  <c:v>95.899272272028341</c:v>
                </c:pt>
                <c:pt idx="1">
                  <c:v>97.091077390349213</c:v>
                </c:pt>
                <c:pt idx="2">
                  <c:v>98.029726839493662</c:v>
                </c:pt>
                <c:pt idx="3">
                  <c:v>98.480717178103589</c:v>
                </c:pt>
                <c:pt idx="4">
                  <c:v>99.104460148408123</c:v>
                </c:pt>
                <c:pt idx="5">
                  <c:v>99.41274675138267</c:v>
                </c:pt>
                <c:pt idx="6">
                  <c:v>99.778955154470154</c:v>
                </c:pt>
                <c:pt idx="7">
                  <c:v>100.02840254235632</c:v>
                </c:pt>
                <c:pt idx="8">
                  <c:v>100.49764592807637</c:v>
                </c:pt>
                <c:pt idx="9">
                  <c:v>101.67433401213061</c:v>
                </c:pt>
                <c:pt idx="10">
                  <c:v>102.06790320081527</c:v>
                </c:pt>
                <c:pt idx="11">
                  <c:v>102.8565238221596</c:v>
                </c:pt>
                <c:pt idx="12">
                  <c:v>103.7970557780326</c:v>
                </c:pt>
                <c:pt idx="13">
                  <c:v>104.43937052948564</c:v>
                </c:pt>
                <c:pt idx="14">
                  <c:v>104.7942899127943</c:v>
                </c:pt>
                <c:pt idx="15">
                  <c:v>104.96275379853924</c:v>
                </c:pt>
                <c:pt idx="16">
                  <c:v>105.83169777078881</c:v>
                </c:pt>
                <c:pt idx="17">
                  <c:v>106.81554920169604</c:v>
                </c:pt>
                <c:pt idx="18">
                  <c:v>107.80766229043839</c:v>
                </c:pt>
                <c:pt idx="19">
                  <c:v>108.76449692551759</c:v>
                </c:pt>
                <c:pt idx="20">
                  <c:v>109.8516357941435</c:v>
                </c:pt>
                <c:pt idx="21">
                  <c:v>110.79607594673023</c:v>
                </c:pt>
                <c:pt idx="22">
                  <c:v>111.57278698614313</c:v>
                </c:pt>
                <c:pt idx="23">
                  <c:v>112.31880006445303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BB0-BCAC-3D7740D9262F}"/>
            </c:ext>
          </c:extLst>
        </c:ser>
        <c:ser>
          <c:idx val="1"/>
          <c:order val="1"/>
          <c:tx>
            <c:strRef>
              <c:f>'Graf3+4'!$M$14</c:f>
              <c:strCache>
                <c:ptCount val="1"/>
                <c:pt idx="0">
                  <c:v>MFSR Forecast sep 2021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'Graf3+4'!$N$14:$AO$14</c:f>
              <c:numCache>
                <c:formatCode>0.0</c:formatCode>
                <c:ptCount val="28"/>
                <c:pt idx="0">
                  <c:v>95.62586629998998</c:v>
                </c:pt>
                <c:pt idx="1">
                  <c:v>96.66613968952305</c:v>
                </c:pt>
                <c:pt idx="2">
                  <c:v>97.586172977627598</c:v>
                </c:pt>
                <c:pt idx="3">
                  <c:v>98.074380811682047</c:v>
                </c:pt>
                <c:pt idx="4">
                  <c:v>98.912606144583535</c:v>
                </c:pt>
                <c:pt idx="5">
                  <c:v>99.27797777974672</c:v>
                </c:pt>
                <c:pt idx="6">
                  <c:v>99.505746338566439</c:v>
                </c:pt>
                <c:pt idx="7">
                  <c:v>100</c:v>
                </c:pt>
                <c:pt idx="8">
                  <c:v>95.719341202275757</c:v>
                </c:pt>
                <c:pt idx="9">
                  <c:v>88.88806183523586</c:v>
                </c:pt>
                <c:pt idx="10">
                  <c:v>96.843829871470916</c:v>
                </c:pt>
                <c:pt idx="11">
                  <c:v>97.337319943600065</c:v>
                </c:pt>
                <c:pt idx="12">
                  <c:v>96.002653026328844</c:v>
                </c:pt>
                <c:pt idx="13">
                  <c:v>97.932349151684917</c:v>
                </c:pt>
                <c:pt idx="14">
                  <c:v>99.454384595917574</c:v>
                </c:pt>
                <c:pt idx="15">
                  <c:v>99.307707633062108</c:v>
                </c:pt>
                <c:pt idx="16">
                  <c:v>100.8791448527584</c:v>
                </c:pt>
                <c:pt idx="17">
                  <c:v>101.83412898999818</c:v>
                </c:pt>
                <c:pt idx="18">
                  <c:v>102.63915075018832</c:v>
                </c:pt>
                <c:pt idx="19">
                  <c:v>103.86023650259939</c:v>
                </c:pt>
                <c:pt idx="20">
                  <c:v>106.00265596976313</c:v>
                </c:pt>
                <c:pt idx="21">
                  <c:v>107.36626996413912</c:v>
                </c:pt>
                <c:pt idx="22">
                  <c:v>108.07462675572872</c:v>
                </c:pt>
                <c:pt idx="23">
                  <c:v>108.21926499893011</c:v>
                </c:pt>
                <c:pt idx="24">
                  <c:v>108.18249478202738</c:v>
                </c:pt>
                <c:pt idx="25">
                  <c:v>107.96624409440257</c:v>
                </c:pt>
                <c:pt idx="26">
                  <c:v>108.07475161329624</c:v>
                </c:pt>
                <c:pt idx="27">
                  <c:v>108.50528712282754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BB0-BCAC-3D7740D9262F}"/>
            </c:ext>
          </c:extLst>
        </c:ser>
        <c:ser>
          <c:idx val="2"/>
          <c:order val="2"/>
          <c:tx>
            <c:strRef>
              <c:f>'Graf3+4'!$M$15</c:f>
              <c:strCache>
                <c:ptCount val="1"/>
                <c:pt idx="0">
                  <c:v>MFSR Forecast sep 2021 without RRP</c:v>
                </c:pt>
              </c:strCache>
            </c:strRef>
          </c:tx>
          <c:spPr>
            <a:ln w="19050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'Graf3+4'!$N$15:$AO$15</c:f>
              <c:numCache>
                <c:formatCode>0.0</c:formatCode>
                <c:ptCount val="28"/>
                <c:pt idx="0">
                  <c:v>95.62586629998998</c:v>
                </c:pt>
                <c:pt idx="1">
                  <c:v>96.66613968952305</c:v>
                </c:pt>
                <c:pt idx="2">
                  <c:v>97.586172977627598</c:v>
                </c:pt>
                <c:pt idx="3">
                  <c:v>98.074380811682047</c:v>
                </c:pt>
                <c:pt idx="4">
                  <c:v>98.912606144583535</c:v>
                </c:pt>
                <c:pt idx="5">
                  <c:v>99.27797777974672</c:v>
                </c:pt>
                <c:pt idx="6">
                  <c:v>99.505746338566439</c:v>
                </c:pt>
                <c:pt idx="7">
                  <c:v>100</c:v>
                </c:pt>
                <c:pt idx="8">
                  <c:v>95.719341202275757</c:v>
                </c:pt>
                <c:pt idx="9">
                  <c:v>88.88806183523586</c:v>
                </c:pt>
                <c:pt idx="10">
                  <c:v>96.843829871470916</c:v>
                </c:pt>
                <c:pt idx="11">
                  <c:v>97.337319943600065</c:v>
                </c:pt>
                <c:pt idx="12">
                  <c:v>96.002653026328844</c:v>
                </c:pt>
                <c:pt idx="13">
                  <c:v>97.932349151684917</c:v>
                </c:pt>
                <c:pt idx="14">
                  <c:v>99.205469690656827</c:v>
                </c:pt>
                <c:pt idx="15">
                  <c:v>99.007058751275494</c:v>
                </c:pt>
                <c:pt idx="16">
                  <c:v>99.693275075010817</c:v>
                </c:pt>
                <c:pt idx="17">
                  <c:v>100.02161540201892</c:v>
                </c:pt>
                <c:pt idx="18">
                  <c:v>100.36470581424641</c:v>
                </c:pt>
                <c:pt idx="19">
                  <c:v>101.30155529560258</c:v>
                </c:pt>
                <c:pt idx="20">
                  <c:v>103.32832182496587</c:v>
                </c:pt>
                <c:pt idx="21">
                  <c:v>104.64824253563374</c:v>
                </c:pt>
                <c:pt idx="22">
                  <c:v>105.30805027884327</c:v>
                </c:pt>
                <c:pt idx="23">
                  <c:v>105.36440161535229</c:v>
                </c:pt>
                <c:pt idx="24">
                  <c:v>105.07099574138287</c:v>
                </c:pt>
                <c:pt idx="25">
                  <c:v>104.65246634104521</c:v>
                </c:pt>
                <c:pt idx="26">
                  <c:v>104.60808442988161</c:v>
                </c:pt>
                <c:pt idx="27">
                  <c:v>104.94151041261075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3-4BB0-BCAC-3D7740D9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648352"/>
        <c:axId val="316648744"/>
      </c:lineChart>
      <c:catAx>
        <c:axId val="3166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8744"/>
        <c:crosses val="autoZero"/>
        <c:auto val="1"/>
        <c:lblAlgn val="ctr"/>
        <c:lblOffset val="100"/>
        <c:tickLblSkip val="2"/>
        <c:noMultiLvlLbl val="0"/>
      </c:catAx>
      <c:valAx>
        <c:axId val="316648744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\ 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338530678422036"/>
          <c:y val="0.52387168699045461"/>
          <c:w val="0.41645794349954041"/>
          <c:h val="0.32404842390442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5+6'!$L$9</c:f>
              <c:strCache>
                <c:ptCount val="1"/>
                <c:pt idx="0">
                  <c:v>Verejná správa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5+6'!$S$9:$Y$9</c:f>
              <c:numCache>
                <c:formatCode>0.0</c:formatCode>
                <c:ptCount val="7"/>
                <c:pt idx="0">
                  <c:v>0.17894358787584497</c:v>
                </c:pt>
                <c:pt idx="1">
                  <c:v>0.33480694672759609</c:v>
                </c:pt>
                <c:pt idx="2">
                  <c:v>7.8521505486281867E-2</c:v>
                </c:pt>
                <c:pt idx="3">
                  <c:v>-0.10821762803547555</c:v>
                </c:pt>
                <c:pt idx="4">
                  <c:v>0.12667922182571117</c:v>
                </c:pt>
                <c:pt idx="5">
                  <c:v>-0.21796635975801512</c:v>
                </c:pt>
                <c:pt idx="6">
                  <c:v>-0.20471546702750279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0-49BF-850F-BB29CD3A982D}"/>
            </c:ext>
          </c:extLst>
        </c:ser>
        <c:ser>
          <c:idx val="2"/>
          <c:order val="2"/>
          <c:tx>
            <c:strRef>
              <c:f>'Graf 5+6'!$L$10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5+6'!$S$10:$Y$10</c:f>
              <c:numCache>
                <c:formatCode>0.0</c:formatCode>
                <c:ptCount val="7"/>
                <c:pt idx="0">
                  <c:v>1.2429518567979216</c:v>
                </c:pt>
                <c:pt idx="1">
                  <c:v>0.28935056047724994</c:v>
                </c:pt>
                <c:pt idx="2">
                  <c:v>-0.85298074996217865</c:v>
                </c:pt>
                <c:pt idx="3">
                  <c:v>-0.33322096135363233</c:v>
                </c:pt>
                <c:pt idx="4">
                  <c:v>0.48489373878754349</c:v>
                </c:pt>
                <c:pt idx="5">
                  <c:v>1.0386251058732556</c:v>
                </c:pt>
                <c:pt idx="6">
                  <c:v>0.44227257839012624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0-49BF-850F-BB29CD3A982D}"/>
            </c:ext>
          </c:extLst>
        </c:ser>
        <c:ser>
          <c:idx val="3"/>
          <c:order val="3"/>
          <c:tx>
            <c:strRef>
              <c:f>'Graf 5+6'!$L$11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5+6'!$S$11:$Y$11</c:f>
              <c:numCache>
                <c:formatCode>0.0</c:formatCode>
                <c:ptCount val="7"/>
                <c:pt idx="0">
                  <c:v>0.42567075391526343</c:v>
                </c:pt>
                <c:pt idx="1">
                  <c:v>4.2976947000326872E-2</c:v>
                </c:pt>
                <c:pt idx="2">
                  <c:v>-1.0006175389233505</c:v>
                </c:pt>
                <c:pt idx="3">
                  <c:v>-0.30209989768825668</c:v>
                </c:pt>
                <c:pt idx="4">
                  <c:v>8.0866008317525565E-2</c:v>
                </c:pt>
                <c:pt idx="5">
                  <c:v>2.3437093162689833E-2</c:v>
                </c:pt>
                <c:pt idx="6">
                  <c:v>3.1382227328874725E-2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0-49BF-850F-BB29CD3A982D}"/>
            </c:ext>
          </c:extLst>
        </c:ser>
        <c:ser>
          <c:idx val="4"/>
          <c:order val="4"/>
          <c:tx>
            <c:strRef>
              <c:f>'Graf 5+6'!$L$12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5+6'!$S$12:$Y$12</c:f>
              <c:numCache>
                <c:formatCode>0.0</c:formatCode>
                <c:ptCount val="7"/>
                <c:pt idx="0">
                  <c:v>0.16638170585299286</c:v>
                </c:pt>
                <c:pt idx="1">
                  <c:v>0.37542842644040875</c:v>
                </c:pt>
                <c:pt idx="2">
                  <c:v>-1.7790028586733359E-2</c:v>
                </c:pt>
                <c:pt idx="3">
                  <c:v>3.1505958558949092E-3</c:v>
                </c:pt>
                <c:pt idx="4">
                  <c:v>4.3948719489419891E-2</c:v>
                </c:pt>
                <c:pt idx="5">
                  <c:v>0.15354475669139006</c:v>
                </c:pt>
                <c:pt idx="6">
                  <c:v>8.1067234927278589E-2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0-49BF-850F-BB29CD3A982D}"/>
            </c:ext>
          </c:extLst>
        </c:ser>
        <c:ser>
          <c:idx val="5"/>
          <c:order val="5"/>
          <c:tx>
            <c:strRef>
              <c:f>'Graf 5+6'!$L$13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5+6'!$S$13:$Y$13</c:f>
              <c:numCache>
                <c:formatCode>0.0</c:formatCode>
                <c:ptCount val="7"/>
                <c:pt idx="0">
                  <c:v>-5.4800156475521807E-3</c:v>
                </c:pt>
                <c:pt idx="1">
                  <c:v>2.4381152625182045E-3</c:v>
                </c:pt>
                <c:pt idx="2">
                  <c:v>-9.32851843823988E-2</c:v>
                </c:pt>
                <c:pt idx="3">
                  <c:v>-7.8978520843494188E-2</c:v>
                </c:pt>
                <c:pt idx="4">
                  <c:v>1.7777495159272044E-2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49136"/>
        <c:axId val="316649528"/>
      </c:barChart>
      <c:lineChart>
        <c:grouping val="standard"/>
        <c:varyColors val="0"/>
        <c:ser>
          <c:idx val="0"/>
          <c:order val="0"/>
          <c:tx>
            <c:strRef>
              <c:f>'Graf 5+6'!$L$8</c:f>
              <c:strCache>
                <c:ptCount val="1"/>
                <c:pt idx="0">
                  <c:v>Zamestnanosť 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524992709244675E-2"/>
                  <c:y val="-7.26569899114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80-49BF-850F-BB29CD3A982D}"/>
                </c:ext>
              </c:extLst>
            </c:dLbl>
            <c:dLbl>
              <c:idx val="1"/>
              <c:layout>
                <c:manualLayout>
                  <c:x val="-3.7599066783318751E-2"/>
                  <c:y val="-5.11691030128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80-49BF-850F-BB29CD3A982D}"/>
                </c:ext>
              </c:extLst>
            </c:dLbl>
            <c:dLbl>
              <c:idx val="2"/>
              <c:layout>
                <c:manualLayout>
                  <c:x val="-2.6385301837270395E-2"/>
                  <c:y val="-5.47546496465582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80-49BF-850F-BB29CD3A982D}"/>
                </c:ext>
              </c:extLst>
            </c:dLbl>
            <c:dLbl>
              <c:idx val="3"/>
              <c:layout>
                <c:manualLayout>
                  <c:x val="-2.2673199183435511E-2"/>
                  <c:y val="-6.3945508201221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80-49BF-850F-BB29CD3A982D}"/>
                </c:ext>
              </c:extLst>
            </c:dLbl>
            <c:dLbl>
              <c:idx val="4"/>
              <c:layout>
                <c:manualLayout>
                  <c:x val="-3.7786410032079325E-2"/>
                  <c:y val="-5.4842152220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80-49BF-850F-BB29CD3A982D}"/>
                </c:ext>
              </c:extLst>
            </c:dLbl>
            <c:dLbl>
              <c:idx val="5"/>
              <c:layout>
                <c:manualLayout>
                  <c:x val="-4.2766754155730641E-2"/>
                  <c:y val="-5.3670304028549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80-49BF-850F-BB29CD3A982D}"/>
                </c:ext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80-49BF-850F-BB29CD3A982D}"/>
                </c:ext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80-49BF-850F-BB29CD3A982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5+6'!$S$8:$Y$8</c:f>
              <c:numCache>
                <c:formatCode>0.0</c:formatCode>
                <c:ptCount val="7"/>
                <c:pt idx="0">
                  <c:v>2.0084678887944718</c:v>
                </c:pt>
                <c:pt idx="1">
                  <c:v>1.045000995908099</c:v>
                </c:pt>
                <c:pt idx="2">
                  <c:v>-1.8861519963683757</c:v>
                </c:pt>
                <c:pt idx="3">
                  <c:v>-0.81936641206497574</c:v>
                </c:pt>
                <c:pt idx="4">
                  <c:v>0.75416518357947993</c:v>
                </c:pt>
                <c:pt idx="5">
                  <c:v>0.99764059596932508</c:v>
                </c:pt>
                <c:pt idx="6">
                  <c:v>0.35000657361875792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49136"/>
        <c:axId val="316649528"/>
      </c:lineChart>
      <c:catAx>
        <c:axId val="316649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6649528"/>
        <c:crosses val="autoZero"/>
        <c:auto val="1"/>
        <c:lblAlgn val="ctr"/>
        <c:lblOffset val="100"/>
        <c:noMultiLvlLbl val="1"/>
      </c:catAx>
      <c:valAx>
        <c:axId val="316649528"/>
        <c:scaling>
          <c:orientation val="minMax"/>
          <c:min val="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664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795870516185475"/>
          <c:y val="2.7280214123944829E-3"/>
          <c:w val="0.56206054243219594"/>
          <c:h val="0.268397501887310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5+6'!$L$18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5+6'!$P$16:$V$16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5+6'!$P$18:$V$18</c:f>
              <c:numCache>
                <c:formatCode>0.0</c:formatCode>
                <c:ptCount val="7"/>
                <c:pt idx="0">
                  <c:v>1.5497173777771458</c:v>
                </c:pt>
                <c:pt idx="1">
                  <c:v>1.2497089105664663</c:v>
                </c:pt>
                <c:pt idx="2">
                  <c:v>0.89000710924353876</c:v>
                </c:pt>
                <c:pt idx="3">
                  <c:v>2.4514725473181751</c:v>
                </c:pt>
                <c:pt idx="4">
                  <c:v>1.9777998133849</c:v>
                </c:pt>
                <c:pt idx="5">
                  <c:v>1.6283262044101454</c:v>
                </c:pt>
                <c:pt idx="6">
                  <c:v>1.5632581707012185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2"/>
          <c:tx>
            <c:strRef>
              <c:f>'Graf 5+6'!$L$19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5+6'!$P$16:$V$16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5+6'!$P$19:$V$19</c:f>
              <c:numCache>
                <c:formatCode>0.0</c:formatCode>
                <c:ptCount val="7"/>
                <c:pt idx="0">
                  <c:v>0.67025021973269472</c:v>
                </c:pt>
                <c:pt idx="1">
                  <c:v>0.68853523838853992</c:v>
                </c:pt>
                <c:pt idx="2">
                  <c:v>0.43965978244380477</c:v>
                </c:pt>
                <c:pt idx="3">
                  <c:v>0.25783890619285654</c:v>
                </c:pt>
                <c:pt idx="4">
                  <c:v>0.62427453042042336</c:v>
                </c:pt>
                <c:pt idx="5">
                  <c:v>0.46226120241594992</c:v>
                </c:pt>
                <c:pt idx="6">
                  <c:v>0.44610270279507452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ser>
          <c:idx val="3"/>
          <c:order val="3"/>
          <c:tx>
            <c:strRef>
              <c:f>'Graf 5+6'!$L$20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5+6'!$P$16:$V$16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5+6'!$P$20:$V$20</c:f>
              <c:numCache>
                <c:formatCode>0.0</c:formatCode>
                <c:ptCount val="7"/>
                <c:pt idx="0">
                  <c:v>0.24111304014093335</c:v>
                </c:pt>
                <c:pt idx="1">
                  <c:v>0.72519702855472334</c:v>
                </c:pt>
                <c:pt idx="2">
                  <c:v>0.60191102151064746</c:v>
                </c:pt>
                <c:pt idx="3">
                  <c:v>-0.30609303057503467</c:v>
                </c:pt>
                <c:pt idx="4">
                  <c:v>1.5076432943352023</c:v>
                </c:pt>
                <c:pt idx="5">
                  <c:v>0.88420912970543952</c:v>
                </c:pt>
                <c:pt idx="6">
                  <c:v>-0.58151995187535555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11-4A64-9E2C-C749300CDFE0}"/>
            </c:ext>
          </c:extLst>
        </c:ser>
        <c:ser>
          <c:idx val="4"/>
          <c:order val="4"/>
          <c:tx>
            <c:strRef>
              <c:f>'Graf 5+6'!$L$21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5+6'!$P$16:$V$16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5+6'!$P$21:$V$21</c:f>
              <c:numCache>
                <c:formatCode>0.0</c:formatCode>
                <c:ptCount val="7"/>
                <c:pt idx="0">
                  <c:v>0</c:v>
                </c:pt>
                <c:pt idx="1">
                  <c:v>9.1765246584191357E-2</c:v>
                </c:pt>
                <c:pt idx="3">
                  <c:v>0.23931106738705676</c:v>
                </c:pt>
                <c:pt idx="4">
                  <c:v>7.3317400844105929E-2</c:v>
                </c:pt>
                <c:pt idx="5">
                  <c:v>0.10708933239105894</c:v>
                </c:pt>
                <c:pt idx="6">
                  <c:v>3.4344401880163487E-2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50312"/>
        <c:axId val="316650704"/>
      </c:barChart>
      <c:lineChart>
        <c:grouping val="standard"/>
        <c:varyColors val="0"/>
        <c:ser>
          <c:idx val="0"/>
          <c:order val="0"/>
          <c:tx>
            <c:strRef>
              <c:f>'Graf 5+6'!$L$17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11-4A64-9E2C-C749300CDFE0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11-4A64-9E2C-C749300CDFE0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53-4A05-907C-2C4A4F8978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5+6'!$P$16:$V$16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5+6'!$P$17:$V$17</c:f>
              <c:numCache>
                <c:formatCode>0.0</c:formatCode>
                <c:ptCount val="7"/>
                <c:pt idx="0">
                  <c:v>2.4610806376507735</c:v>
                </c:pt>
                <c:pt idx="1">
                  <c:v>2.7552064240939207</c:v>
                </c:pt>
                <c:pt idx="2">
                  <c:v>1.9315779131979909</c:v>
                </c:pt>
                <c:pt idx="3">
                  <c:v>2.6425294903230538</c:v>
                </c:pt>
                <c:pt idx="4">
                  <c:v>4.1830350389846309</c:v>
                </c:pt>
                <c:pt idx="5">
                  <c:v>3.0818858689225936</c:v>
                </c:pt>
                <c:pt idx="6">
                  <c:v>1.4621853235011011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50312"/>
        <c:axId val="316650704"/>
      </c:lineChart>
      <c:catAx>
        <c:axId val="31665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16650704"/>
        <c:crosses val="autoZero"/>
        <c:auto val="1"/>
        <c:lblAlgn val="ctr"/>
        <c:lblOffset val="100"/>
        <c:noMultiLvlLbl val="1"/>
      </c:catAx>
      <c:valAx>
        <c:axId val="316650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6650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5+6'!$M$9</c:f>
              <c:strCache>
                <c:ptCount val="1"/>
                <c:pt idx="0">
                  <c:v>Public administration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5+6'!$S$9:$Y$9</c:f>
              <c:numCache>
                <c:formatCode>0.0</c:formatCode>
                <c:ptCount val="7"/>
                <c:pt idx="0">
                  <c:v>0.17894358787584497</c:v>
                </c:pt>
                <c:pt idx="1">
                  <c:v>0.33480694672759609</c:v>
                </c:pt>
                <c:pt idx="2">
                  <c:v>7.8521505486281867E-2</c:v>
                </c:pt>
                <c:pt idx="3">
                  <c:v>-0.10821762803547555</c:v>
                </c:pt>
                <c:pt idx="4">
                  <c:v>0.12667922182571117</c:v>
                </c:pt>
                <c:pt idx="5">
                  <c:v>-0.21796635975801512</c:v>
                </c:pt>
                <c:pt idx="6">
                  <c:v>-0.20471546702750279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0-49BF-850F-BB29CD3A982D}"/>
            </c:ext>
          </c:extLst>
        </c:ser>
        <c:ser>
          <c:idx val="2"/>
          <c:order val="2"/>
          <c:tx>
            <c:strRef>
              <c:f>'Graf 5+6'!$M$10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5+6'!$S$10:$Y$10</c:f>
              <c:numCache>
                <c:formatCode>0.0</c:formatCode>
                <c:ptCount val="7"/>
                <c:pt idx="0">
                  <c:v>1.2429518567979216</c:v>
                </c:pt>
                <c:pt idx="1">
                  <c:v>0.28935056047724994</c:v>
                </c:pt>
                <c:pt idx="2">
                  <c:v>-0.85298074996217865</c:v>
                </c:pt>
                <c:pt idx="3">
                  <c:v>-0.33322096135363233</c:v>
                </c:pt>
                <c:pt idx="4">
                  <c:v>0.48489373878754349</c:v>
                </c:pt>
                <c:pt idx="5">
                  <c:v>1.0386251058732556</c:v>
                </c:pt>
                <c:pt idx="6">
                  <c:v>0.44227257839012624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0-49BF-850F-BB29CD3A982D}"/>
            </c:ext>
          </c:extLst>
        </c:ser>
        <c:ser>
          <c:idx val="3"/>
          <c:order val="3"/>
          <c:tx>
            <c:strRef>
              <c:f>'Graf 5+6'!$M$11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5+6'!$S$11:$Y$11</c:f>
              <c:numCache>
                <c:formatCode>0.0</c:formatCode>
                <c:ptCount val="7"/>
                <c:pt idx="0">
                  <c:v>0.42567075391526343</c:v>
                </c:pt>
                <c:pt idx="1">
                  <c:v>4.2976947000326872E-2</c:v>
                </c:pt>
                <c:pt idx="2">
                  <c:v>-1.0006175389233505</c:v>
                </c:pt>
                <c:pt idx="3">
                  <c:v>-0.30209989768825668</c:v>
                </c:pt>
                <c:pt idx="4">
                  <c:v>8.0866008317525565E-2</c:v>
                </c:pt>
                <c:pt idx="5">
                  <c:v>2.3437093162689833E-2</c:v>
                </c:pt>
                <c:pt idx="6">
                  <c:v>3.1382227328874725E-2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0-49BF-850F-BB29CD3A982D}"/>
            </c:ext>
          </c:extLst>
        </c:ser>
        <c:ser>
          <c:idx val="4"/>
          <c:order val="4"/>
          <c:tx>
            <c:strRef>
              <c:f>'Graf 5+6'!$M$12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5+6'!$S$12:$Y$12</c:f>
              <c:numCache>
                <c:formatCode>0.0</c:formatCode>
                <c:ptCount val="7"/>
                <c:pt idx="0">
                  <c:v>0.16638170585299286</c:v>
                </c:pt>
                <c:pt idx="1">
                  <c:v>0.37542842644040875</c:v>
                </c:pt>
                <c:pt idx="2">
                  <c:v>-1.7790028586733359E-2</c:v>
                </c:pt>
                <c:pt idx="3">
                  <c:v>3.1505958558949092E-3</c:v>
                </c:pt>
                <c:pt idx="4">
                  <c:v>4.3948719489419891E-2</c:v>
                </c:pt>
                <c:pt idx="5">
                  <c:v>0.15354475669139006</c:v>
                </c:pt>
                <c:pt idx="6">
                  <c:v>8.1067234927278589E-2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0-49BF-850F-BB29CD3A982D}"/>
            </c:ext>
          </c:extLst>
        </c:ser>
        <c:ser>
          <c:idx val="5"/>
          <c:order val="5"/>
          <c:tx>
            <c:strRef>
              <c:f>'Graf 5+6'!$M$13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5+6'!$S$13:$Y$13</c:f>
              <c:numCache>
                <c:formatCode>0.0</c:formatCode>
                <c:ptCount val="7"/>
                <c:pt idx="0">
                  <c:v>-5.4800156475521807E-3</c:v>
                </c:pt>
                <c:pt idx="1">
                  <c:v>2.4381152625182045E-3</c:v>
                </c:pt>
                <c:pt idx="2">
                  <c:v>-9.32851843823988E-2</c:v>
                </c:pt>
                <c:pt idx="3">
                  <c:v>-7.8978520843494188E-2</c:v>
                </c:pt>
                <c:pt idx="4">
                  <c:v>1.7777495159272044E-2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51488"/>
        <c:axId val="316651880"/>
      </c:barChart>
      <c:lineChart>
        <c:grouping val="standard"/>
        <c:varyColors val="0"/>
        <c:ser>
          <c:idx val="0"/>
          <c:order val="0"/>
          <c:tx>
            <c:strRef>
              <c:f>'Graf 5+6'!$M$8</c:f>
              <c:strCache>
                <c:ptCount val="1"/>
                <c:pt idx="0">
                  <c:v>Employment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524992709244675E-2"/>
                  <c:y val="-7.26569899114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80-49BF-850F-BB29CD3A982D}"/>
                </c:ext>
              </c:extLst>
            </c:dLbl>
            <c:dLbl>
              <c:idx val="1"/>
              <c:layout>
                <c:manualLayout>
                  <c:x val="-3.7599066783318751E-2"/>
                  <c:y val="-5.11691030128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80-49BF-850F-BB29CD3A982D}"/>
                </c:ext>
              </c:extLst>
            </c:dLbl>
            <c:dLbl>
              <c:idx val="2"/>
              <c:layout>
                <c:manualLayout>
                  <c:x val="-2.6385301837270395E-2"/>
                  <c:y val="-5.47546496465582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80-49BF-850F-BB29CD3A982D}"/>
                </c:ext>
              </c:extLst>
            </c:dLbl>
            <c:dLbl>
              <c:idx val="3"/>
              <c:layout>
                <c:manualLayout>
                  <c:x val="-2.2673199183435511E-2"/>
                  <c:y val="-6.3945508201221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80-49BF-850F-BB29CD3A982D}"/>
                </c:ext>
              </c:extLst>
            </c:dLbl>
            <c:dLbl>
              <c:idx val="4"/>
              <c:layout>
                <c:manualLayout>
                  <c:x val="-3.7786410032079325E-2"/>
                  <c:y val="-5.4842152220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80-49BF-850F-BB29CD3A982D}"/>
                </c:ext>
              </c:extLst>
            </c:dLbl>
            <c:dLbl>
              <c:idx val="5"/>
              <c:layout>
                <c:manualLayout>
                  <c:x val="-4.2766754155730641E-2"/>
                  <c:y val="-5.3670304028549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80-49BF-850F-BB29CD3A982D}"/>
                </c:ext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80-49BF-850F-BB29CD3A982D}"/>
                </c:ext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80-49BF-850F-BB29CD3A982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5+6'!$S$7:$Y$7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 formatCode="General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5+6'!$S$8:$Y$8</c:f>
              <c:numCache>
                <c:formatCode>0.0</c:formatCode>
                <c:ptCount val="7"/>
                <c:pt idx="0">
                  <c:v>2.0084678887944718</c:v>
                </c:pt>
                <c:pt idx="1">
                  <c:v>1.045000995908099</c:v>
                </c:pt>
                <c:pt idx="2">
                  <c:v>-1.8861519963683757</c:v>
                </c:pt>
                <c:pt idx="3">
                  <c:v>-0.81936641206497574</c:v>
                </c:pt>
                <c:pt idx="4">
                  <c:v>0.75416518357947993</c:v>
                </c:pt>
                <c:pt idx="5">
                  <c:v>0.99764059596932508</c:v>
                </c:pt>
                <c:pt idx="6">
                  <c:v>0.35000657361875792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51488"/>
        <c:axId val="316651880"/>
      </c:lineChart>
      <c:catAx>
        <c:axId val="316651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6651880"/>
        <c:crosses val="autoZero"/>
        <c:auto val="1"/>
        <c:lblAlgn val="ctr"/>
        <c:lblOffset val="100"/>
        <c:noMultiLvlLbl val="1"/>
      </c:catAx>
      <c:valAx>
        <c:axId val="316651880"/>
        <c:scaling>
          <c:orientation val="minMax"/>
          <c:min val="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665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532644356955381"/>
          <c:y val="3.1637170779737376E-3"/>
          <c:w val="0.5990445725534308"/>
          <c:h val="0.199572083927424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14982283343E-2"/>
          <c:y val="2.2449728913595497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5+6'!$M$18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5+6'!$O$16:$U$16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5+6'!$O$18:$U$18</c:f>
              <c:numCache>
                <c:formatCode>0.0</c:formatCode>
                <c:ptCount val="7"/>
                <c:pt idx="0">
                  <c:v>0.87553326711939694</c:v>
                </c:pt>
                <c:pt idx="1">
                  <c:v>1.5497173777771458</c:v>
                </c:pt>
                <c:pt idx="2">
                  <c:v>1.2497089105664663</c:v>
                </c:pt>
                <c:pt idx="3">
                  <c:v>0.89000710924353876</c:v>
                </c:pt>
                <c:pt idx="4">
                  <c:v>2.4514725473181751</c:v>
                </c:pt>
                <c:pt idx="5">
                  <c:v>1.9777998133849</c:v>
                </c:pt>
                <c:pt idx="6">
                  <c:v>1.6283262044101454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2"/>
          <c:tx>
            <c:strRef>
              <c:f>'Graf 5+6'!$M$19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5+6'!$O$16:$U$16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5+6'!$O$19:$U$19</c:f>
              <c:numCache>
                <c:formatCode>0.0</c:formatCode>
                <c:ptCount val="7"/>
                <c:pt idx="0">
                  <c:v>0.71369693522654831</c:v>
                </c:pt>
                <c:pt idx="1">
                  <c:v>0.67025021973269472</c:v>
                </c:pt>
                <c:pt idx="2">
                  <c:v>0.68853523838853992</c:v>
                </c:pt>
                <c:pt idx="3">
                  <c:v>0.43965978244380477</c:v>
                </c:pt>
                <c:pt idx="4">
                  <c:v>0.25783890619285654</c:v>
                </c:pt>
                <c:pt idx="5">
                  <c:v>0.62427453042042336</c:v>
                </c:pt>
                <c:pt idx="6">
                  <c:v>0.46226120241594992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ser>
          <c:idx val="3"/>
          <c:order val="3"/>
          <c:tx>
            <c:strRef>
              <c:f>'Graf 5+6'!$M$20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5+6'!$O$16:$U$16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5+6'!$O$20:$U$20</c:f>
              <c:numCache>
                <c:formatCode>0.0</c:formatCode>
                <c:ptCount val="7"/>
                <c:pt idx="0">
                  <c:v>-0.38336891664329975</c:v>
                </c:pt>
                <c:pt idx="1">
                  <c:v>0.24111304014093335</c:v>
                </c:pt>
                <c:pt idx="2">
                  <c:v>0.72519702855472334</c:v>
                </c:pt>
                <c:pt idx="3">
                  <c:v>0.60191102151064746</c:v>
                </c:pt>
                <c:pt idx="4">
                  <c:v>-0.30609303057503467</c:v>
                </c:pt>
                <c:pt idx="5">
                  <c:v>1.5076432943352023</c:v>
                </c:pt>
                <c:pt idx="6">
                  <c:v>0.88420912970543952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11-4A64-9E2C-C749300CDFE0}"/>
            </c:ext>
          </c:extLst>
        </c:ser>
        <c:ser>
          <c:idx val="4"/>
          <c:order val="4"/>
          <c:tx>
            <c:strRef>
              <c:f>'Graf 5+6'!$M$21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5+6'!$O$16:$U$16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5+6'!$O$21:$U$21</c:f>
              <c:numCache>
                <c:formatCode>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9.1765246584191357E-2</c:v>
                </c:pt>
                <c:pt idx="4">
                  <c:v>0.23931106738705676</c:v>
                </c:pt>
                <c:pt idx="5">
                  <c:v>7.3317400844105929E-2</c:v>
                </c:pt>
                <c:pt idx="6">
                  <c:v>0.10708933239105894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52664"/>
        <c:axId val="319024104"/>
      </c:barChart>
      <c:lineChart>
        <c:grouping val="standard"/>
        <c:varyColors val="0"/>
        <c:ser>
          <c:idx val="0"/>
          <c:order val="0"/>
          <c:tx>
            <c:strRef>
              <c:f>'Graf 5+6'!$M$17</c:f>
              <c:strCache>
                <c:ptCount val="1"/>
                <c:pt idx="0">
                  <c:v>Headline inflation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11-4A64-9E2C-C749300CDFE0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11-4A64-9E2C-C749300CDFE0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1F-4892-ABD5-C8C4504695B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5+6'!$O$16:$U$16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5+6'!$O$17:$U$17</c:f>
              <c:numCache>
                <c:formatCode>0.0</c:formatCode>
                <c:ptCount val="7"/>
                <c:pt idx="0">
                  <c:v>1.3058612857026457</c:v>
                </c:pt>
                <c:pt idx="1">
                  <c:v>2.4610806376507735</c:v>
                </c:pt>
                <c:pt idx="2">
                  <c:v>2.7552064240939207</c:v>
                </c:pt>
                <c:pt idx="3">
                  <c:v>1.9315779131979909</c:v>
                </c:pt>
                <c:pt idx="4">
                  <c:v>2.6425294903230538</c:v>
                </c:pt>
                <c:pt idx="5">
                  <c:v>4.1830350389846309</c:v>
                </c:pt>
                <c:pt idx="6">
                  <c:v>3.0818858689225936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52664"/>
        <c:axId val="319024104"/>
      </c:lineChart>
      <c:catAx>
        <c:axId val="31665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19024104"/>
        <c:crosses val="autoZero"/>
        <c:auto val="1"/>
        <c:lblAlgn val="ctr"/>
        <c:lblOffset val="100"/>
        <c:noMultiLvlLbl val="1"/>
      </c:catAx>
      <c:valAx>
        <c:axId val="319024104"/>
        <c:scaling>
          <c:orientation val="minMax"/>
          <c:max val="3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6652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033382994546303E-2"/>
          <c:y val="4.5147336827487339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7+8'!$I$8</c:f>
              <c:strCache>
                <c:ptCount val="1"/>
                <c:pt idx="0">
                  <c:v>S&amp;P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7+8'!$K$8:$KT$8</c:f>
              <c:numCache>
                <c:formatCode>0.0</c:formatCode>
                <c:ptCount val="296"/>
                <c:pt idx="0">
                  <c:v>2.2062144681350722</c:v>
                </c:pt>
                <c:pt idx="1">
                  <c:v>2.1730921651320489</c:v>
                </c:pt>
                <c:pt idx="2">
                  <c:v>2.1859741479691186</c:v>
                </c:pt>
                <c:pt idx="3">
                  <c:v>2.170572521698289</c:v>
                </c:pt>
                <c:pt idx="4">
                  <c:v>2.1503860191590753</c:v>
                </c:pt>
                <c:pt idx="5">
                  <c:v>2.1584733407047172</c:v>
                </c:pt>
                <c:pt idx="6">
                  <c:v>2.1170680156951769</c:v>
                </c:pt>
                <c:pt idx="7">
                  <c:v>2.1378073720363613</c:v>
                </c:pt>
                <c:pt idx="8">
                  <c:v>2.1293873597072319</c:v>
                </c:pt>
                <c:pt idx="9">
                  <c:v>2.0943374071645939</c:v>
                </c:pt>
                <c:pt idx="10">
                  <c:v>2.0384404630272903</c:v>
                </c:pt>
                <c:pt idx="11">
                  <c:v>2.078064913842872</c:v>
                </c:pt>
                <c:pt idx="12">
                  <c:v>2.0694785561219997</c:v>
                </c:pt>
                <c:pt idx="13">
                  <c:v>2.0568656614186325</c:v>
                </c:pt>
                <c:pt idx="14">
                  <c:v>2.0332592933256355</c:v>
                </c:pt>
                <c:pt idx="15">
                  <c:v>2.0420609215534702</c:v>
                </c:pt>
                <c:pt idx="16">
                  <c:v>2.070804426744425</c:v>
                </c:pt>
                <c:pt idx="17">
                  <c:v>2.0456422399874752</c:v>
                </c:pt>
                <c:pt idx="18">
                  <c:v>2.0451529888352886</c:v>
                </c:pt>
                <c:pt idx="19">
                  <c:v>2.0477460199418771</c:v>
                </c:pt>
                <c:pt idx="20">
                  <c:v>2.0200201571474703</c:v>
                </c:pt>
                <c:pt idx="21">
                  <c:v>1.9667260291397985</c:v>
                </c:pt>
                <c:pt idx="22">
                  <c:v>1.9445482744111862</c:v>
                </c:pt>
                <c:pt idx="23">
                  <c:v>1.9144886836208499</c:v>
                </c:pt>
                <c:pt idx="24">
                  <c:v>1.9292836384629686</c:v>
                </c:pt>
                <c:pt idx="25">
                  <c:v>1.8796735716312611</c:v>
                </c:pt>
                <c:pt idx="26">
                  <c:v>1.8646095286554401</c:v>
                </c:pt>
                <c:pt idx="27">
                  <c:v>1.9113623687583783</c:v>
                </c:pt>
                <c:pt idx="28">
                  <c:v>1.9251201111578617</c:v>
                </c:pt>
                <c:pt idx="29">
                  <c:v>1.9016360558529115</c:v>
                </c:pt>
                <c:pt idx="30">
                  <c:v>1.8171961994970496</c:v>
                </c:pt>
                <c:pt idx="31">
                  <c:v>1.8794436235897334</c:v>
                </c:pt>
                <c:pt idx="32">
                  <c:v>1.8436206542266407</c:v>
                </c:pt>
                <c:pt idx="33">
                  <c:v>1.8712290967445226</c:v>
                </c:pt>
                <c:pt idx="34">
                  <c:v>1.8376615751930097</c:v>
                </c:pt>
                <c:pt idx="35">
                  <c:v>1.8117263716156051</c:v>
                </c:pt>
                <c:pt idx="36">
                  <c:v>1.8148331164319891</c:v>
                </c:pt>
                <c:pt idx="37">
                  <c:v>1.7923520259890211</c:v>
                </c:pt>
                <c:pt idx="38">
                  <c:v>1.8097987220759904</c:v>
                </c:pt>
                <c:pt idx="39">
                  <c:v>1.780066929557619</c:v>
                </c:pt>
                <c:pt idx="40">
                  <c:v>1.740530543949431</c:v>
                </c:pt>
                <c:pt idx="41">
                  <c:v>1.7540387682612992</c:v>
                </c:pt>
                <c:pt idx="42">
                  <c:v>1.716997563529262</c:v>
                </c:pt>
                <c:pt idx="43">
                  <c:v>1.5998316976036477</c:v>
                </c:pt>
                <c:pt idx="44">
                  <c:v>1.6954460502754483</c:v>
                </c:pt>
                <c:pt idx="45">
                  <c:v>1.7044580564987231</c:v>
                </c:pt>
                <c:pt idx="46">
                  <c:v>1.7011898588021175</c:v>
                </c:pt>
                <c:pt idx="47">
                  <c:v>1.6382281280272415</c:v>
                </c:pt>
                <c:pt idx="48">
                  <c:v>1.613775355440962</c:v>
                </c:pt>
                <c:pt idx="49">
                  <c:v>1.6240545221483995</c:v>
                </c:pt>
                <c:pt idx="50">
                  <c:v>1.6345734219204084</c:v>
                </c:pt>
                <c:pt idx="51">
                  <c:v>1.6766441284969227</c:v>
                </c:pt>
                <c:pt idx="52">
                  <c:v>1.7162979343816356</c:v>
                </c:pt>
                <c:pt idx="53">
                  <c:v>1.6620644441617658</c:v>
                </c:pt>
                <c:pt idx="54">
                  <c:v>1.6501707486521129</c:v>
                </c:pt>
                <c:pt idx="55">
                  <c:v>1.6396176012994512</c:v>
                </c:pt>
                <c:pt idx="56">
                  <c:v>1.600399228940184</c:v>
                </c:pt>
                <c:pt idx="57">
                  <c:v>1.5732506825053574</c:v>
                </c:pt>
                <c:pt idx="58">
                  <c:v>1.5777028679902541</c:v>
                </c:pt>
                <c:pt idx="59">
                  <c:v>1.5582844897599732</c:v>
                </c:pt>
                <c:pt idx="60">
                  <c:v>1.5313609988551524</c:v>
                </c:pt>
                <c:pt idx="61">
                  <c:v>1.4721811794866777</c:v>
                </c:pt>
                <c:pt idx="62">
                  <c:v>1.5155728641740951</c:v>
                </c:pt>
                <c:pt idx="63">
                  <c:v>1.4879644216562129</c:v>
                </c:pt>
                <c:pt idx="64">
                  <c:v>1.5626339325029108</c:v>
                </c:pt>
                <c:pt idx="65">
                  <c:v>1.4894321751127724</c:v>
                </c:pt>
                <c:pt idx="66">
                  <c:v>1.4459573177294831</c:v>
                </c:pt>
                <c:pt idx="67">
                  <c:v>1.4010685245163752</c:v>
                </c:pt>
                <c:pt idx="68">
                  <c:v>1.4334080256759005</c:v>
                </c:pt>
                <c:pt idx="69">
                  <c:v>1.3849281290057438</c:v>
                </c:pt>
                <c:pt idx="70">
                  <c:v>1.387878313453428</c:v>
                </c:pt>
                <c:pt idx="71">
                  <c:v>1.4063817920291202</c:v>
                </c:pt>
                <c:pt idx="72">
                  <c:v>1.3649226493928395</c:v>
                </c:pt>
                <c:pt idx="73">
                  <c:v>1.2175748798888422</c:v>
                </c:pt>
                <c:pt idx="74">
                  <c:v>1.243417125747331</c:v>
                </c:pt>
                <c:pt idx="75">
                  <c:v>1.1276847656976232</c:v>
                </c:pt>
                <c:pt idx="76">
                  <c:v>1.326369658600546</c:v>
                </c:pt>
                <c:pt idx="77">
                  <c:v>1.4542354472244781</c:v>
                </c:pt>
                <c:pt idx="78">
                  <c:v>1.4453555388122938</c:v>
                </c:pt>
                <c:pt idx="79">
                  <c:v>1.6329980332103682</c:v>
                </c:pt>
                <c:pt idx="80">
                  <c:v>1.653747174574596</c:v>
                </c:pt>
                <c:pt idx="81">
                  <c:v>1.628085951642416</c:v>
                </c:pt>
                <c:pt idx="82">
                  <c:v>1.5780893764004813</c:v>
                </c:pt>
                <c:pt idx="83">
                  <c:v>1.6123124944959244</c:v>
                </c:pt>
                <c:pt idx="84">
                  <c:v>1.6290204213430921</c:v>
                </c:pt>
                <c:pt idx="85">
                  <c:v>1.5975762497920682</c:v>
                </c:pt>
                <c:pt idx="86">
                  <c:v>1.5826540896503811</c:v>
                </c:pt>
                <c:pt idx="87">
                  <c:v>1.5851835181071852</c:v>
                </c:pt>
                <c:pt idx="88">
                  <c:v>1.5759855964460794</c:v>
                </c:pt>
                <c:pt idx="89">
                  <c:v>1.5503390510484654</c:v>
                </c:pt>
                <c:pt idx="90">
                  <c:v>1.539140092174917</c:v>
                </c:pt>
                <c:pt idx="91">
                  <c:v>1.5367280839946378</c:v>
                </c:pt>
                <c:pt idx="92">
                  <c:v>1.5217129661340352</c:v>
                </c:pt>
                <c:pt idx="93">
                  <c:v>1.5266886503517716</c:v>
                </c:pt>
                <c:pt idx="94">
                  <c:v>1.513292953804906</c:v>
                </c:pt>
                <c:pt idx="95">
                  <c:v>1.5004892511521863</c:v>
                </c:pt>
                <c:pt idx="96">
                  <c:v>1.478786070041195</c:v>
                </c:pt>
                <c:pt idx="97">
                  <c:v>1.461001790659217</c:v>
                </c:pt>
                <c:pt idx="98">
                  <c:v>1.4532080198048867</c:v>
                </c:pt>
                <c:pt idx="99">
                  <c:v>1.4442742937659618</c:v>
                </c:pt>
                <c:pt idx="100">
                  <c:v>1.4490591700343454</c:v>
                </c:pt>
                <c:pt idx="101">
                  <c:v>1.4638736949225515</c:v>
                </c:pt>
                <c:pt idx="102">
                  <c:v>1.4713690225740481</c:v>
                </c:pt>
                <c:pt idx="103">
                  <c:v>1.4573372995293403</c:v>
                </c:pt>
                <c:pt idx="104">
                  <c:v>1.4317739268275977</c:v>
                </c:pt>
                <c:pt idx="105">
                  <c:v>1.3929518479016019</c:v>
                </c:pt>
                <c:pt idx="106">
                  <c:v>1.4132900182979931</c:v>
                </c:pt>
                <c:pt idx="107">
                  <c:v>1.4279528753290214</c:v>
                </c:pt>
                <c:pt idx="108">
                  <c:v>1.43450884076832</c:v>
                </c:pt>
                <c:pt idx="109">
                  <c:v>1.4804054913549323</c:v>
                </c:pt>
                <c:pt idx="110">
                  <c:v>1.4563098721097489</c:v>
                </c:pt>
                <c:pt idx="111">
                  <c:v>1.4744904449249978</c:v>
                </c:pt>
                <c:pt idx="112">
                  <c:v>1.4630615380099219</c:v>
                </c:pt>
                <c:pt idx="113">
                  <c:v>1.4392594694560505</c:v>
                </c:pt>
                <c:pt idx="114">
                  <c:v>1.4435159544800729</c:v>
                </c:pt>
                <c:pt idx="115">
                  <c:v>1.412458291339276</c:v>
                </c:pt>
                <c:pt idx="116">
                  <c:v>1.4057849056234528</c:v>
                </c:pt>
                <c:pt idx="117">
                  <c:v>1.3464485258862784</c:v>
                </c:pt>
                <c:pt idx="118">
                  <c:v>1.3826531111480767</c:v>
                </c:pt>
                <c:pt idx="119">
                  <c:v>1.3990283472117577</c:v>
                </c:pt>
                <c:pt idx="120">
                  <c:v>1.4097282699100757</c:v>
                </c:pt>
                <c:pt idx="121">
                  <c:v>1.4411577639265341</c:v>
                </c:pt>
                <c:pt idx="122">
                  <c:v>1.4383396772899399</c:v>
                </c:pt>
                <c:pt idx="123">
                  <c:v>1.4212892746362418</c:v>
                </c:pt>
                <c:pt idx="124">
                  <c:v>1.4224536923784454</c:v>
                </c:pt>
                <c:pt idx="125">
                  <c:v>1.4152763779758699</c:v>
                </c:pt>
                <c:pt idx="126">
                  <c:v>1.3867334657573118</c:v>
                </c:pt>
                <c:pt idx="127">
                  <c:v>1.37025059444015</c:v>
                </c:pt>
                <c:pt idx="128">
                  <c:v>1.3809015920232492</c:v>
                </c:pt>
                <c:pt idx="129">
                  <c:v>1.3420501580281221</c:v>
                </c:pt>
                <c:pt idx="130">
                  <c:v>1.3717085628736656</c:v>
                </c:pt>
                <c:pt idx="131">
                  <c:v>1.3663170151765707</c:v>
                </c:pt>
                <c:pt idx="132">
                  <c:v>1.3579654980087477</c:v>
                </c:pt>
                <c:pt idx="133">
                  <c:v>1.3248334099826806</c:v>
                </c:pt>
                <c:pt idx="134">
                  <c:v>1.3241729209272288</c:v>
                </c:pt>
                <c:pt idx="135">
                  <c:v>1.3037369003004002</c:v>
                </c:pt>
                <c:pt idx="136">
                  <c:v>1.3066479446559096</c:v>
                </c:pt>
                <c:pt idx="137">
                  <c:v>1.2702231963756276</c:v>
                </c:pt>
                <c:pt idx="138">
                  <c:v>1.2387545622669942</c:v>
                </c:pt>
                <c:pt idx="139">
                  <c:v>1.2161511590359795</c:v>
                </c:pt>
                <c:pt idx="140">
                  <c:v>1.1823341193968511</c:v>
                </c:pt>
                <c:pt idx="141">
                  <c:v>1.2720285331271954</c:v>
                </c:pt>
                <c:pt idx="142">
                  <c:v>1.288237423799133</c:v>
                </c:pt>
                <c:pt idx="143">
                  <c:v>1.3504163527305106</c:v>
                </c:pt>
                <c:pt idx="144">
                  <c:v>1.2879830131999961</c:v>
                </c:pt>
                <c:pt idx="145">
                  <c:v>1.3387232501932542</c:v>
                </c:pt>
                <c:pt idx="146">
                  <c:v>1.3606123467420765</c:v>
                </c:pt>
                <c:pt idx="147">
                  <c:v>1.3322602424728709</c:v>
                </c:pt>
                <c:pt idx="148">
                  <c:v>1.3007671458066283</c:v>
                </c:pt>
                <c:pt idx="149">
                  <c:v>1.3541395539986498</c:v>
                </c:pt>
                <c:pt idx="150">
                  <c:v>1.3538215407497285</c:v>
                </c:pt>
                <c:pt idx="151">
                  <c:v>1.4117684472146932</c:v>
                </c:pt>
                <c:pt idx="152">
                  <c:v>1.4256680724483106</c:v>
                </c:pt>
                <c:pt idx="153">
                  <c:v>1.4333444230261163</c:v>
                </c:pt>
                <c:pt idx="154">
                  <c:v>1.4212648120786324</c:v>
                </c:pt>
                <c:pt idx="155">
                  <c:v>1.404972748710823</c:v>
                </c:pt>
                <c:pt idx="156">
                  <c:v>1.4195720030920673</c:v>
                </c:pt>
                <c:pt idx="157">
                  <c:v>1.4064453946789044</c:v>
                </c:pt>
                <c:pt idx="158">
                  <c:v>1.3944293863812049</c:v>
                </c:pt>
                <c:pt idx="159">
                  <c:v>1.3861855044668632</c:v>
                </c:pt>
                <c:pt idx="160">
                  <c:v>1.3896445101128212</c:v>
                </c:pt>
                <c:pt idx="161">
                  <c:v>1.3791109328062467</c:v>
                </c:pt>
                <c:pt idx="162">
                  <c:v>1.3707985557305986</c:v>
                </c:pt>
                <c:pt idx="163">
                  <c:v>1.3705441451314617</c:v>
                </c:pt>
                <c:pt idx="164">
                  <c:v>1.3502451148272454</c:v>
                </c:pt>
                <c:pt idx="165">
                  <c:v>1.3299656545691165</c:v>
                </c:pt>
                <c:pt idx="166">
                  <c:v>1.3478282141354443</c:v>
                </c:pt>
                <c:pt idx="167">
                  <c:v>1.3599518576866247</c:v>
                </c:pt>
                <c:pt idx="168">
                  <c:v>1.3596436294607475</c:v>
                </c:pt>
                <c:pt idx="169">
                  <c:v>1.3379159857921465</c:v>
                </c:pt>
                <c:pt idx="170">
                  <c:v>1.3314138379795883</c:v>
                </c:pt>
                <c:pt idx="171">
                  <c:v>1.3273236983473096</c:v>
                </c:pt>
                <c:pt idx="172">
                  <c:v>1.3345401528420597</c:v>
                </c:pt>
                <c:pt idx="173">
                  <c:v>1.3030813037564704</c:v>
                </c:pt>
                <c:pt idx="174">
                  <c:v>1.3062565437341604</c:v>
                </c:pt>
                <c:pt idx="175">
                  <c:v>1.3063690714991634</c:v>
                </c:pt>
                <c:pt idx="176">
                  <c:v>1.2995978355529028</c:v>
                </c:pt>
                <c:pt idx="177">
                  <c:v>1.2742399483350781</c:v>
                </c:pt>
                <c:pt idx="178">
                  <c:v>1.2920486902746655</c:v>
                </c:pt>
                <c:pt idx="179">
                  <c:v>1.2663091871581358</c:v>
                </c:pt>
                <c:pt idx="180">
                  <c:v>1.3464240633286693</c:v>
                </c:pt>
                <c:pt idx="181">
                  <c:v>1.3633325831482335</c:v>
                </c:pt>
                <c:pt idx="182">
                  <c:v>1.3166971633218196</c:v>
                </c:pt>
                <c:pt idx="183">
                  <c:v>1.3441196904018708</c:v>
                </c:pt>
                <c:pt idx="184">
                  <c:v>1.3367417830268988</c:v>
                </c:pt>
                <c:pt idx="185">
                  <c:v>1.2816178557100502</c:v>
                </c:pt>
                <c:pt idx="186">
                  <c:v>1.3513752849887961</c:v>
                </c:pt>
                <c:pt idx="187">
                  <c:v>1.4055549575819251</c:v>
                </c:pt>
                <c:pt idx="188">
                  <c:v>1.3749425129896182</c:v>
                </c:pt>
                <c:pt idx="189">
                  <c:v>1.3631711302680116</c:v>
                </c:pt>
                <c:pt idx="190">
                  <c:v>1.342089298120297</c:v>
                </c:pt>
                <c:pt idx="191">
                  <c:v>1.3080667729972504</c:v>
                </c:pt>
                <c:pt idx="192">
                  <c:v>1.3128271867080248</c:v>
                </c:pt>
                <c:pt idx="193">
                  <c:v>1.3091431255320605</c:v>
                </c:pt>
                <c:pt idx="194">
                  <c:v>1.2972494300224078</c:v>
                </c:pt>
                <c:pt idx="195">
                  <c:v>1.2927091793301171</c:v>
                </c:pt>
                <c:pt idx="196">
                  <c:v>1.2732369834730961</c:v>
                </c:pt>
                <c:pt idx="197">
                  <c:v>1.2617053338160611</c:v>
                </c:pt>
                <c:pt idx="198">
                  <c:v>1.2633932502911045</c:v>
                </c:pt>
                <c:pt idx="199">
                  <c:v>1.2661037016742174</c:v>
                </c:pt>
                <c:pt idx="200">
                  <c:v>1.2627914713739152</c:v>
                </c:pt>
                <c:pt idx="201">
                  <c:v>1.2599244596221024</c:v>
                </c:pt>
                <c:pt idx="202">
                  <c:v>1.2491413642279128</c:v>
                </c:pt>
                <c:pt idx="203">
                  <c:v>1.2472626398035167</c:v>
                </c:pt>
                <c:pt idx="204">
                  <c:v>1.2325997827724884</c:v>
                </c:pt>
                <c:pt idx="205">
                  <c:v>1.2242140180240124</c:v>
                </c:pt>
                <c:pt idx="206">
                  <c:v>1.2232404082311614</c:v>
                </c:pt>
                <c:pt idx="207">
                  <c:v>1.2042574635263266</c:v>
                </c:pt>
                <c:pt idx="208">
                  <c:v>1.211654940947386</c:v>
                </c:pt>
                <c:pt idx="209">
                  <c:v>1.1952650273491394</c:v>
                </c:pt>
                <c:pt idx="210">
                  <c:v>1.1867031321858763</c:v>
                </c:pt>
                <c:pt idx="211">
                  <c:v>1.1944186228558569</c:v>
                </c:pt>
                <c:pt idx="212">
                  <c:v>1.2117919312699981</c:v>
                </c:pt>
                <c:pt idx="213">
                  <c:v>1.209477773320156</c:v>
                </c:pt>
                <c:pt idx="214">
                  <c:v>1.2096930438271181</c:v>
                </c:pt>
                <c:pt idx="215">
                  <c:v>1.2032006810376037</c:v>
                </c:pt>
                <c:pt idx="216">
                  <c:v>1.1865221092595672</c:v>
                </c:pt>
                <c:pt idx="217">
                  <c:v>1.1856561347201973</c:v>
                </c:pt>
                <c:pt idx="218">
                  <c:v>1.1929410843762538</c:v>
                </c:pt>
                <c:pt idx="219">
                  <c:v>1.1904214409424934</c:v>
                </c:pt>
                <c:pt idx="220">
                  <c:v>1.189746274352476</c:v>
                </c:pt>
                <c:pt idx="221">
                  <c:v>1.1933178077634374</c:v>
                </c:pt>
                <c:pt idx="222">
                  <c:v>1.1819427184751021</c:v>
                </c:pt>
                <c:pt idx="223">
                  <c:v>1.1652641466970655</c:v>
                </c:pt>
                <c:pt idx="224">
                  <c:v>1.1697505797626153</c:v>
                </c:pt>
                <c:pt idx="225">
                  <c:v>1.1738553969294596</c:v>
                </c:pt>
                <c:pt idx="226">
                  <c:v>1.1664725970429659</c:v>
                </c:pt>
                <c:pt idx="227">
                  <c:v>1.1490992886288247</c:v>
                </c:pt>
                <c:pt idx="228">
                  <c:v>1.1394414708846639</c:v>
                </c:pt>
                <c:pt idx="229">
                  <c:v>1.1524506590213019</c:v>
                </c:pt>
                <c:pt idx="230">
                  <c:v>1.1559634822940006</c:v>
                </c:pt>
                <c:pt idx="231">
                  <c:v>1.1467949157020265</c:v>
                </c:pt>
                <c:pt idx="232">
                  <c:v>1.1635615526874565</c:v>
                </c:pt>
                <c:pt idx="233">
                  <c:v>1.160797283677603</c:v>
                </c:pt>
                <c:pt idx="234">
                  <c:v>1.1659442057986045</c:v>
                </c:pt>
                <c:pt idx="235">
                  <c:v>1.1582238226171022</c:v>
                </c:pt>
                <c:pt idx="236">
                  <c:v>1.1503077389747252</c:v>
                </c:pt>
                <c:pt idx="237">
                  <c:v>1.1331545935790679</c:v>
                </c:pt>
                <c:pt idx="238">
                  <c:v>1.1240153820562246</c:v>
                </c:pt>
                <c:pt idx="239">
                  <c:v>1.1226797264107558</c:v>
                </c:pt>
                <c:pt idx="240">
                  <c:v>1.1112410344726362</c:v>
                </c:pt>
                <c:pt idx="241">
                  <c:v>1.1128702408094171</c:v>
                </c:pt>
                <c:pt idx="242">
                  <c:v>1.1140150885055333</c:v>
                </c:pt>
                <c:pt idx="243">
                  <c:v>1.0953501570496198</c:v>
                </c:pt>
                <c:pt idx="244">
                  <c:v>1.1075618658081938</c:v>
                </c:pt>
                <c:pt idx="245">
                  <c:v>1.1047633492176874</c:v>
                </c:pt>
                <c:pt idx="246">
                  <c:v>1.1054776558998798</c:v>
                </c:pt>
                <c:pt idx="247">
                  <c:v>1.0724140630351184</c:v>
                </c:pt>
                <c:pt idx="248">
                  <c:v>1.0828840376919087</c:v>
                </c:pt>
                <c:pt idx="249">
                  <c:v>1.0674970889556445</c:v>
                </c:pt>
                <c:pt idx="250">
                  <c:v>1.0589596563499906</c:v>
                </c:pt>
                <c:pt idx="251">
                  <c:v>1.0201767175161696</c:v>
                </c:pt>
                <c:pt idx="252">
                  <c:v>1.0403485425208174</c:v>
                </c:pt>
                <c:pt idx="253">
                  <c:v>1.0475649970155678</c:v>
                </c:pt>
                <c:pt idx="254">
                  <c:v>1.0435629225906826</c:v>
                </c:pt>
                <c:pt idx="255">
                  <c:v>1.0537197765100736</c:v>
                </c:pt>
                <c:pt idx="256">
                  <c:v>1.060828595751343</c:v>
                </c:pt>
                <c:pt idx="257">
                  <c:v>1.0590770766265154</c:v>
                </c:pt>
                <c:pt idx="258">
                  <c:v>1.0465864947111949</c:v>
                </c:pt>
                <c:pt idx="259">
                  <c:v>1.0410334941338786</c:v>
                </c:pt>
                <c:pt idx="260">
                  <c:v>1.0665577267434465</c:v>
                </c:pt>
                <c:pt idx="261">
                  <c:v>1.0612053191385264</c:v>
                </c:pt>
                <c:pt idx="262">
                  <c:v>1.0684609137254517</c:v>
                </c:pt>
                <c:pt idx="263">
                  <c:v>1.0685489789328455</c:v>
                </c:pt>
                <c:pt idx="264">
                  <c:v>1.0679716625732654</c:v>
                </c:pt>
                <c:pt idx="265">
                  <c:v>1.0634363043924968</c:v>
                </c:pt>
                <c:pt idx="266">
                  <c:v>1.0641359335401235</c:v>
                </c:pt>
                <c:pt idx="267">
                  <c:v>1.0576337857275653</c:v>
                </c:pt>
                <c:pt idx="268">
                  <c:v>1.0420560290419485</c:v>
                </c:pt>
                <c:pt idx="269">
                  <c:v>1.028870710490523</c:v>
                </c:pt>
                <c:pt idx="270">
                  <c:v>0.99680518997622236</c:v>
                </c:pt>
                <c:pt idx="271">
                  <c:v>1.0133467714316466</c:v>
                </c:pt>
                <c:pt idx="272">
                  <c:v>1.0255046625634805</c:v>
                </c:pt>
                <c:pt idx="273">
                  <c:v>1.027001771089171</c:v>
                </c:pt>
                <c:pt idx="274">
                  <c:v>1.0269675235085178</c:v>
                </c:pt>
                <c:pt idx="275">
                  <c:v>1.0040999246553226</c:v>
                </c:pt>
                <c:pt idx="276">
                  <c:v>1.0013063005763378</c:v>
                </c:pt>
                <c:pt idx="277">
                  <c:v>1.0064581152088612</c:v>
                </c:pt>
                <c:pt idx="278">
                  <c:v>1.010450404610703</c:v>
                </c:pt>
                <c:pt idx="279">
                  <c:v>1.0233079248901631</c:v>
                </c:pt>
                <c:pt idx="280">
                  <c:v>1.01799954988894</c:v>
                </c:pt>
                <c:pt idx="281">
                  <c:v>1.0017906592170023</c:v>
                </c:pt>
                <c:pt idx="282">
                  <c:v>1.0141100032290578</c:v>
                </c:pt>
                <c:pt idx="283">
                  <c:v>0.99608599078250826</c:v>
                </c:pt>
                <c:pt idx="284">
                  <c:v>1.0027593764983316</c:v>
                </c:pt>
                <c:pt idx="285">
                  <c:v>0.98935878743994443</c:v>
                </c:pt>
                <c:pt idx="286">
                  <c:v>0.97849741186140493</c:v>
                </c:pt>
                <c:pt idx="287">
                  <c:v>0.95308570701683992</c:v>
                </c:pt>
                <c:pt idx="288">
                  <c:v>0.93827607464015572</c:v>
                </c:pt>
                <c:pt idx="289">
                  <c:v>0.91234576357427322</c:v>
                </c:pt>
                <c:pt idx="290">
                  <c:v>0.9198166286681605</c:v>
                </c:pt>
                <c:pt idx="291">
                  <c:v>0.94926465551826378</c:v>
                </c:pt>
                <c:pt idx="292">
                  <c:v>0.93295302210436704</c:v>
                </c:pt>
                <c:pt idx="293">
                  <c:v>0.91995361899077266</c:v>
                </c:pt>
                <c:pt idx="294">
                  <c:v>0.94035539203694818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E97-91BE-9D9459F478C2}"/>
            </c:ext>
          </c:extLst>
        </c:ser>
        <c:ser>
          <c:idx val="5"/>
          <c:order val="1"/>
          <c:tx>
            <c:strRef>
              <c:f>'Graf 7+8'!$I$9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7+8'!$K$9:$KT$9</c:f>
              <c:numCache>
                <c:formatCode>0.0</c:formatCode>
                <c:ptCount val="296"/>
                <c:pt idx="0">
                  <c:v>1.2826180099892273</c:v>
                </c:pt>
                <c:pt idx="1">
                  <c:v>1.2693112819508374</c:v>
                </c:pt>
                <c:pt idx="2">
                  <c:v>1.2944679757124669</c:v>
                </c:pt>
                <c:pt idx="3">
                  <c:v>1.2775866712369013</c:v>
                </c:pt>
                <c:pt idx="4">
                  <c:v>1.251499608265596</c:v>
                </c:pt>
                <c:pt idx="5">
                  <c:v>1.2575592498286163</c:v>
                </c:pt>
                <c:pt idx="6">
                  <c:v>1.2351171530702183</c:v>
                </c:pt>
                <c:pt idx="7">
                  <c:v>1.245008446773088</c:v>
                </c:pt>
                <c:pt idx="8">
                  <c:v>1.2499724561747136</c:v>
                </c:pt>
                <c:pt idx="9">
                  <c:v>1.2610971011654097</c:v>
                </c:pt>
                <c:pt idx="10">
                  <c:v>1.2496847762217216</c:v>
                </c:pt>
                <c:pt idx="11">
                  <c:v>1.2629455978846342</c:v>
                </c:pt>
                <c:pt idx="12">
                  <c:v>1.2515240916658505</c:v>
                </c:pt>
                <c:pt idx="13">
                  <c:v>1.2457643717559495</c:v>
                </c:pt>
                <c:pt idx="14">
                  <c:v>1.2320597884634219</c:v>
                </c:pt>
                <c:pt idx="15">
                  <c:v>1.229507393986877</c:v>
                </c:pt>
                <c:pt idx="16">
                  <c:v>1.2346519684653805</c:v>
                </c:pt>
                <c:pt idx="17">
                  <c:v>1.2164393791009696</c:v>
                </c:pt>
                <c:pt idx="18">
                  <c:v>1.2282526197238273</c:v>
                </c:pt>
                <c:pt idx="19">
                  <c:v>1.2342663549113699</c:v>
                </c:pt>
                <c:pt idx="20">
                  <c:v>1.2176941533640193</c:v>
                </c:pt>
                <c:pt idx="21">
                  <c:v>1.2076314758593674</c:v>
                </c:pt>
                <c:pt idx="22">
                  <c:v>1.1833684262070316</c:v>
                </c:pt>
                <c:pt idx="23">
                  <c:v>1.1742912055626284</c:v>
                </c:pt>
                <c:pt idx="24">
                  <c:v>1.1731710900009793</c:v>
                </c:pt>
                <c:pt idx="25">
                  <c:v>1.1230352071295662</c:v>
                </c:pt>
                <c:pt idx="26">
                  <c:v>1.1129052002742141</c:v>
                </c:pt>
                <c:pt idx="27">
                  <c:v>1.1364765938693566</c:v>
                </c:pt>
                <c:pt idx="28">
                  <c:v>1.1310137351875429</c:v>
                </c:pt>
                <c:pt idx="29">
                  <c:v>1.1188210018607385</c:v>
                </c:pt>
                <c:pt idx="30">
                  <c:v>1.0654686122808736</c:v>
                </c:pt>
                <c:pt idx="31">
                  <c:v>1.1024905738909019</c:v>
                </c:pt>
                <c:pt idx="32">
                  <c:v>1.101615292331799</c:v>
                </c:pt>
                <c:pt idx="33">
                  <c:v>1.1155402262266185</c:v>
                </c:pt>
                <c:pt idx="34">
                  <c:v>1.0872588385074919</c:v>
                </c:pt>
                <c:pt idx="35">
                  <c:v>1.0843942806777005</c:v>
                </c:pt>
                <c:pt idx="36">
                  <c:v>1.0851471452355304</c:v>
                </c:pt>
                <c:pt idx="37">
                  <c:v>1.0668151992948782</c:v>
                </c:pt>
                <c:pt idx="38">
                  <c:v>1.0831670502399373</c:v>
                </c:pt>
                <c:pt idx="39">
                  <c:v>1.0796536823033982</c:v>
                </c:pt>
                <c:pt idx="40">
                  <c:v>1.0612329840368231</c:v>
                </c:pt>
                <c:pt idx="41">
                  <c:v>1.0503592938987367</c:v>
                </c:pt>
                <c:pt idx="42">
                  <c:v>0.98057548232298508</c:v>
                </c:pt>
                <c:pt idx="43">
                  <c:v>0.90533799334051512</c:v>
                </c:pt>
                <c:pt idx="44">
                  <c:v>0.97898712173146607</c:v>
                </c:pt>
                <c:pt idx="45">
                  <c:v>0.99325176280481831</c:v>
                </c:pt>
                <c:pt idx="46">
                  <c:v>1.0017138380178239</c:v>
                </c:pt>
                <c:pt idx="47">
                  <c:v>0.97656020468122606</c:v>
                </c:pt>
                <c:pt idx="48">
                  <c:v>0.96007369503476647</c:v>
                </c:pt>
                <c:pt idx="49">
                  <c:v>1.0049487072764667</c:v>
                </c:pt>
                <c:pt idx="50">
                  <c:v>1.0147787924786995</c:v>
                </c:pt>
                <c:pt idx="51">
                  <c:v>0.99787912545294299</c:v>
                </c:pt>
                <c:pt idx="52">
                  <c:v>1.01469616100284</c:v>
                </c:pt>
                <c:pt idx="53">
                  <c:v>0.99762204975026936</c:v>
                </c:pt>
                <c:pt idx="54">
                  <c:v>1.0114857751444521</c:v>
                </c:pt>
                <c:pt idx="55">
                  <c:v>0.99544914797767114</c:v>
                </c:pt>
                <c:pt idx="56">
                  <c:v>0.97147683870335921</c:v>
                </c:pt>
                <c:pt idx="57">
                  <c:v>1.0132730633630398</c:v>
                </c:pt>
                <c:pt idx="58">
                  <c:v>1.0300166487121731</c:v>
                </c:pt>
                <c:pt idx="59">
                  <c:v>1.0087834198413475</c:v>
                </c:pt>
                <c:pt idx="60">
                  <c:v>1.0082203016354911</c:v>
                </c:pt>
                <c:pt idx="61">
                  <c:v>0.98061220742336697</c:v>
                </c:pt>
                <c:pt idx="62">
                  <c:v>1.0004835471550289</c:v>
                </c:pt>
                <c:pt idx="63">
                  <c:v>0.96517848398785622</c:v>
                </c:pt>
                <c:pt idx="64">
                  <c:v>1.0357365830966605</c:v>
                </c:pt>
                <c:pt idx="65">
                  <c:v>0.93349084320830467</c:v>
                </c:pt>
                <c:pt idx="66">
                  <c:v>0.88919731172265204</c:v>
                </c:pt>
                <c:pt idx="67">
                  <c:v>0.8479519635687004</c:v>
                </c:pt>
                <c:pt idx="68">
                  <c:v>0.89000526393105484</c:v>
                </c:pt>
                <c:pt idx="69">
                  <c:v>0.8960710263441386</c:v>
                </c:pt>
                <c:pt idx="70">
                  <c:v>0.85969481441582607</c:v>
                </c:pt>
                <c:pt idx="71">
                  <c:v>0.88394256194300269</c:v>
                </c:pt>
                <c:pt idx="72">
                  <c:v>0.88531669278229363</c:v>
                </c:pt>
                <c:pt idx="73">
                  <c:v>0.81498812555087641</c:v>
                </c:pt>
                <c:pt idx="74">
                  <c:v>0.835082876309862</c:v>
                </c:pt>
                <c:pt idx="75">
                  <c:v>0.77994931936147294</c:v>
                </c:pt>
                <c:pt idx="76">
                  <c:v>0.79143203408089313</c:v>
                </c:pt>
                <c:pt idx="77">
                  <c:v>0.98915079326216826</c:v>
                </c:pt>
                <c:pt idx="78">
                  <c:v>1.0189654539222406</c:v>
                </c:pt>
                <c:pt idx="79">
                  <c:v>1.1630778082460091</c:v>
                </c:pt>
                <c:pt idx="80">
                  <c:v>1.1755000734502008</c:v>
                </c:pt>
                <c:pt idx="81">
                  <c:v>1.1624993879149936</c:v>
                </c:pt>
                <c:pt idx="82">
                  <c:v>1.1142732102634414</c:v>
                </c:pt>
                <c:pt idx="83">
                  <c:v>1.1565835863284692</c:v>
                </c:pt>
                <c:pt idx="84">
                  <c:v>1.1654894231710902</c:v>
                </c:pt>
                <c:pt idx="85">
                  <c:v>1.1597541866614436</c:v>
                </c:pt>
                <c:pt idx="86">
                  <c:v>1.1548116002350406</c:v>
                </c:pt>
                <c:pt idx="87">
                  <c:v>1.157535378513368</c:v>
                </c:pt>
                <c:pt idx="88">
                  <c:v>1.1557878758201938</c:v>
                </c:pt>
                <c:pt idx="89">
                  <c:v>1.1418660023504066</c:v>
                </c:pt>
                <c:pt idx="90">
                  <c:v>1.1300129762021349</c:v>
                </c:pt>
                <c:pt idx="91">
                  <c:v>1.13345289393791</c:v>
                </c:pt>
                <c:pt idx="92">
                  <c:v>1.1284766428361572</c:v>
                </c:pt>
                <c:pt idx="93">
                  <c:v>1.1359104152384685</c:v>
                </c:pt>
                <c:pt idx="94">
                  <c:v>1.1322501469004016</c:v>
                </c:pt>
                <c:pt idx="95">
                  <c:v>1.1090184604837918</c:v>
                </c:pt>
                <c:pt idx="96">
                  <c:v>1.1093061404367839</c:v>
                </c:pt>
                <c:pt idx="97">
                  <c:v>1.0954515963176965</c:v>
                </c:pt>
                <c:pt idx="98">
                  <c:v>1.0925472529624916</c:v>
                </c:pt>
                <c:pt idx="99">
                  <c:v>1.0548397561453335</c:v>
                </c:pt>
                <c:pt idx="100">
                  <c:v>1.0851899911859759</c:v>
                </c:pt>
                <c:pt idx="101">
                  <c:v>1.0929971354421701</c:v>
                </c:pt>
                <c:pt idx="102">
                  <c:v>1.0864845509744394</c:v>
                </c:pt>
                <c:pt idx="103">
                  <c:v>1.0696766966996376</c:v>
                </c:pt>
                <c:pt idx="104">
                  <c:v>1.0487342082068358</c:v>
                </c:pt>
                <c:pt idx="105">
                  <c:v>1.020422216237391</c:v>
                </c:pt>
                <c:pt idx="106">
                  <c:v>1.0188399764959357</c:v>
                </c:pt>
                <c:pt idx="107">
                  <c:v>1.0202661345607678</c:v>
                </c:pt>
                <c:pt idx="108">
                  <c:v>1.0332362158456567</c:v>
                </c:pt>
                <c:pt idx="109">
                  <c:v>1.0786376211928312</c:v>
                </c:pt>
                <c:pt idx="110">
                  <c:v>1.0650829987268631</c:v>
                </c:pt>
                <c:pt idx="111">
                  <c:v>1.0704234404074038</c:v>
                </c:pt>
                <c:pt idx="112">
                  <c:v>1.079711830379003</c:v>
                </c:pt>
                <c:pt idx="113">
                  <c:v>1.0630967828812066</c:v>
                </c:pt>
                <c:pt idx="114">
                  <c:v>1.0610248751346587</c:v>
                </c:pt>
                <c:pt idx="115">
                  <c:v>1.0341757663304281</c:v>
                </c:pt>
                <c:pt idx="116">
                  <c:v>1.03392787190285</c:v>
                </c:pt>
                <c:pt idx="117">
                  <c:v>1.0039510087160906</c:v>
                </c:pt>
                <c:pt idx="118">
                  <c:v>1.0254566154147486</c:v>
                </c:pt>
                <c:pt idx="119">
                  <c:v>1.0483914406032711</c:v>
                </c:pt>
                <c:pt idx="120">
                  <c:v>1.0286241553226914</c:v>
                </c:pt>
                <c:pt idx="121">
                  <c:v>1.0719077465478406</c:v>
                </c:pt>
                <c:pt idx="122">
                  <c:v>1.0712742385662521</c:v>
                </c:pt>
                <c:pt idx="123">
                  <c:v>1.0709131084124963</c:v>
                </c:pt>
                <c:pt idx="124">
                  <c:v>1.0551825237488983</c:v>
                </c:pt>
                <c:pt idx="125">
                  <c:v>1.0550723484477524</c:v>
                </c:pt>
                <c:pt idx="126">
                  <c:v>1.0257657183429636</c:v>
                </c:pt>
                <c:pt idx="127">
                  <c:v>1.0116938840466163</c:v>
                </c:pt>
                <c:pt idx="128">
                  <c:v>1.0362843991773578</c:v>
                </c:pt>
                <c:pt idx="129">
                  <c:v>1.0049211634511801</c:v>
                </c:pt>
                <c:pt idx="130">
                  <c:v>1.0136433747918911</c:v>
                </c:pt>
                <c:pt idx="131">
                  <c:v>1.000927308784644</c:v>
                </c:pt>
                <c:pt idx="132">
                  <c:v>0.99196026344138677</c:v>
                </c:pt>
                <c:pt idx="133">
                  <c:v>0.95963299383018308</c:v>
                </c:pt>
                <c:pt idx="134">
                  <c:v>0.97049750269317403</c:v>
                </c:pt>
                <c:pt idx="135">
                  <c:v>0.96808588776809312</c:v>
                </c:pt>
                <c:pt idx="136">
                  <c:v>0.95941876407795512</c:v>
                </c:pt>
                <c:pt idx="137">
                  <c:v>0.93956272647145234</c:v>
                </c:pt>
                <c:pt idx="138">
                  <c:v>0.93093538830672806</c:v>
                </c:pt>
                <c:pt idx="139">
                  <c:v>0.91400511703065324</c:v>
                </c:pt>
                <c:pt idx="140">
                  <c:v>0.91831419547546767</c:v>
                </c:pt>
                <c:pt idx="141">
                  <c:v>0.94646704534325721</c:v>
                </c:pt>
                <c:pt idx="142">
                  <c:v>0.93604017725981792</c:v>
                </c:pt>
                <c:pt idx="143">
                  <c:v>0.97111264812457154</c:v>
                </c:pt>
                <c:pt idx="144">
                  <c:v>0.96011960141024388</c:v>
                </c:pt>
                <c:pt idx="145">
                  <c:v>0.97344163157379293</c:v>
                </c:pt>
                <c:pt idx="146">
                  <c:v>0.98836120360395641</c:v>
                </c:pt>
                <c:pt idx="147">
                  <c:v>0.9837460826559592</c:v>
                </c:pt>
                <c:pt idx="148">
                  <c:v>0.9594095828028596</c:v>
                </c:pt>
                <c:pt idx="149">
                  <c:v>0.98264739006953294</c:v>
                </c:pt>
                <c:pt idx="150">
                  <c:v>0.97762523259230238</c:v>
                </c:pt>
                <c:pt idx="151">
                  <c:v>1.0238682548232299</c:v>
                </c:pt>
                <c:pt idx="152">
                  <c:v>1.0402996768191166</c:v>
                </c:pt>
                <c:pt idx="153">
                  <c:v>1.0499736803447262</c:v>
                </c:pt>
                <c:pt idx="154">
                  <c:v>1.0235989374204291</c:v>
                </c:pt>
                <c:pt idx="155">
                  <c:v>1.0079081382822448</c:v>
                </c:pt>
                <c:pt idx="156">
                  <c:v>1.0383716090490647</c:v>
                </c:pt>
                <c:pt idx="157">
                  <c:v>1.0489423171090002</c:v>
                </c:pt>
                <c:pt idx="158">
                  <c:v>1.0322630006855353</c:v>
                </c:pt>
                <c:pt idx="159">
                  <c:v>1.0485873078053081</c:v>
                </c:pt>
                <c:pt idx="160">
                  <c:v>1.0657624130839292</c:v>
                </c:pt>
                <c:pt idx="161">
                  <c:v>1.0794669963764567</c:v>
                </c:pt>
                <c:pt idx="162">
                  <c:v>1.058916242287729</c:v>
                </c:pt>
                <c:pt idx="163">
                  <c:v>1.0572360689452551</c:v>
                </c:pt>
                <c:pt idx="164">
                  <c:v>1.0553845118009988</c:v>
                </c:pt>
                <c:pt idx="165">
                  <c:v>1.0391979238076583</c:v>
                </c:pt>
                <c:pt idx="166">
                  <c:v>1.053275878954069</c:v>
                </c:pt>
                <c:pt idx="167">
                  <c:v>1.072685094505925</c:v>
                </c:pt>
                <c:pt idx="168">
                  <c:v>1.0550203212222113</c:v>
                </c:pt>
                <c:pt idx="169">
                  <c:v>1.0569300264420722</c:v>
                </c:pt>
                <c:pt idx="170">
                  <c:v>1.0758495739888356</c:v>
                </c:pt>
                <c:pt idx="171">
                  <c:v>1.0937224561747136</c:v>
                </c:pt>
                <c:pt idx="172">
                  <c:v>1.091200665948487</c:v>
                </c:pt>
                <c:pt idx="173">
                  <c:v>1.0866314513759672</c:v>
                </c:pt>
                <c:pt idx="174">
                  <c:v>1.076896239349721</c:v>
                </c:pt>
                <c:pt idx="175">
                  <c:v>1.0693737146214866</c:v>
                </c:pt>
                <c:pt idx="176">
                  <c:v>1.0552345509744394</c:v>
                </c:pt>
                <c:pt idx="177">
                  <c:v>1.043023455097444</c:v>
                </c:pt>
                <c:pt idx="178">
                  <c:v>1.0287618744491236</c:v>
                </c:pt>
                <c:pt idx="179">
                  <c:v>1.0093495984722358</c:v>
                </c:pt>
                <c:pt idx="180">
                  <c:v>1.0519905004407013</c:v>
                </c:pt>
                <c:pt idx="181">
                  <c:v>1.0468306238370384</c:v>
                </c:pt>
                <c:pt idx="182">
                  <c:v>1.017514812457154</c:v>
                </c:pt>
                <c:pt idx="183">
                  <c:v>1.0532330330036235</c:v>
                </c:pt>
                <c:pt idx="184">
                  <c:v>1.0487464499069632</c:v>
                </c:pt>
                <c:pt idx="185">
                  <c:v>1.0178943051611007</c:v>
                </c:pt>
                <c:pt idx="186">
                  <c:v>1.0782734306140438</c:v>
                </c:pt>
                <c:pt idx="187">
                  <c:v>1.1162624865341297</c:v>
                </c:pt>
                <c:pt idx="188">
                  <c:v>1.1167705170894133</c:v>
                </c:pt>
                <c:pt idx="189">
                  <c:v>1.105612207423367</c:v>
                </c:pt>
                <c:pt idx="190">
                  <c:v>1.1040881157575164</c:v>
                </c:pt>
                <c:pt idx="191">
                  <c:v>1.0723606894525513</c:v>
                </c:pt>
                <c:pt idx="192">
                  <c:v>1.087488370384879</c:v>
                </c:pt>
                <c:pt idx="193">
                  <c:v>1.0896735138576046</c:v>
                </c:pt>
                <c:pt idx="194">
                  <c:v>1.0991363480560179</c:v>
                </c:pt>
                <c:pt idx="195">
                  <c:v>1.0795802321026344</c:v>
                </c:pt>
                <c:pt idx="196">
                  <c:v>1.0960085936734894</c:v>
                </c:pt>
                <c:pt idx="197">
                  <c:v>1.0856735383410048</c:v>
                </c:pt>
                <c:pt idx="198">
                  <c:v>1.0998433062383706</c:v>
                </c:pt>
                <c:pt idx="199">
                  <c:v>1.1292845950445598</c:v>
                </c:pt>
                <c:pt idx="200">
                  <c:v>1.1177376113994713</c:v>
                </c:pt>
                <c:pt idx="201">
                  <c:v>1.103310767799432</c:v>
                </c:pt>
                <c:pt idx="202">
                  <c:v>1.1031455048477132</c:v>
                </c:pt>
                <c:pt idx="203">
                  <c:v>1.1027690725687984</c:v>
                </c:pt>
                <c:pt idx="204">
                  <c:v>1.1001768925668396</c:v>
                </c:pt>
                <c:pt idx="205">
                  <c:v>1.0838250416217805</c:v>
                </c:pt>
                <c:pt idx="206">
                  <c:v>1.0759077220644404</c:v>
                </c:pt>
                <c:pt idx="207">
                  <c:v>1.0551396777984527</c:v>
                </c:pt>
                <c:pt idx="208">
                  <c:v>1.053973655861326</c:v>
                </c:pt>
                <c:pt idx="209">
                  <c:v>1.0523424493193616</c:v>
                </c:pt>
                <c:pt idx="210">
                  <c:v>1.0546316472431692</c:v>
                </c:pt>
                <c:pt idx="211">
                  <c:v>1.0424848202918422</c:v>
                </c:pt>
                <c:pt idx="212">
                  <c:v>1.0734165360885319</c:v>
                </c:pt>
                <c:pt idx="213">
                  <c:v>1.0612727695622368</c:v>
                </c:pt>
                <c:pt idx="214">
                  <c:v>1.0563699686612478</c:v>
                </c:pt>
                <c:pt idx="215">
                  <c:v>1.0790875036725101</c:v>
                </c:pt>
                <c:pt idx="216">
                  <c:v>1.0600822642248555</c:v>
                </c:pt>
                <c:pt idx="217">
                  <c:v>1.0533615708549604</c:v>
                </c:pt>
                <c:pt idx="218">
                  <c:v>1.0845166976789735</c:v>
                </c:pt>
                <c:pt idx="219">
                  <c:v>1.0845779061796104</c:v>
                </c:pt>
                <c:pt idx="220">
                  <c:v>1.0974898393888943</c:v>
                </c:pt>
                <c:pt idx="221">
                  <c:v>1.0992495837821958</c:v>
                </c:pt>
                <c:pt idx="222">
                  <c:v>1.0953322397414553</c:v>
                </c:pt>
                <c:pt idx="223">
                  <c:v>1.0977775193418862</c:v>
                </c:pt>
                <c:pt idx="224">
                  <c:v>1.1132357261776515</c:v>
                </c:pt>
                <c:pt idx="225">
                  <c:v>1.1197452502203507</c:v>
                </c:pt>
                <c:pt idx="226">
                  <c:v>1.0893858339046127</c:v>
                </c:pt>
                <c:pt idx="227">
                  <c:v>1.052868842424836</c:v>
                </c:pt>
                <c:pt idx="228">
                  <c:v>1.0553141220252669</c:v>
                </c:pt>
                <c:pt idx="229">
                  <c:v>1.0698633826265793</c:v>
                </c:pt>
                <c:pt idx="230">
                  <c:v>1.0714333806679071</c:v>
                </c:pt>
                <c:pt idx="231">
                  <c:v>1.0540562873371855</c:v>
                </c:pt>
                <c:pt idx="232">
                  <c:v>1.0553600284007443</c:v>
                </c:pt>
                <c:pt idx="233">
                  <c:v>1.0455238223484478</c:v>
                </c:pt>
                <c:pt idx="234">
                  <c:v>1.0415819949074527</c:v>
                </c:pt>
                <c:pt idx="235">
                  <c:v>1.0111919743413966</c:v>
                </c:pt>
                <c:pt idx="236">
                  <c:v>1.0126364949564195</c:v>
                </c:pt>
                <c:pt idx="237">
                  <c:v>1.0010130006855351</c:v>
                </c:pt>
                <c:pt idx="238">
                  <c:v>1.001710777592792</c:v>
                </c:pt>
                <c:pt idx="239">
                  <c:v>1.0109593820389775</c:v>
                </c:pt>
                <c:pt idx="240">
                  <c:v>1.0097688767015964</c:v>
                </c:pt>
                <c:pt idx="241">
                  <c:v>1.0173893350308492</c:v>
                </c:pt>
                <c:pt idx="242">
                  <c:v>1.0164191802957594</c:v>
                </c:pt>
                <c:pt idx="243">
                  <c:v>1.0070389775732054</c:v>
                </c:pt>
                <c:pt idx="244">
                  <c:v>1.0019739741455294</c:v>
                </c:pt>
                <c:pt idx="245">
                  <c:v>0.99746596807364596</c:v>
                </c:pt>
                <c:pt idx="246">
                  <c:v>0.97858314562726467</c:v>
                </c:pt>
                <c:pt idx="247">
                  <c:v>0.92275793262168249</c:v>
                </c:pt>
                <c:pt idx="248">
                  <c:v>0.93293384585251204</c:v>
                </c:pt>
                <c:pt idx="249">
                  <c:v>0.92450237488982467</c:v>
                </c:pt>
                <c:pt idx="250">
                  <c:v>0.92731490549407503</c:v>
                </c:pt>
                <c:pt idx="251">
                  <c:v>0.90421175692880229</c:v>
                </c:pt>
                <c:pt idx="252">
                  <c:v>0.94237831750073442</c:v>
                </c:pt>
                <c:pt idx="253">
                  <c:v>0.94189170992067384</c:v>
                </c:pt>
                <c:pt idx="254">
                  <c:v>0.92583672020370189</c:v>
                </c:pt>
                <c:pt idx="255">
                  <c:v>0.91830195377534041</c:v>
                </c:pt>
                <c:pt idx="256">
                  <c:v>0.91881304475565562</c:v>
                </c:pt>
                <c:pt idx="257">
                  <c:v>0.92801574282636368</c:v>
                </c:pt>
                <c:pt idx="258">
                  <c:v>0.89831125746743712</c:v>
                </c:pt>
                <c:pt idx="259">
                  <c:v>0.93440897071785323</c:v>
                </c:pt>
                <c:pt idx="260">
                  <c:v>0.94253133875232586</c:v>
                </c:pt>
                <c:pt idx="261">
                  <c:v>0.9212981098815004</c:v>
                </c:pt>
                <c:pt idx="262">
                  <c:v>0.90839535794731163</c:v>
                </c:pt>
                <c:pt idx="263">
                  <c:v>0.93188105964156309</c:v>
                </c:pt>
                <c:pt idx="264">
                  <c:v>0.91008165213984915</c:v>
                </c:pt>
                <c:pt idx="265">
                  <c:v>0.91529967681911673</c:v>
                </c:pt>
                <c:pt idx="266">
                  <c:v>0.90962870923513861</c:v>
                </c:pt>
                <c:pt idx="267">
                  <c:v>0.90547265204191563</c:v>
                </c:pt>
                <c:pt idx="268">
                  <c:v>0.86855168445793762</c:v>
                </c:pt>
                <c:pt idx="269">
                  <c:v>0.88233889922632458</c:v>
                </c:pt>
                <c:pt idx="270">
                  <c:v>0.84960153266085603</c:v>
                </c:pt>
                <c:pt idx="271">
                  <c:v>0.87196711879345812</c:v>
                </c:pt>
                <c:pt idx="272">
                  <c:v>0.89092339144060329</c:v>
                </c:pt>
                <c:pt idx="273">
                  <c:v>0.91737770541572816</c:v>
                </c:pt>
                <c:pt idx="274">
                  <c:v>0.94214572519831552</c:v>
                </c:pt>
                <c:pt idx="275">
                  <c:v>0.90654686122808736</c:v>
                </c:pt>
                <c:pt idx="276">
                  <c:v>0.90485444618548627</c:v>
                </c:pt>
                <c:pt idx="277">
                  <c:v>0.89879786504749781</c:v>
                </c:pt>
                <c:pt idx="278">
                  <c:v>0.92676096856331414</c:v>
                </c:pt>
                <c:pt idx="279">
                  <c:v>0.96131622759768875</c:v>
                </c:pt>
                <c:pt idx="280">
                  <c:v>0.9347578591714818</c:v>
                </c:pt>
                <c:pt idx="281">
                  <c:v>0.89118964841837234</c:v>
                </c:pt>
                <c:pt idx="282">
                  <c:v>0.90382920379982379</c:v>
                </c:pt>
                <c:pt idx="283">
                  <c:v>0.91406632553128975</c:v>
                </c:pt>
                <c:pt idx="284">
                  <c:v>0.93641966996376458</c:v>
                </c:pt>
                <c:pt idx="285">
                  <c:v>0.94071344628341991</c:v>
                </c:pt>
                <c:pt idx="286">
                  <c:v>0.92955819704240528</c:v>
                </c:pt>
                <c:pt idx="287">
                  <c:v>0.89644745862305353</c:v>
                </c:pt>
                <c:pt idx="288">
                  <c:v>0.87866332876309872</c:v>
                </c:pt>
                <c:pt idx="289">
                  <c:v>0.84350210557242189</c:v>
                </c:pt>
                <c:pt idx="290">
                  <c:v>0.88121572323964348</c:v>
                </c:pt>
                <c:pt idx="291">
                  <c:v>0.9319269660170405</c:v>
                </c:pt>
                <c:pt idx="292">
                  <c:v>0.9252307560473999</c:v>
                </c:pt>
                <c:pt idx="293">
                  <c:v>0.90358436979727741</c:v>
                </c:pt>
                <c:pt idx="294">
                  <c:v>0.92837075213005582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E97-91BE-9D9459F478C2}"/>
            </c:ext>
          </c:extLst>
        </c:ser>
        <c:ser>
          <c:idx val="0"/>
          <c:order val="2"/>
          <c:tx>
            <c:strRef>
              <c:f>'Graf 7+8'!$I$10</c:f>
              <c:strCache>
                <c:ptCount val="1"/>
                <c:pt idx="0">
                  <c:v>DAX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32-4E97-91BE-9D9459F478C2}"/>
              </c:ext>
            </c:extLst>
          </c:dPt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7+8'!$K$10:$KT$10</c:f>
              <c:numCache>
                <c:formatCode>0.0</c:formatCode>
                <c:ptCount val="296"/>
                <c:pt idx="0">
                  <c:v>1.4755408400438983</c:v>
                </c:pt>
                <c:pt idx="1">
                  <c:v>1.471472147936193</c:v>
                </c:pt>
                <c:pt idx="2">
                  <c:v>1.487240540593372</c:v>
                </c:pt>
                <c:pt idx="3">
                  <c:v>1.4671353745365592</c:v>
                </c:pt>
                <c:pt idx="4">
                  <c:v>1.4469306088330922</c:v>
                </c:pt>
                <c:pt idx="5">
                  <c:v>1.4585567731948494</c:v>
                </c:pt>
                <c:pt idx="6">
                  <c:v>1.4465508270028604</c:v>
                </c:pt>
                <c:pt idx="7">
                  <c:v>1.4602918548898307</c:v>
                </c:pt>
                <c:pt idx="8">
                  <c:v>1.4567695645819934</c:v>
                </c:pt>
                <c:pt idx="9">
                  <c:v>1.45284887568754</c:v>
                </c:pt>
                <c:pt idx="10">
                  <c:v>1.4379619864451398</c:v>
                </c:pt>
                <c:pt idx="11">
                  <c:v>1.4607889222852812</c:v>
                </c:pt>
                <c:pt idx="12">
                  <c:v>1.460754481285971</c:v>
                </c:pt>
                <c:pt idx="13">
                  <c:v>1.444658433716435</c:v>
                </c:pt>
                <c:pt idx="14">
                  <c:v>1.4369818142215263</c:v>
                </c:pt>
                <c:pt idx="15">
                  <c:v>1.4350391556928643</c:v>
                </c:pt>
                <c:pt idx="16">
                  <c:v>1.4334576622380506</c:v>
                </c:pt>
                <c:pt idx="17">
                  <c:v>1.4089077455945773</c:v>
                </c:pt>
                <c:pt idx="18">
                  <c:v>1.422284815894242</c:v>
                </c:pt>
                <c:pt idx="19">
                  <c:v>1.439051997531418</c:v>
                </c:pt>
                <c:pt idx="20">
                  <c:v>1.4180532271681772</c:v>
                </c:pt>
                <c:pt idx="21">
                  <c:v>1.4062325177022081</c:v>
                </c:pt>
                <c:pt idx="22">
                  <c:v>1.3728871145051527</c:v>
                </c:pt>
                <c:pt idx="23">
                  <c:v>1.36097797544636</c:v>
                </c:pt>
                <c:pt idx="24">
                  <c:v>1.3499373080728772</c:v>
                </c:pt>
                <c:pt idx="25">
                  <c:v>1.2957904721302502</c:v>
                </c:pt>
                <c:pt idx="26">
                  <c:v>1.2832800118402572</c:v>
                </c:pt>
                <c:pt idx="27">
                  <c:v>1.3025427696706975</c:v>
                </c:pt>
                <c:pt idx="28">
                  <c:v>1.3078168967542616</c:v>
                </c:pt>
                <c:pt idx="29">
                  <c:v>1.3084526589847723</c:v>
                </c:pt>
                <c:pt idx="30">
                  <c:v>1.2503823416342348</c:v>
                </c:pt>
                <c:pt idx="31">
                  <c:v>1.2914415978389668</c:v>
                </c:pt>
                <c:pt idx="32">
                  <c:v>1.2834140524862212</c:v>
                </c:pt>
                <c:pt idx="33">
                  <c:v>1.3077833865927706</c:v>
                </c:pt>
                <c:pt idx="34">
                  <c:v>1.2769959257228654</c:v>
                </c:pt>
                <c:pt idx="35">
                  <c:v>1.264750754211343</c:v>
                </c:pt>
                <c:pt idx="36">
                  <c:v>1.2687794202928229</c:v>
                </c:pt>
                <c:pt idx="37">
                  <c:v>1.2207286412281102</c:v>
                </c:pt>
                <c:pt idx="38">
                  <c:v>1.2379174923973819</c:v>
                </c:pt>
                <c:pt idx="39">
                  <c:v>1.2413355288694696</c:v>
                </c:pt>
                <c:pt idx="40">
                  <c:v>1.2228649140231649</c:v>
                </c:pt>
                <c:pt idx="41">
                  <c:v>1.2172305527035718</c:v>
                </c:pt>
                <c:pt idx="42">
                  <c:v>1.1616874600321512</c:v>
                </c:pt>
                <c:pt idx="43">
                  <c:v>1.0757208640781308</c:v>
                </c:pt>
                <c:pt idx="44">
                  <c:v>1.1771142352096851</c:v>
                </c:pt>
                <c:pt idx="45">
                  <c:v>1.2016176099621987</c:v>
                </c:pt>
                <c:pt idx="46">
                  <c:v>1.2148578471024414</c:v>
                </c:pt>
                <c:pt idx="47">
                  <c:v>1.1811438321289844</c:v>
                </c:pt>
                <c:pt idx="48">
                  <c:v>1.1606802935117813</c:v>
                </c:pt>
                <c:pt idx="49">
                  <c:v>1.2209101546028533</c:v>
                </c:pt>
                <c:pt idx="50">
                  <c:v>1.2289702792792709</c:v>
                </c:pt>
                <c:pt idx="51">
                  <c:v>1.1954433627074721</c:v>
                </c:pt>
                <c:pt idx="52">
                  <c:v>1.2131795465144313</c:v>
                </c:pt>
                <c:pt idx="53">
                  <c:v>1.1881958594472126</c:v>
                </c:pt>
                <c:pt idx="54">
                  <c:v>1.2009055190305138</c:v>
                </c:pt>
                <c:pt idx="55">
                  <c:v>1.1798257657770028</c:v>
                </c:pt>
                <c:pt idx="56">
                  <c:v>1.146174116937432</c:v>
                </c:pt>
                <c:pt idx="57">
                  <c:v>1.1950151773106419</c:v>
                </c:pt>
                <c:pt idx="58">
                  <c:v>1.2026061597261848</c:v>
                </c:pt>
                <c:pt idx="59">
                  <c:v>1.1759935064753733</c:v>
                </c:pt>
                <c:pt idx="60">
                  <c:v>1.1661703749693988</c:v>
                </c:pt>
                <c:pt idx="61">
                  <c:v>1.1253261423009007</c:v>
                </c:pt>
                <c:pt idx="62">
                  <c:v>1.1477937747428328</c:v>
                </c:pt>
                <c:pt idx="63">
                  <c:v>1.1122841736161466</c:v>
                </c:pt>
                <c:pt idx="64">
                  <c:v>1.1959106432927085</c:v>
                </c:pt>
                <c:pt idx="65">
                  <c:v>1.0785478185350288</c:v>
                </c:pt>
                <c:pt idx="66">
                  <c:v>1.0307977000859163</c:v>
                </c:pt>
                <c:pt idx="67">
                  <c:v>0.97413760203146049</c:v>
                </c:pt>
                <c:pt idx="68">
                  <c:v>1.0150302382665566</c:v>
                </c:pt>
                <c:pt idx="69">
                  <c:v>1.0110425290491212</c:v>
                </c:pt>
                <c:pt idx="70">
                  <c:v>0.96212234746127945</c:v>
                </c:pt>
                <c:pt idx="71">
                  <c:v>0.9890877882455662</c:v>
                </c:pt>
                <c:pt idx="72">
                  <c:v>0.98340595419719423</c:v>
                </c:pt>
                <c:pt idx="73">
                  <c:v>0.88669469729619543</c:v>
                </c:pt>
                <c:pt idx="74">
                  <c:v>0.89663139101611189</c:v>
                </c:pt>
                <c:pt idx="75">
                  <c:v>0.83114043457094433</c:v>
                </c:pt>
                <c:pt idx="76">
                  <c:v>0.85935692138423025</c:v>
                </c:pt>
                <c:pt idx="77">
                  <c:v>1.0743609100242857</c:v>
                </c:pt>
                <c:pt idx="78">
                  <c:v>1.1067987463476252</c:v>
                </c:pt>
                <c:pt idx="79">
                  <c:v>1.2640153923341781</c:v>
                </c:pt>
                <c:pt idx="80">
                  <c:v>1.2793630462970804</c:v>
                </c:pt>
                <c:pt idx="81">
                  <c:v>1.2579165429428065</c:v>
                </c:pt>
                <c:pt idx="82">
                  <c:v>1.2084108643666904</c:v>
                </c:pt>
                <c:pt idx="83">
                  <c:v>1.2637687203120913</c:v>
                </c:pt>
                <c:pt idx="84">
                  <c:v>1.2590633351360558</c:v>
                </c:pt>
                <c:pt idx="85">
                  <c:v>1.255077487594259</c:v>
                </c:pt>
                <c:pt idx="86">
                  <c:v>1.2304875449245603</c:v>
                </c:pt>
                <c:pt idx="87">
                  <c:v>1.2414686386776146</c:v>
                </c:pt>
                <c:pt idx="88">
                  <c:v>1.2397735830088588</c:v>
                </c:pt>
                <c:pt idx="89">
                  <c:v>1.2364058117790078</c:v>
                </c:pt>
                <c:pt idx="90">
                  <c:v>1.2255950613468665</c:v>
                </c:pt>
                <c:pt idx="91">
                  <c:v>1.2320923093248539</c:v>
                </c:pt>
                <c:pt idx="92">
                  <c:v>1.2253437351356835</c:v>
                </c:pt>
                <c:pt idx="93">
                  <c:v>1.2325921692337622</c:v>
                </c:pt>
                <c:pt idx="94">
                  <c:v>1.2313643941502428</c:v>
                </c:pt>
                <c:pt idx="95">
                  <c:v>1.2064635516489326</c:v>
                </c:pt>
                <c:pt idx="96">
                  <c:v>1.2002697568000029</c:v>
                </c:pt>
                <c:pt idx="97">
                  <c:v>1.1759832672593622</c:v>
                </c:pt>
                <c:pt idx="98">
                  <c:v>1.1646317000542679</c:v>
                </c:pt>
                <c:pt idx="99">
                  <c:v>1.1181977862814982</c:v>
                </c:pt>
                <c:pt idx="100">
                  <c:v>1.152464718919558</c:v>
                </c:pt>
                <c:pt idx="101">
                  <c:v>1.1605695238112967</c:v>
                </c:pt>
                <c:pt idx="102">
                  <c:v>1.1606179273778952</c:v>
                </c:pt>
                <c:pt idx="103">
                  <c:v>1.1348523365425518</c:v>
                </c:pt>
                <c:pt idx="104">
                  <c:v>1.1113533357969507</c:v>
                </c:pt>
                <c:pt idx="105">
                  <c:v>1.080843264597166</c:v>
                </c:pt>
                <c:pt idx="106">
                  <c:v>1.0763035685529474</c:v>
                </c:pt>
                <c:pt idx="107">
                  <c:v>1.0885031290113292</c:v>
                </c:pt>
                <c:pt idx="108">
                  <c:v>1.1051316158134452</c:v>
                </c:pt>
                <c:pt idx="109">
                  <c:v>1.1560912630631452</c:v>
                </c:pt>
                <c:pt idx="110">
                  <c:v>1.1412136821989367</c:v>
                </c:pt>
                <c:pt idx="111">
                  <c:v>1.147101231405351</c:v>
                </c:pt>
                <c:pt idx="112">
                  <c:v>1.1699263055698543</c:v>
                </c:pt>
                <c:pt idx="113">
                  <c:v>1.1541271952646417</c:v>
                </c:pt>
                <c:pt idx="114">
                  <c:v>1.1486464221852162</c:v>
                </c:pt>
                <c:pt idx="115">
                  <c:v>1.125978659612157</c:v>
                </c:pt>
                <c:pt idx="116">
                  <c:v>1.1212295250586195</c:v>
                </c:pt>
                <c:pt idx="117">
                  <c:v>1.0915786171659525</c:v>
                </c:pt>
                <c:pt idx="118">
                  <c:v>1.1180330279875008</c:v>
                </c:pt>
                <c:pt idx="119">
                  <c:v>1.1392468218869758</c:v>
                </c:pt>
                <c:pt idx="120">
                  <c:v>1.1225745857073577</c:v>
                </c:pt>
                <c:pt idx="121">
                  <c:v>1.1554257140224202</c:v>
                </c:pt>
                <c:pt idx="122">
                  <c:v>1.1463435294205255</c:v>
                </c:pt>
                <c:pt idx="123">
                  <c:v>1.1377062852962065</c:v>
                </c:pt>
                <c:pt idx="124">
                  <c:v>1.1169988671703741</c:v>
                </c:pt>
                <c:pt idx="125">
                  <c:v>1.1179129499088245</c:v>
                </c:pt>
                <c:pt idx="126">
                  <c:v>1.0728873937564984</c:v>
                </c:pt>
                <c:pt idx="127">
                  <c:v>1.057819921977174</c:v>
                </c:pt>
                <c:pt idx="128">
                  <c:v>1.0877482195399613</c:v>
                </c:pt>
                <c:pt idx="129">
                  <c:v>1.0665390798295822</c:v>
                </c:pt>
                <c:pt idx="130">
                  <c:v>1.0799282510208963</c:v>
                </c:pt>
                <c:pt idx="131">
                  <c:v>1.0665260481001135</c:v>
                </c:pt>
                <c:pt idx="132">
                  <c:v>1.0518281189350098</c:v>
                </c:pt>
                <c:pt idx="133">
                  <c:v>1.0152443309649717</c:v>
                </c:pt>
                <c:pt idx="134">
                  <c:v>1.0407381171571095</c:v>
                </c:pt>
                <c:pt idx="135">
                  <c:v>1.050151680022638</c:v>
                </c:pt>
                <c:pt idx="136">
                  <c:v>1.043054041651269</c:v>
                </c:pt>
                <c:pt idx="137">
                  <c:v>1.013445952298285</c:v>
                </c:pt>
                <c:pt idx="138">
                  <c:v>1.0022973077377755</c:v>
                </c:pt>
                <c:pt idx="139">
                  <c:v>0.98286792993769889</c:v>
                </c:pt>
                <c:pt idx="140">
                  <c:v>0.98983618185219968</c:v>
                </c:pt>
                <c:pt idx="141">
                  <c:v>1.0114269650684491</c:v>
                </c:pt>
                <c:pt idx="142">
                  <c:v>1.0041962168889351</c:v>
                </c:pt>
                <c:pt idx="143">
                  <c:v>1.0478664731765119</c:v>
                </c:pt>
                <c:pt idx="144">
                  <c:v>1.0418579150536023</c:v>
                </c:pt>
                <c:pt idx="145">
                  <c:v>1.055663170750097</c:v>
                </c:pt>
                <c:pt idx="146">
                  <c:v>1.0731778151560876</c:v>
                </c:pt>
                <c:pt idx="147">
                  <c:v>1.0722311530939652</c:v>
                </c:pt>
                <c:pt idx="148">
                  <c:v>1.0425960694442247</c:v>
                </c:pt>
                <c:pt idx="149">
                  <c:v>1.0754741920560438</c:v>
                </c:pt>
                <c:pt idx="150">
                  <c:v>1.0726798169228176</c:v>
                </c:pt>
                <c:pt idx="151">
                  <c:v>1.1274214582319106</c:v>
                </c:pt>
                <c:pt idx="152">
                  <c:v>1.1399719445481293</c:v>
                </c:pt>
                <c:pt idx="153">
                  <c:v>1.1571133229886224</c:v>
                </c:pt>
                <c:pt idx="154">
                  <c:v>1.1285784896411712</c:v>
                </c:pt>
                <c:pt idx="155">
                  <c:v>1.1132475907590145</c:v>
                </c:pt>
                <c:pt idx="156">
                  <c:v>1.1508934646807552</c:v>
                </c:pt>
                <c:pt idx="157">
                  <c:v>1.1537287966780261</c:v>
                </c:pt>
                <c:pt idx="158">
                  <c:v>1.1366041733182786</c:v>
                </c:pt>
                <c:pt idx="159">
                  <c:v>1.1565054858926875</c:v>
                </c:pt>
                <c:pt idx="160">
                  <c:v>1.1743226525899166</c:v>
                </c:pt>
                <c:pt idx="161">
                  <c:v>1.1970946689987256</c:v>
                </c:pt>
                <c:pt idx="162">
                  <c:v>1.1692644798804059</c:v>
                </c:pt>
                <c:pt idx="163">
                  <c:v>1.1673385764324895</c:v>
                </c:pt>
                <c:pt idx="164">
                  <c:v>1.1631907631101526</c:v>
                </c:pt>
                <c:pt idx="165">
                  <c:v>1.1454890203025037</c:v>
                </c:pt>
                <c:pt idx="166">
                  <c:v>1.1709679130895345</c:v>
                </c:pt>
                <c:pt idx="167">
                  <c:v>1.2110711988539524</c:v>
                </c:pt>
                <c:pt idx="168">
                  <c:v>1.188358756065572</c:v>
                </c:pt>
                <c:pt idx="169">
                  <c:v>1.1844231737660116</c:v>
                </c:pt>
                <c:pt idx="170">
                  <c:v>1.2043189013135052</c:v>
                </c:pt>
                <c:pt idx="171">
                  <c:v>1.2173236364854914</c:v>
                </c:pt>
                <c:pt idx="172">
                  <c:v>1.2102045888442809</c:v>
                </c:pt>
                <c:pt idx="173">
                  <c:v>1.1932968506964063</c:v>
                </c:pt>
                <c:pt idx="174">
                  <c:v>1.1710749594387422</c:v>
                </c:pt>
                <c:pt idx="175">
                  <c:v>1.1673171671626481</c:v>
                </c:pt>
                <c:pt idx="176">
                  <c:v>1.158185648156336</c:v>
                </c:pt>
                <c:pt idx="177">
                  <c:v>1.1394637070988485</c:v>
                </c:pt>
                <c:pt idx="178">
                  <c:v>1.1260093772601905</c:v>
                </c:pt>
                <c:pt idx="179">
                  <c:v>1.1064226878686698</c:v>
                </c:pt>
                <c:pt idx="180">
                  <c:v>1.1532689627953432</c:v>
                </c:pt>
                <c:pt idx="181">
                  <c:v>1.1492756685509926</c:v>
                </c:pt>
                <c:pt idx="182">
                  <c:v>1.1089731834932668</c:v>
                </c:pt>
                <c:pt idx="183">
                  <c:v>1.1620383858899881</c:v>
                </c:pt>
                <c:pt idx="184">
                  <c:v>1.1590755291114874</c:v>
                </c:pt>
                <c:pt idx="185">
                  <c:v>1.1270100279158262</c:v>
                </c:pt>
                <c:pt idx="186">
                  <c:v>1.1900910452470954</c:v>
                </c:pt>
                <c:pt idx="187">
                  <c:v>1.2417534750502885</c:v>
                </c:pt>
                <c:pt idx="188">
                  <c:v>1.2505294140096677</c:v>
                </c:pt>
                <c:pt idx="189">
                  <c:v>1.2328974840384586</c:v>
                </c:pt>
                <c:pt idx="190">
                  <c:v>1.2398424650074793</c:v>
                </c:pt>
                <c:pt idx="191">
                  <c:v>1.2024227846758031</c:v>
                </c:pt>
                <c:pt idx="192">
                  <c:v>1.216864733440628</c:v>
                </c:pt>
                <c:pt idx="193">
                  <c:v>1.2197289214102938</c:v>
                </c:pt>
                <c:pt idx="194">
                  <c:v>1.2243961422357421</c:v>
                </c:pt>
                <c:pt idx="195">
                  <c:v>1.1971961303210179</c:v>
                </c:pt>
                <c:pt idx="196">
                  <c:v>1.2156592984647692</c:v>
                </c:pt>
                <c:pt idx="197">
                  <c:v>1.2095055296420649</c:v>
                </c:pt>
                <c:pt idx="198">
                  <c:v>1.2219545546359911</c:v>
                </c:pt>
                <c:pt idx="199">
                  <c:v>1.2546632647647169</c:v>
                </c:pt>
                <c:pt idx="200">
                  <c:v>1.2303386108734891</c:v>
                </c:pt>
                <c:pt idx="201">
                  <c:v>1.2092774743763619</c:v>
                </c:pt>
                <c:pt idx="202">
                  <c:v>1.2093323938076945</c:v>
                </c:pt>
                <c:pt idx="203">
                  <c:v>1.2059878935233235</c:v>
                </c:pt>
                <c:pt idx="204">
                  <c:v>1.1941588065169817</c:v>
                </c:pt>
                <c:pt idx="205">
                  <c:v>1.1721435612551789</c:v>
                </c:pt>
                <c:pt idx="206">
                  <c:v>1.1652981799328122</c:v>
                </c:pt>
                <c:pt idx="207">
                  <c:v>1.1453009910630261</c:v>
                </c:pt>
                <c:pt idx="208">
                  <c:v>1.1302828536881191</c:v>
                </c:pt>
                <c:pt idx="209">
                  <c:v>1.1326378733706848</c:v>
                </c:pt>
                <c:pt idx="210">
                  <c:v>1.1323818929704059</c:v>
                </c:pt>
                <c:pt idx="211">
                  <c:v>1.1183141410088977</c:v>
                </c:pt>
                <c:pt idx="212">
                  <c:v>1.1447182865882093</c:v>
                </c:pt>
                <c:pt idx="213">
                  <c:v>1.1321501143534261</c:v>
                </c:pt>
                <c:pt idx="214">
                  <c:v>1.1393510757227256</c:v>
                </c:pt>
                <c:pt idx="215">
                  <c:v>1.1758082697493533</c:v>
                </c:pt>
                <c:pt idx="216">
                  <c:v>1.1531851873916157</c:v>
                </c:pt>
                <c:pt idx="217">
                  <c:v>1.1472687822128063</c:v>
                </c:pt>
                <c:pt idx="218">
                  <c:v>1.1852739595327566</c:v>
                </c:pt>
                <c:pt idx="219">
                  <c:v>1.187072338199443</c:v>
                </c:pt>
                <c:pt idx="220">
                  <c:v>1.1929356856225581</c:v>
                </c:pt>
                <c:pt idx="221">
                  <c:v>1.1936077505280178</c:v>
                </c:pt>
                <c:pt idx="222">
                  <c:v>1.1730585748314486</c:v>
                </c:pt>
                <c:pt idx="223">
                  <c:v>1.1764570637093328</c:v>
                </c:pt>
                <c:pt idx="224">
                  <c:v>1.1887180594637816</c:v>
                </c:pt>
                <c:pt idx="225">
                  <c:v>1.1837362154554449</c:v>
                </c:pt>
                <c:pt idx="226">
                  <c:v>1.1577770103537091</c:v>
                </c:pt>
                <c:pt idx="227">
                  <c:v>1.1215264623229431</c:v>
                </c:pt>
                <c:pt idx="228">
                  <c:v>1.1271515152643439</c:v>
                </c:pt>
                <c:pt idx="229">
                  <c:v>1.1379548189939317</c:v>
                </c:pt>
                <c:pt idx="230">
                  <c:v>1.1461285058842914</c:v>
                </c:pt>
                <c:pt idx="231">
                  <c:v>1.1229878776990807</c:v>
                </c:pt>
                <c:pt idx="232">
                  <c:v>1.1258706824251303</c:v>
                </c:pt>
                <c:pt idx="233">
                  <c:v>1.113578038184829</c:v>
                </c:pt>
                <c:pt idx="234">
                  <c:v>1.1195521553084284</c:v>
                </c:pt>
                <c:pt idx="235">
                  <c:v>1.0987637542923259</c:v>
                </c:pt>
                <c:pt idx="236">
                  <c:v>1.0943878857042859</c:v>
                </c:pt>
                <c:pt idx="237">
                  <c:v>1.0860056911424265</c:v>
                </c:pt>
                <c:pt idx="238">
                  <c:v>1.0845647541983112</c:v>
                </c:pt>
                <c:pt idx="239">
                  <c:v>1.0997169322191824</c:v>
                </c:pt>
                <c:pt idx="240">
                  <c:v>1.0825764846165087</c:v>
                </c:pt>
                <c:pt idx="241">
                  <c:v>1.0824880550236853</c:v>
                </c:pt>
                <c:pt idx="242">
                  <c:v>1.0796797173231711</c:v>
                </c:pt>
                <c:pt idx="243">
                  <c:v>1.0687004852457551</c:v>
                </c:pt>
                <c:pt idx="244">
                  <c:v>1.0658027871145983</c:v>
                </c:pt>
                <c:pt idx="245">
                  <c:v>1.0615283798488506</c:v>
                </c:pt>
                <c:pt idx="246">
                  <c:v>1.0428762516278025</c:v>
                </c:pt>
                <c:pt idx="247">
                  <c:v>0.97862237864434642</c:v>
                </c:pt>
                <c:pt idx="248">
                  <c:v>0.99592851537883709</c:v>
                </c:pt>
                <c:pt idx="249">
                  <c:v>0.99269757730840791</c:v>
                </c:pt>
                <c:pt idx="250">
                  <c:v>0.99301313132911539</c:v>
                </c:pt>
                <c:pt idx="251">
                  <c:v>0.95495861960474759</c:v>
                </c:pt>
                <c:pt idx="252">
                  <c:v>0.9956418173305247</c:v>
                </c:pt>
                <c:pt idx="253">
                  <c:v>0.99699525551963553</c:v>
                </c:pt>
                <c:pt idx="254">
                  <c:v>0.9848617845464166</c:v>
                </c:pt>
                <c:pt idx="255">
                  <c:v>0.97652892438897487</c:v>
                </c:pt>
                <c:pt idx="256">
                  <c:v>0.97840549343247374</c:v>
                </c:pt>
                <c:pt idx="257">
                  <c:v>0.98919855794605038</c:v>
                </c:pt>
                <c:pt idx="258">
                  <c:v>0.95654476724865745</c:v>
                </c:pt>
                <c:pt idx="259">
                  <c:v>0.98421578309989477</c:v>
                </c:pt>
                <c:pt idx="260">
                  <c:v>0.99449037094817927</c:v>
                </c:pt>
                <c:pt idx="261">
                  <c:v>0.98554967369480251</c:v>
                </c:pt>
                <c:pt idx="262">
                  <c:v>0.98150890672167301</c:v>
                </c:pt>
                <c:pt idx="263">
                  <c:v>0.99724658173081848</c:v>
                </c:pt>
                <c:pt idx="264">
                  <c:v>0.9650191147546171</c:v>
                </c:pt>
                <c:pt idx="265">
                  <c:v>0.96225359559378609</c:v>
                </c:pt>
                <c:pt idx="266">
                  <c:v>0.94456395367778667</c:v>
                </c:pt>
                <c:pt idx="267">
                  <c:v>0.93706512420634436</c:v>
                </c:pt>
                <c:pt idx="268">
                  <c:v>0.89636517139982186</c:v>
                </c:pt>
                <c:pt idx="269">
                  <c:v>0.90999822209976544</c:v>
                </c:pt>
                <c:pt idx="270">
                  <c:v>0.88961659721065134</c:v>
                </c:pt>
                <c:pt idx="271">
                  <c:v>0.89652341382908518</c:v>
                </c:pt>
                <c:pt idx="272">
                  <c:v>0.91544362334206153</c:v>
                </c:pt>
                <c:pt idx="273">
                  <c:v>0.94044965051694074</c:v>
                </c:pt>
                <c:pt idx="274">
                  <c:v>0.9574886367973221</c:v>
                </c:pt>
                <c:pt idx="275">
                  <c:v>0.92302064319031629</c:v>
                </c:pt>
                <c:pt idx="276">
                  <c:v>0.92645357306751086</c:v>
                </c:pt>
                <c:pt idx="277">
                  <c:v>0.91873227335728069</c:v>
                </c:pt>
                <c:pt idx="278">
                  <c:v>0.93446529417733015</c:v>
                </c:pt>
                <c:pt idx="279">
                  <c:v>0.9656036809050722</c:v>
                </c:pt>
                <c:pt idx="280">
                  <c:v>0.93563814982951699</c:v>
                </c:pt>
                <c:pt idx="281">
                  <c:v>0.8956763514136169</c:v>
                </c:pt>
                <c:pt idx="282">
                  <c:v>0.91172213374091615</c:v>
                </c:pt>
                <c:pt idx="283">
                  <c:v>0.91700091501357628</c:v>
                </c:pt>
                <c:pt idx="284">
                  <c:v>0.92625809712547968</c:v>
                </c:pt>
                <c:pt idx="285">
                  <c:v>0.91511876094316202</c:v>
                </c:pt>
                <c:pt idx="286">
                  <c:v>0.91447089782100177</c:v>
                </c:pt>
                <c:pt idx="287">
                  <c:v>0.88553394253565798</c:v>
                </c:pt>
                <c:pt idx="288">
                  <c:v>0.87387519885022902</c:v>
                </c:pt>
                <c:pt idx="289">
                  <c:v>0.8347297452017638</c:v>
                </c:pt>
                <c:pt idx="290">
                  <c:v>0.86439740817517619</c:v>
                </c:pt>
                <c:pt idx="291">
                  <c:v>0.91204513446417723</c:v>
                </c:pt>
                <c:pt idx="292">
                  <c:v>0.90895196039098902</c:v>
                </c:pt>
                <c:pt idx="293">
                  <c:v>0.88850983104362746</c:v>
                </c:pt>
                <c:pt idx="294">
                  <c:v>0.91681381661191785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2-4E97-91BE-9D9459F478C2}"/>
            </c:ext>
          </c:extLst>
        </c:ser>
        <c:ser>
          <c:idx val="1"/>
          <c:order val="3"/>
          <c:tx>
            <c:strRef>
              <c:f>'Graf 7+8'!$I$11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7+8'!$K$11:$KT$11</c:f>
              <c:numCache>
                <c:formatCode>0.0</c:formatCode>
                <c:ptCount val="296"/>
                <c:pt idx="0">
                  <c:v>0.99518956640263212</c:v>
                </c:pt>
                <c:pt idx="1">
                  <c:v>0.96839721721007854</c:v>
                </c:pt>
                <c:pt idx="2">
                  <c:v>0.99353438167350538</c:v>
                </c:pt>
                <c:pt idx="3">
                  <c:v>0.97712635292561967</c:v>
                </c:pt>
                <c:pt idx="4">
                  <c:v>0.95992718091355578</c:v>
                </c:pt>
                <c:pt idx="5">
                  <c:v>1.003168528773033</c:v>
                </c:pt>
                <c:pt idx="6">
                  <c:v>1.0000344712422249</c:v>
                </c:pt>
                <c:pt idx="7">
                  <c:v>0.99573517270374923</c:v>
                </c:pt>
                <c:pt idx="8">
                  <c:v>0.99422974009248477</c:v>
                </c:pt>
                <c:pt idx="9">
                  <c:v>1.0193208487158898</c:v>
                </c:pt>
                <c:pt idx="10">
                  <c:v>0.99602026683001899</c:v>
                </c:pt>
                <c:pt idx="11">
                  <c:v>1.0142874822487231</c:v>
                </c:pt>
                <c:pt idx="12">
                  <c:v>1.0148799920433591</c:v>
                </c:pt>
                <c:pt idx="13">
                  <c:v>1.0174057169142474</c:v>
                </c:pt>
                <c:pt idx="14">
                  <c:v>0.98513074490094044</c:v>
                </c:pt>
                <c:pt idx="15">
                  <c:v>0.98620980780304612</c:v>
                </c:pt>
                <c:pt idx="16">
                  <c:v>0.96600683434759782</c:v>
                </c:pt>
                <c:pt idx="17">
                  <c:v>0.97391318106839386</c:v>
                </c:pt>
                <c:pt idx="18">
                  <c:v>0.98162965340578712</c:v>
                </c:pt>
                <c:pt idx="19">
                  <c:v>0.96819491057538154</c:v>
                </c:pt>
                <c:pt idx="20">
                  <c:v>0.97499280907283103</c:v>
                </c:pt>
                <c:pt idx="21">
                  <c:v>0.98451902162703131</c:v>
                </c:pt>
                <c:pt idx="22">
                  <c:v>0.96585227885991742</c:v>
                </c:pt>
                <c:pt idx="23">
                  <c:v>0.96199149973072884</c:v>
                </c:pt>
                <c:pt idx="24">
                  <c:v>0.97567121442186366</c:v>
                </c:pt>
                <c:pt idx="25">
                  <c:v>0.98949050938889271</c:v>
                </c:pt>
                <c:pt idx="26">
                  <c:v>0.99149464480775507</c:v>
                </c:pt>
                <c:pt idx="27">
                  <c:v>1.0443565773108023</c:v>
                </c:pt>
                <c:pt idx="28">
                  <c:v>1.0327493754206483</c:v>
                </c:pt>
                <c:pt idx="29">
                  <c:v>0.98789296509758473</c:v>
                </c:pt>
                <c:pt idx="30">
                  <c:v>0.98414520643470726</c:v>
                </c:pt>
                <c:pt idx="31">
                  <c:v>1.0190914171692782</c:v>
                </c:pt>
                <c:pt idx="32">
                  <c:v>1.0076842615044947</c:v>
                </c:pt>
                <c:pt idx="33">
                  <c:v>1.0087381773528461</c:v>
                </c:pt>
                <c:pt idx="34">
                  <c:v>0.98131969477692871</c:v>
                </c:pt>
                <c:pt idx="35">
                  <c:v>0.95970283528792821</c:v>
                </c:pt>
                <c:pt idx="36">
                  <c:v>0.9592318224945765</c:v>
                </c:pt>
                <c:pt idx="37">
                  <c:v>0.94575271913114389</c:v>
                </c:pt>
                <c:pt idx="38">
                  <c:v>0.9732703771662492</c:v>
                </c:pt>
                <c:pt idx="39">
                  <c:v>0.96302111617882324</c:v>
                </c:pt>
                <c:pt idx="40">
                  <c:v>0.95438070152933641</c:v>
                </c:pt>
                <c:pt idx="41">
                  <c:v>0.93527374404594055</c:v>
                </c:pt>
                <c:pt idx="42">
                  <c:v>0.93585438669161414</c:v>
                </c:pt>
                <c:pt idx="43">
                  <c:v>0.91109527568799809</c:v>
                </c:pt>
                <c:pt idx="44">
                  <c:v>0.92620187376631102</c:v>
                </c:pt>
                <c:pt idx="45">
                  <c:v>0.94269184235227244</c:v>
                </c:pt>
                <c:pt idx="46">
                  <c:v>0.92452888831374036</c:v>
                </c:pt>
                <c:pt idx="47">
                  <c:v>0.90926434413375756</c:v>
                </c:pt>
                <c:pt idx="48">
                  <c:v>0.90965030902621014</c:v>
                </c:pt>
                <c:pt idx="49">
                  <c:v>0.94318122097139967</c:v>
                </c:pt>
                <c:pt idx="50">
                  <c:v>0.92121456313916616</c:v>
                </c:pt>
                <c:pt idx="51">
                  <c:v>0.94806285746254371</c:v>
                </c:pt>
                <c:pt idx="52">
                  <c:v>0.96174963593282292</c:v>
                </c:pt>
                <c:pt idx="53">
                  <c:v>0.95521592277537581</c:v>
                </c:pt>
                <c:pt idx="54">
                  <c:v>0.94939988957900456</c:v>
                </c:pt>
                <c:pt idx="55">
                  <c:v>0.94768649930972748</c:v>
                </c:pt>
                <c:pt idx="56">
                  <c:v>0.93524633658286016</c:v>
                </c:pt>
                <c:pt idx="57">
                  <c:v>0.90325052512134163</c:v>
                </c:pt>
                <c:pt idx="58">
                  <c:v>0.90815589591041102</c:v>
                </c:pt>
                <c:pt idx="59">
                  <c:v>0.95596157530186365</c:v>
                </c:pt>
                <c:pt idx="60">
                  <c:v>0.8908309886295761</c:v>
                </c:pt>
                <c:pt idx="61">
                  <c:v>0.84187560854457333</c:v>
                </c:pt>
                <c:pt idx="62">
                  <c:v>0.83850844630199861</c:v>
                </c:pt>
                <c:pt idx="63">
                  <c:v>0.82497622331939979</c:v>
                </c:pt>
                <c:pt idx="64">
                  <c:v>0.82810067411057131</c:v>
                </c:pt>
                <c:pt idx="65">
                  <c:v>0.80593510025763027</c:v>
                </c:pt>
                <c:pt idx="66">
                  <c:v>0.79503258097492591</c:v>
                </c:pt>
                <c:pt idx="67">
                  <c:v>0.81048643443597979</c:v>
                </c:pt>
                <c:pt idx="68">
                  <c:v>0.81808282252791753</c:v>
                </c:pt>
                <c:pt idx="69">
                  <c:v>0.80811950332025873</c:v>
                </c:pt>
                <c:pt idx="70">
                  <c:v>0.79355314307091307</c:v>
                </c:pt>
                <c:pt idx="71">
                  <c:v>0.80201978875344648</c:v>
                </c:pt>
                <c:pt idx="72">
                  <c:v>0.79019134930048807</c:v>
                </c:pt>
                <c:pt idx="73">
                  <c:v>0.7809677490448359</c:v>
                </c:pt>
                <c:pt idx="74">
                  <c:v>0.78328918942286663</c:v>
                </c:pt>
                <c:pt idx="75">
                  <c:v>0.77577756668066244</c:v>
                </c:pt>
                <c:pt idx="76">
                  <c:v>0.81584586494845424</c:v>
                </c:pt>
                <c:pt idx="77">
                  <c:v>0.8574046206157242</c:v>
                </c:pt>
                <c:pt idx="78">
                  <c:v>0.81383325299461862</c:v>
                </c:pt>
                <c:pt idx="79">
                  <c:v>0.85886201952880636</c:v>
                </c:pt>
                <c:pt idx="80">
                  <c:v>0.82420401098332896</c:v>
                </c:pt>
                <c:pt idx="81">
                  <c:v>0.81260698093514272</c:v>
                </c:pt>
                <c:pt idx="82">
                  <c:v>0.8410214563704268</c:v>
                </c:pt>
                <c:pt idx="83">
                  <c:v>0.8410214563704268</c:v>
                </c:pt>
                <c:pt idx="84">
                  <c:v>0.8689849801451297</c:v>
                </c:pt>
                <c:pt idx="85">
                  <c:v>0.87373042697436876</c:v>
                </c:pt>
                <c:pt idx="86">
                  <c:v>0.87132732930942802</c:v>
                </c:pt>
                <c:pt idx="87">
                  <c:v>0.84907614245325613</c:v>
                </c:pt>
                <c:pt idx="88">
                  <c:v>0.84904873499017575</c:v>
                </c:pt>
                <c:pt idx="89">
                  <c:v>0.83852059600212714</c:v>
                </c:pt>
                <c:pt idx="90">
                  <c:v>0.82279295046143441</c:v>
                </c:pt>
                <c:pt idx="91">
                  <c:v>0.81148157964184953</c:v>
                </c:pt>
                <c:pt idx="92">
                  <c:v>0.81524148800485541</c:v>
                </c:pt>
                <c:pt idx="93">
                  <c:v>0.81695233531364031</c:v>
                </c:pt>
                <c:pt idx="94">
                  <c:v>0.83753392733123078</c:v>
                </c:pt>
                <c:pt idx="95">
                  <c:v>0.83584257605288459</c:v>
                </c:pt>
                <c:pt idx="96">
                  <c:v>0.83491976394545409</c:v>
                </c:pt>
                <c:pt idx="97">
                  <c:v>0.83017516476971243</c:v>
                </c:pt>
                <c:pt idx="98">
                  <c:v>0.84020996942231285</c:v>
                </c:pt>
                <c:pt idx="99">
                  <c:v>0.82086453875500043</c:v>
                </c:pt>
                <c:pt idx="100">
                  <c:v>0.82848720410535548</c:v>
                </c:pt>
                <c:pt idx="101">
                  <c:v>0.84947510469933452</c:v>
                </c:pt>
                <c:pt idx="102">
                  <c:v>0.85647898299663605</c:v>
                </c:pt>
                <c:pt idx="103">
                  <c:v>0.84754075941841933</c:v>
                </c:pt>
                <c:pt idx="104">
                  <c:v>0.81550962906117863</c:v>
                </c:pt>
                <c:pt idx="105">
                  <c:v>0.81867081150390131</c:v>
                </c:pt>
                <c:pt idx="106">
                  <c:v>0.79787476315148531</c:v>
                </c:pt>
                <c:pt idx="107">
                  <c:v>0.78400969489560024</c:v>
                </c:pt>
                <c:pt idx="108">
                  <c:v>0.81031097016203191</c:v>
                </c:pt>
                <c:pt idx="109">
                  <c:v>0.83198349223069068</c:v>
                </c:pt>
                <c:pt idx="110">
                  <c:v>0.82623640151876909</c:v>
                </c:pt>
                <c:pt idx="111">
                  <c:v>0.82802918866562947</c:v>
                </c:pt>
                <c:pt idx="112">
                  <c:v>0.85077823067590208</c:v>
                </c:pt>
                <c:pt idx="113">
                  <c:v>0.84168545161000485</c:v>
                </c:pt>
                <c:pt idx="114">
                  <c:v>0.84821294864180485</c:v>
                </c:pt>
                <c:pt idx="115">
                  <c:v>0.81430511344146761</c:v>
                </c:pt>
                <c:pt idx="116">
                  <c:v>0.79899762148428644</c:v>
                </c:pt>
                <c:pt idx="117">
                  <c:v>0.81902993403560487</c:v>
                </c:pt>
                <c:pt idx="118">
                  <c:v>0.80611706320839116</c:v>
                </c:pt>
                <c:pt idx="119">
                  <c:v>0.81439609491684806</c:v>
                </c:pt>
                <c:pt idx="120">
                  <c:v>0.83047749451709463</c:v>
                </c:pt>
                <c:pt idx="121">
                  <c:v>0.86978827310943607</c:v>
                </c:pt>
                <c:pt idx="122">
                  <c:v>0.87206563550560556</c:v>
                </c:pt>
                <c:pt idx="123">
                  <c:v>0.92416750537271053</c:v>
                </c:pt>
                <c:pt idx="124">
                  <c:v>0.90094971097841259</c:v>
                </c:pt>
                <c:pt idx="125">
                  <c:v>0.91732242083057614</c:v>
                </c:pt>
                <c:pt idx="126">
                  <c:v>0.87329727603723117</c:v>
                </c:pt>
                <c:pt idx="127">
                  <c:v>0.87708091869816251</c:v>
                </c:pt>
                <c:pt idx="128">
                  <c:v>0.85379926774039883</c:v>
                </c:pt>
                <c:pt idx="129">
                  <c:v>0.83913768774818587</c:v>
                </c:pt>
                <c:pt idx="130">
                  <c:v>0.84595960309472651</c:v>
                </c:pt>
                <c:pt idx="131">
                  <c:v>0.79233732540457091</c:v>
                </c:pt>
                <c:pt idx="132">
                  <c:v>0.75791100881503137</c:v>
                </c:pt>
                <c:pt idx="133">
                  <c:v>0.73978450387688455</c:v>
                </c:pt>
                <c:pt idx="134">
                  <c:v>0.73978450387688455</c:v>
                </c:pt>
                <c:pt idx="135">
                  <c:v>0.735119866681058</c:v>
                </c:pt>
                <c:pt idx="136">
                  <c:v>0.73350452166630598</c:v>
                </c:pt>
                <c:pt idx="137">
                  <c:v>0.72158792624962498</c:v>
                </c:pt>
                <c:pt idx="138">
                  <c:v>0.7105788851774224</c:v>
                </c:pt>
                <c:pt idx="139">
                  <c:v>0.70465322212872927</c:v>
                </c:pt>
                <c:pt idx="140">
                  <c:v>0.71096937088852741</c:v>
                </c:pt>
                <c:pt idx="141">
                  <c:v>0.73286454327581918</c:v>
                </c:pt>
                <c:pt idx="142">
                  <c:v>0.73629669228652272</c:v>
                </c:pt>
                <c:pt idx="143">
                  <c:v>0.73129553665225477</c:v>
                </c:pt>
                <c:pt idx="144">
                  <c:v>0.72883592875415859</c:v>
                </c:pt>
                <c:pt idx="145">
                  <c:v>0.75698565374710891</c:v>
                </c:pt>
                <c:pt idx="146">
                  <c:v>0.73431431330742525</c:v>
                </c:pt>
                <c:pt idx="147">
                  <c:v>0.75624141397644995</c:v>
                </c:pt>
                <c:pt idx="148">
                  <c:v>0.73430724952828097</c:v>
                </c:pt>
                <c:pt idx="149">
                  <c:v>0.72063685902561669</c:v>
                </c:pt>
                <c:pt idx="150">
                  <c:v>0.73658630723144503</c:v>
                </c:pt>
                <c:pt idx="151">
                  <c:v>0.79717573156735089</c:v>
                </c:pt>
                <c:pt idx="152">
                  <c:v>0.79717573156735089</c:v>
                </c:pt>
                <c:pt idx="153">
                  <c:v>0.7904326479960625</c:v>
                </c:pt>
                <c:pt idx="154">
                  <c:v>0.75770135585002418</c:v>
                </c:pt>
                <c:pt idx="155">
                  <c:v>0.76353829783266303</c:v>
                </c:pt>
                <c:pt idx="156">
                  <c:v>0.77002256453609907</c:v>
                </c:pt>
                <c:pt idx="157">
                  <c:v>0.77120391096021634</c:v>
                </c:pt>
                <c:pt idx="158">
                  <c:v>0.75411945472145825</c:v>
                </c:pt>
                <c:pt idx="159">
                  <c:v>0.78981809921049562</c:v>
                </c:pt>
                <c:pt idx="160">
                  <c:v>0.77431536439776205</c:v>
                </c:pt>
                <c:pt idx="161">
                  <c:v>0.81193733467224916</c:v>
                </c:pt>
                <c:pt idx="162">
                  <c:v>0.79941381935147737</c:v>
                </c:pt>
                <c:pt idx="163">
                  <c:v>0.79995433973161045</c:v>
                </c:pt>
                <c:pt idx="164">
                  <c:v>0.77623275660873048</c:v>
                </c:pt>
                <c:pt idx="165">
                  <c:v>0.80454127535684805</c:v>
                </c:pt>
                <c:pt idx="166">
                  <c:v>0.81650505681821406</c:v>
                </c:pt>
                <c:pt idx="167">
                  <c:v>0.8538416504152655</c:v>
                </c:pt>
                <c:pt idx="168">
                  <c:v>0.86662624301321611</c:v>
                </c:pt>
                <c:pt idx="169">
                  <c:v>0.8688835442766154</c:v>
                </c:pt>
                <c:pt idx="170">
                  <c:v>0.88757882471147287</c:v>
                </c:pt>
                <c:pt idx="171">
                  <c:v>0.90227148533192136</c:v>
                </c:pt>
                <c:pt idx="172">
                  <c:v>0.89378364831195456</c:v>
                </c:pt>
                <c:pt idx="173">
                  <c:v>0.87337497760782012</c:v>
                </c:pt>
                <c:pt idx="174">
                  <c:v>0.87088824479780924</c:v>
                </c:pt>
                <c:pt idx="175">
                  <c:v>0.86786777283564398</c:v>
                </c:pt>
                <c:pt idx="176">
                  <c:v>0.89259382535286413</c:v>
                </c:pt>
                <c:pt idx="177">
                  <c:v>0.88469906322986502</c:v>
                </c:pt>
                <c:pt idx="178">
                  <c:v>0.89537525902878135</c:v>
                </c:pt>
                <c:pt idx="179">
                  <c:v>0.89081629596895562</c:v>
                </c:pt>
                <c:pt idx="180">
                  <c:v>0.92390897105602376</c:v>
                </c:pt>
                <c:pt idx="181">
                  <c:v>0.93444360872088528</c:v>
                </c:pt>
                <c:pt idx="182">
                  <c:v>0.91957068045667045</c:v>
                </c:pt>
                <c:pt idx="183">
                  <c:v>0.92931756547134337</c:v>
                </c:pt>
                <c:pt idx="184">
                  <c:v>0.9039261049587165</c:v>
                </c:pt>
                <c:pt idx="185">
                  <c:v>0.88434304876098502</c:v>
                </c:pt>
                <c:pt idx="186">
                  <c:v>0.9782150225673617</c:v>
                </c:pt>
                <c:pt idx="187">
                  <c:v>1.0053534969379931</c:v>
                </c:pt>
                <c:pt idx="188">
                  <c:v>0.98550003927461216</c:v>
                </c:pt>
                <c:pt idx="189">
                  <c:v>0.9688512769334835</c:v>
                </c:pt>
                <c:pt idx="190">
                  <c:v>0.9583429165270394</c:v>
                </c:pt>
                <c:pt idx="191">
                  <c:v>0.93444530402787995</c:v>
                </c:pt>
                <c:pt idx="192">
                  <c:v>0.93158899429303166</c:v>
                </c:pt>
                <c:pt idx="193">
                  <c:v>0.92285081694018567</c:v>
                </c:pt>
                <c:pt idx="194">
                  <c:v>0.92959107499981641</c:v>
                </c:pt>
                <c:pt idx="195">
                  <c:v>0.93739655095442964</c:v>
                </c:pt>
                <c:pt idx="196">
                  <c:v>0.94762603336025109</c:v>
                </c:pt>
                <c:pt idx="197">
                  <c:v>0.95584431656806579</c:v>
                </c:pt>
                <c:pt idx="198">
                  <c:v>0.96990575788416644</c:v>
                </c:pt>
                <c:pt idx="199">
                  <c:v>0.95269019790448761</c:v>
                </c:pt>
                <c:pt idx="200">
                  <c:v>0.96542449639492978</c:v>
                </c:pt>
                <c:pt idx="201">
                  <c:v>0.95464093115301796</c:v>
                </c:pt>
                <c:pt idx="202">
                  <c:v>0.95799622624662994</c:v>
                </c:pt>
                <c:pt idx="203">
                  <c:v>0.94624774877358675</c:v>
                </c:pt>
                <c:pt idx="204">
                  <c:v>0.94624774877358675</c:v>
                </c:pt>
                <c:pt idx="205">
                  <c:v>0.94726097725406611</c:v>
                </c:pt>
                <c:pt idx="206">
                  <c:v>0.94756895802476404</c:v>
                </c:pt>
                <c:pt idx="207">
                  <c:v>0.95085333277576578</c:v>
                </c:pt>
                <c:pt idx="208">
                  <c:v>0.95138339876276501</c:v>
                </c:pt>
                <c:pt idx="209">
                  <c:v>0.94132542491457072</c:v>
                </c:pt>
                <c:pt idx="210">
                  <c:v>0.92358177680605302</c:v>
                </c:pt>
                <c:pt idx="211">
                  <c:v>0.90657728254721004</c:v>
                </c:pt>
                <c:pt idx="212">
                  <c:v>0.92170478941179068</c:v>
                </c:pt>
                <c:pt idx="213">
                  <c:v>0.91920675455514866</c:v>
                </c:pt>
                <c:pt idx="214">
                  <c:v>0.91489558886771016</c:v>
                </c:pt>
                <c:pt idx="215">
                  <c:v>0.91049767997237785</c:v>
                </c:pt>
                <c:pt idx="216">
                  <c:v>0.90923750177300855</c:v>
                </c:pt>
                <c:pt idx="217">
                  <c:v>0.90202397051070005</c:v>
                </c:pt>
                <c:pt idx="218">
                  <c:v>0.89226069752841197</c:v>
                </c:pt>
                <c:pt idx="219">
                  <c:v>0.88245419421776006</c:v>
                </c:pt>
                <c:pt idx="220">
                  <c:v>0.89240960199277697</c:v>
                </c:pt>
                <c:pt idx="221">
                  <c:v>0.87747394736975948</c:v>
                </c:pt>
                <c:pt idx="222">
                  <c:v>0.87875079608790974</c:v>
                </c:pt>
                <c:pt idx="223">
                  <c:v>0.87326139203917741</c:v>
                </c:pt>
                <c:pt idx="224">
                  <c:v>0.87125019284117067</c:v>
                </c:pt>
                <c:pt idx="225">
                  <c:v>0.87676700435298327</c:v>
                </c:pt>
                <c:pt idx="226">
                  <c:v>0.89135229553043616</c:v>
                </c:pt>
                <c:pt idx="227">
                  <c:v>0.89657751423916598</c:v>
                </c:pt>
                <c:pt idx="228">
                  <c:v>0.91718001504302415</c:v>
                </c:pt>
                <c:pt idx="229">
                  <c:v>0.92863718226415037</c:v>
                </c:pt>
                <c:pt idx="230">
                  <c:v>0.91052508743545835</c:v>
                </c:pt>
                <c:pt idx="231">
                  <c:v>0.9237854961965789</c:v>
                </c:pt>
                <c:pt idx="232">
                  <c:v>0.91474442399401901</c:v>
                </c:pt>
                <c:pt idx="233">
                  <c:v>0.90776908336446116</c:v>
                </c:pt>
                <c:pt idx="234">
                  <c:v>0.90933780743685977</c:v>
                </c:pt>
                <c:pt idx="235">
                  <c:v>0.91926128693014375</c:v>
                </c:pt>
                <c:pt idx="236">
                  <c:v>0.90475002415812467</c:v>
                </c:pt>
                <c:pt idx="237">
                  <c:v>0.90323102909090303</c:v>
                </c:pt>
                <c:pt idx="238">
                  <c:v>0.88725869424064663</c:v>
                </c:pt>
                <c:pt idx="239">
                  <c:v>0.89262603618576275</c:v>
                </c:pt>
                <c:pt idx="240">
                  <c:v>0.88244656533628396</c:v>
                </c:pt>
                <c:pt idx="241">
                  <c:v>0.87951509699133879</c:v>
                </c:pt>
                <c:pt idx="242">
                  <c:v>0.89125707578756908</c:v>
                </c:pt>
                <c:pt idx="243">
                  <c:v>0.87693625250128426</c:v>
                </c:pt>
                <c:pt idx="244">
                  <c:v>0.87877763844865853</c:v>
                </c:pt>
                <c:pt idx="245">
                  <c:v>0.88240192225209113</c:v>
                </c:pt>
                <c:pt idx="246">
                  <c:v>0.91345514302457465</c:v>
                </c:pt>
                <c:pt idx="247">
                  <c:v>0.91655162125033418</c:v>
                </c:pt>
                <c:pt idx="248">
                  <c:v>0.92166438459508448</c:v>
                </c:pt>
                <c:pt idx="249">
                  <c:v>0.90214518496081875</c:v>
                </c:pt>
                <c:pt idx="250">
                  <c:v>0.90304567552615278</c:v>
                </c:pt>
                <c:pt idx="251">
                  <c:v>0.88306196177534813</c:v>
                </c:pt>
                <c:pt idx="252">
                  <c:v>0.87711538994038751</c:v>
                </c:pt>
                <c:pt idx="253">
                  <c:v>0.8733489829005685</c:v>
                </c:pt>
                <c:pt idx="254">
                  <c:v>0.86568280467068393</c:v>
                </c:pt>
                <c:pt idx="255">
                  <c:v>0.84898233546621793</c:v>
                </c:pt>
                <c:pt idx="256">
                  <c:v>0.84898233546621793</c:v>
                </c:pt>
                <c:pt idx="257">
                  <c:v>0.85723085164877089</c:v>
                </c:pt>
                <c:pt idx="258">
                  <c:v>0.84845848560486581</c:v>
                </c:pt>
                <c:pt idx="259">
                  <c:v>0.8699340695109774</c:v>
                </c:pt>
                <c:pt idx="260">
                  <c:v>0.86668388345103475</c:v>
                </c:pt>
                <c:pt idx="261">
                  <c:v>0.86751938724823996</c:v>
                </c:pt>
                <c:pt idx="262">
                  <c:v>0.87819784345648233</c:v>
                </c:pt>
                <c:pt idx="263">
                  <c:v>0.86196979980119703</c:v>
                </c:pt>
                <c:pt idx="264">
                  <c:v>0.8410689249662775</c:v>
                </c:pt>
                <c:pt idx="265">
                  <c:v>0.84181570769742842</c:v>
                </c:pt>
                <c:pt idx="266">
                  <c:v>0.85127467307417359</c:v>
                </c:pt>
                <c:pt idx="267">
                  <c:v>0.86299489543063901</c:v>
                </c:pt>
                <c:pt idx="268">
                  <c:v>0.8442894431538136</c:v>
                </c:pt>
                <c:pt idx="269">
                  <c:v>0.82857451241558089</c:v>
                </c:pt>
                <c:pt idx="270">
                  <c:v>0.80648183676341034</c:v>
                </c:pt>
                <c:pt idx="271">
                  <c:v>0.81518978114151808</c:v>
                </c:pt>
                <c:pt idx="272">
                  <c:v>0.82707218786713999</c:v>
                </c:pt>
                <c:pt idx="273">
                  <c:v>0.83032802495039815</c:v>
                </c:pt>
                <c:pt idx="274">
                  <c:v>0.79708983601295436</c:v>
                </c:pt>
                <c:pt idx="275">
                  <c:v>0.79834351553551086</c:v>
                </c:pt>
                <c:pt idx="276">
                  <c:v>0.79880294373106553</c:v>
                </c:pt>
                <c:pt idx="277">
                  <c:v>0.82314161860000423</c:v>
                </c:pt>
                <c:pt idx="278">
                  <c:v>0.83022687163304976</c:v>
                </c:pt>
                <c:pt idx="279">
                  <c:v>0.83613671181645932</c:v>
                </c:pt>
                <c:pt idx="280">
                  <c:v>0.86972526419946761</c:v>
                </c:pt>
                <c:pt idx="281">
                  <c:v>0.84340336269793426</c:v>
                </c:pt>
                <c:pt idx="282">
                  <c:v>0.85034620994342769</c:v>
                </c:pt>
                <c:pt idx="283">
                  <c:v>0.84184255005817743</c:v>
                </c:pt>
                <c:pt idx="284">
                  <c:v>0.83498107754842799</c:v>
                </c:pt>
                <c:pt idx="285">
                  <c:v>0.7940558015948318</c:v>
                </c:pt>
                <c:pt idx="286">
                  <c:v>0.81209358546692434</c:v>
                </c:pt>
                <c:pt idx="287">
                  <c:v>0.78187841145213788</c:v>
                </c:pt>
                <c:pt idx="288">
                  <c:v>0.80810226769914639</c:v>
                </c:pt>
                <c:pt idx="289">
                  <c:v>0.78082788621777588</c:v>
                </c:pt>
                <c:pt idx="290">
                  <c:v>0.78082788621777588</c:v>
                </c:pt>
                <c:pt idx="291">
                  <c:v>0.77351207143345557</c:v>
                </c:pt>
                <c:pt idx="292">
                  <c:v>0.82407827571455783</c:v>
                </c:pt>
                <c:pt idx="293">
                  <c:v>0.81967245538658362</c:v>
                </c:pt>
                <c:pt idx="294">
                  <c:v>0.90032442524854617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32-4E97-91BE-9D9459F4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024496"/>
        <c:axId val="319025280"/>
      </c:lineChart>
      <c:dateAx>
        <c:axId val="3190244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9025280"/>
        <c:crosses val="autoZero"/>
        <c:auto val="1"/>
        <c:lblOffset val="100"/>
        <c:baseTimeUnit val="days"/>
        <c:majorUnit val="12"/>
        <c:majorTimeUnit val="months"/>
      </c:dateAx>
      <c:valAx>
        <c:axId val="319025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n-US"/>
          </a:p>
        </c:txPr>
        <c:crossAx val="31902449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212301587301588"/>
          <c:y val="4.4335976347265153E-2"/>
          <c:w val="0.6800194444444444"/>
          <c:h val="0.13826457017425975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033382994546303E-2"/>
          <c:y val="4.5147336827487339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7+8'!$J$8</c:f>
              <c:strCache>
                <c:ptCount val="1"/>
                <c:pt idx="0">
                  <c:v>S&amp;P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7+8'!$K$8:$KT$8</c:f>
              <c:numCache>
                <c:formatCode>0.0</c:formatCode>
                <c:ptCount val="296"/>
                <c:pt idx="0">
                  <c:v>2.2062144681350722</c:v>
                </c:pt>
                <c:pt idx="1">
                  <c:v>2.1730921651320489</c:v>
                </c:pt>
                <c:pt idx="2">
                  <c:v>2.1859741479691186</c:v>
                </c:pt>
                <c:pt idx="3">
                  <c:v>2.170572521698289</c:v>
                </c:pt>
                <c:pt idx="4">
                  <c:v>2.1503860191590753</c:v>
                </c:pt>
                <c:pt idx="5">
                  <c:v>2.1584733407047172</c:v>
                </c:pt>
                <c:pt idx="6">
                  <c:v>2.1170680156951769</c:v>
                </c:pt>
                <c:pt idx="7">
                  <c:v>2.1378073720363613</c:v>
                </c:pt>
                <c:pt idx="8">
                  <c:v>2.1293873597072319</c:v>
                </c:pt>
                <c:pt idx="9">
                  <c:v>2.0943374071645939</c:v>
                </c:pt>
                <c:pt idx="10">
                  <c:v>2.0384404630272903</c:v>
                </c:pt>
                <c:pt idx="11">
                  <c:v>2.078064913842872</c:v>
                </c:pt>
                <c:pt idx="12">
                  <c:v>2.0694785561219997</c:v>
                </c:pt>
                <c:pt idx="13">
                  <c:v>2.0568656614186325</c:v>
                </c:pt>
                <c:pt idx="14">
                  <c:v>2.0332592933256355</c:v>
                </c:pt>
                <c:pt idx="15">
                  <c:v>2.0420609215534702</c:v>
                </c:pt>
                <c:pt idx="16">
                  <c:v>2.070804426744425</c:v>
                </c:pt>
                <c:pt idx="17">
                  <c:v>2.0456422399874752</c:v>
                </c:pt>
                <c:pt idx="18">
                  <c:v>2.0451529888352886</c:v>
                </c:pt>
                <c:pt idx="19">
                  <c:v>2.0477460199418771</c:v>
                </c:pt>
                <c:pt idx="20">
                  <c:v>2.0200201571474703</c:v>
                </c:pt>
                <c:pt idx="21">
                  <c:v>1.9667260291397985</c:v>
                </c:pt>
                <c:pt idx="22">
                  <c:v>1.9445482744111862</c:v>
                </c:pt>
                <c:pt idx="23">
                  <c:v>1.9144886836208499</c:v>
                </c:pt>
                <c:pt idx="24">
                  <c:v>1.9292836384629686</c:v>
                </c:pt>
                <c:pt idx="25">
                  <c:v>1.8796735716312611</c:v>
                </c:pt>
                <c:pt idx="26">
                  <c:v>1.8646095286554401</c:v>
                </c:pt>
                <c:pt idx="27">
                  <c:v>1.9113623687583783</c:v>
                </c:pt>
                <c:pt idx="28">
                  <c:v>1.9251201111578617</c:v>
                </c:pt>
                <c:pt idx="29">
                  <c:v>1.9016360558529115</c:v>
                </c:pt>
                <c:pt idx="30">
                  <c:v>1.8171961994970496</c:v>
                </c:pt>
                <c:pt idx="31">
                  <c:v>1.8794436235897334</c:v>
                </c:pt>
                <c:pt idx="32">
                  <c:v>1.8436206542266407</c:v>
                </c:pt>
                <c:pt idx="33">
                  <c:v>1.8712290967445226</c:v>
                </c:pt>
                <c:pt idx="34">
                  <c:v>1.8376615751930097</c:v>
                </c:pt>
                <c:pt idx="35">
                  <c:v>1.8117263716156051</c:v>
                </c:pt>
                <c:pt idx="36">
                  <c:v>1.8148331164319891</c:v>
                </c:pt>
                <c:pt idx="37">
                  <c:v>1.7923520259890211</c:v>
                </c:pt>
                <c:pt idx="38">
                  <c:v>1.8097987220759904</c:v>
                </c:pt>
                <c:pt idx="39">
                  <c:v>1.780066929557619</c:v>
                </c:pt>
                <c:pt idx="40">
                  <c:v>1.740530543949431</c:v>
                </c:pt>
                <c:pt idx="41">
                  <c:v>1.7540387682612992</c:v>
                </c:pt>
                <c:pt idx="42">
                  <c:v>1.716997563529262</c:v>
                </c:pt>
                <c:pt idx="43">
                  <c:v>1.5998316976036477</c:v>
                </c:pt>
                <c:pt idx="44">
                  <c:v>1.6954460502754483</c:v>
                </c:pt>
                <c:pt idx="45">
                  <c:v>1.7044580564987231</c:v>
                </c:pt>
                <c:pt idx="46">
                  <c:v>1.7011898588021175</c:v>
                </c:pt>
                <c:pt idx="47">
                  <c:v>1.6382281280272415</c:v>
                </c:pt>
                <c:pt idx="48">
                  <c:v>1.613775355440962</c:v>
                </c:pt>
                <c:pt idx="49">
                  <c:v>1.6240545221483995</c:v>
                </c:pt>
                <c:pt idx="50">
                  <c:v>1.6345734219204084</c:v>
                </c:pt>
                <c:pt idx="51">
                  <c:v>1.6766441284969227</c:v>
                </c:pt>
                <c:pt idx="52">
                  <c:v>1.7162979343816356</c:v>
                </c:pt>
                <c:pt idx="53">
                  <c:v>1.6620644441617658</c:v>
                </c:pt>
                <c:pt idx="54">
                  <c:v>1.6501707486521129</c:v>
                </c:pt>
                <c:pt idx="55">
                  <c:v>1.6396176012994512</c:v>
                </c:pt>
                <c:pt idx="56">
                  <c:v>1.600399228940184</c:v>
                </c:pt>
                <c:pt idx="57">
                  <c:v>1.5732506825053574</c:v>
                </c:pt>
                <c:pt idx="58">
                  <c:v>1.5777028679902541</c:v>
                </c:pt>
                <c:pt idx="59">
                  <c:v>1.5582844897599732</c:v>
                </c:pt>
                <c:pt idx="60">
                  <c:v>1.5313609988551524</c:v>
                </c:pt>
                <c:pt idx="61">
                  <c:v>1.4721811794866777</c:v>
                </c:pt>
                <c:pt idx="62">
                  <c:v>1.5155728641740951</c:v>
                </c:pt>
                <c:pt idx="63">
                  <c:v>1.4879644216562129</c:v>
                </c:pt>
                <c:pt idx="64">
                  <c:v>1.5626339325029108</c:v>
                </c:pt>
                <c:pt idx="65">
                  <c:v>1.4894321751127724</c:v>
                </c:pt>
                <c:pt idx="66">
                  <c:v>1.4459573177294831</c:v>
                </c:pt>
                <c:pt idx="67">
                  <c:v>1.4010685245163752</c:v>
                </c:pt>
                <c:pt idx="68">
                  <c:v>1.4334080256759005</c:v>
                </c:pt>
                <c:pt idx="69">
                  <c:v>1.3849281290057438</c:v>
                </c:pt>
                <c:pt idx="70">
                  <c:v>1.387878313453428</c:v>
                </c:pt>
                <c:pt idx="71">
                  <c:v>1.4063817920291202</c:v>
                </c:pt>
                <c:pt idx="72">
                  <c:v>1.3649226493928395</c:v>
                </c:pt>
                <c:pt idx="73">
                  <c:v>1.2175748798888422</c:v>
                </c:pt>
                <c:pt idx="74">
                  <c:v>1.243417125747331</c:v>
                </c:pt>
                <c:pt idx="75">
                  <c:v>1.1276847656976232</c:v>
                </c:pt>
                <c:pt idx="76">
                  <c:v>1.326369658600546</c:v>
                </c:pt>
                <c:pt idx="77">
                  <c:v>1.4542354472244781</c:v>
                </c:pt>
                <c:pt idx="78">
                  <c:v>1.4453555388122938</c:v>
                </c:pt>
                <c:pt idx="79">
                  <c:v>1.6329980332103682</c:v>
                </c:pt>
                <c:pt idx="80">
                  <c:v>1.653747174574596</c:v>
                </c:pt>
                <c:pt idx="81">
                  <c:v>1.628085951642416</c:v>
                </c:pt>
                <c:pt idx="82">
                  <c:v>1.5780893764004813</c:v>
                </c:pt>
                <c:pt idx="83">
                  <c:v>1.6123124944959244</c:v>
                </c:pt>
                <c:pt idx="84">
                  <c:v>1.6290204213430921</c:v>
                </c:pt>
                <c:pt idx="85">
                  <c:v>1.5975762497920682</c:v>
                </c:pt>
                <c:pt idx="86">
                  <c:v>1.5826540896503811</c:v>
                </c:pt>
                <c:pt idx="87">
                  <c:v>1.5851835181071852</c:v>
                </c:pt>
                <c:pt idx="88">
                  <c:v>1.5759855964460794</c:v>
                </c:pt>
                <c:pt idx="89">
                  <c:v>1.5503390510484654</c:v>
                </c:pt>
                <c:pt idx="90">
                  <c:v>1.539140092174917</c:v>
                </c:pt>
                <c:pt idx="91">
                  <c:v>1.5367280839946378</c:v>
                </c:pt>
                <c:pt idx="92">
                  <c:v>1.5217129661340352</c:v>
                </c:pt>
                <c:pt idx="93">
                  <c:v>1.5266886503517716</c:v>
                </c:pt>
                <c:pt idx="94">
                  <c:v>1.513292953804906</c:v>
                </c:pt>
                <c:pt idx="95">
                  <c:v>1.5004892511521863</c:v>
                </c:pt>
                <c:pt idx="96">
                  <c:v>1.478786070041195</c:v>
                </c:pt>
                <c:pt idx="97">
                  <c:v>1.461001790659217</c:v>
                </c:pt>
                <c:pt idx="98">
                  <c:v>1.4532080198048867</c:v>
                </c:pt>
                <c:pt idx="99">
                  <c:v>1.4442742937659618</c:v>
                </c:pt>
                <c:pt idx="100">
                  <c:v>1.4490591700343454</c:v>
                </c:pt>
                <c:pt idx="101">
                  <c:v>1.4638736949225515</c:v>
                </c:pt>
                <c:pt idx="102">
                  <c:v>1.4713690225740481</c:v>
                </c:pt>
                <c:pt idx="103">
                  <c:v>1.4573372995293403</c:v>
                </c:pt>
                <c:pt idx="104">
                  <c:v>1.4317739268275977</c:v>
                </c:pt>
                <c:pt idx="105">
                  <c:v>1.3929518479016019</c:v>
                </c:pt>
                <c:pt idx="106">
                  <c:v>1.4132900182979931</c:v>
                </c:pt>
                <c:pt idx="107">
                  <c:v>1.4279528753290214</c:v>
                </c:pt>
                <c:pt idx="108">
                  <c:v>1.43450884076832</c:v>
                </c:pt>
                <c:pt idx="109">
                  <c:v>1.4804054913549323</c:v>
                </c:pt>
                <c:pt idx="110">
                  <c:v>1.4563098721097489</c:v>
                </c:pt>
                <c:pt idx="111">
                  <c:v>1.4744904449249978</c:v>
                </c:pt>
                <c:pt idx="112">
                  <c:v>1.4630615380099219</c:v>
                </c:pt>
                <c:pt idx="113">
                  <c:v>1.4392594694560505</c:v>
                </c:pt>
                <c:pt idx="114">
                  <c:v>1.4435159544800729</c:v>
                </c:pt>
                <c:pt idx="115">
                  <c:v>1.412458291339276</c:v>
                </c:pt>
                <c:pt idx="116">
                  <c:v>1.4057849056234528</c:v>
                </c:pt>
                <c:pt idx="117">
                  <c:v>1.3464485258862784</c:v>
                </c:pt>
                <c:pt idx="118">
                  <c:v>1.3826531111480767</c:v>
                </c:pt>
                <c:pt idx="119">
                  <c:v>1.3990283472117577</c:v>
                </c:pt>
                <c:pt idx="120">
                  <c:v>1.4097282699100757</c:v>
                </c:pt>
                <c:pt idx="121">
                  <c:v>1.4411577639265341</c:v>
                </c:pt>
                <c:pt idx="122">
                  <c:v>1.4383396772899399</c:v>
                </c:pt>
                <c:pt idx="123">
                  <c:v>1.4212892746362418</c:v>
                </c:pt>
                <c:pt idx="124">
                  <c:v>1.4224536923784454</c:v>
                </c:pt>
                <c:pt idx="125">
                  <c:v>1.4152763779758699</c:v>
                </c:pt>
                <c:pt idx="126">
                  <c:v>1.3867334657573118</c:v>
                </c:pt>
                <c:pt idx="127">
                  <c:v>1.37025059444015</c:v>
                </c:pt>
                <c:pt idx="128">
                  <c:v>1.3809015920232492</c:v>
                </c:pt>
                <c:pt idx="129">
                  <c:v>1.3420501580281221</c:v>
                </c:pt>
                <c:pt idx="130">
                  <c:v>1.3717085628736656</c:v>
                </c:pt>
                <c:pt idx="131">
                  <c:v>1.3663170151765707</c:v>
                </c:pt>
                <c:pt idx="132">
                  <c:v>1.3579654980087477</c:v>
                </c:pt>
                <c:pt idx="133">
                  <c:v>1.3248334099826806</c:v>
                </c:pt>
                <c:pt idx="134">
                  <c:v>1.3241729209272288</c:v>
                </c:pt>
                <c:pt idx="135">
                  <c:v>1.3037369003004002</c:v>
                </c:pt>
                <c:pt idx="136">
                  <c:v>1.3066479446559096</c:v>
                </c:pt>
                <c:pt idx="137">
                  <c:v>1.2702231963756276</c:v>
                </c:pt>
                <c:pt idx="138">
                  <c:v>1.2387545622669942</c:v>
                </c:pt>
                <c:pt idx="139">
                  <c:v>1.2161511590359795</c:v>
                </c:pt>
                <c:pt idx="140">
                  <c:v>1.1823341193968511</c:v>
                </c:pt>
                <c:pt idx="141">
                  <c:v>1.2720285331271954</c:v>
                </c:pt>
                <c:pt idx="142">
                  <c:v>1.288237423799133</c:v>
                </c:pt>
                <c:pt idx="143">
                  <c:v>1.3504163527305106</c:v>
                </c:pt>
                <c:pt idx="144">
                  <c:v>1.2879830131999961</c:v>
                </c:pt>
                <c:pt idx="145">
                  <c:v>1.3387232501932542</c:v>
                </c:pt>
                <c:pt idx="146">
                  <c:v>1.3606123467420765</c:v>
                </c:pt>
                <c:pt idx="147">
                  <c:v>1.3322602424728709</c:v>
                </c:pt>
                <c:pt idx="148">
                  <c:v>1.3007671458066283</c:v>
                </c:pt>
                <c:pt idx="149">
                  <c:v>1.3541395539986498</c:v>
                </c:pt>
                <c:pt idx="150">
                  <c:v>1.3538215407497285</c:v>
                </c:pt>
                <c:pt idx="151">
                  <c:v>1.4117684472146932</c:v>
                </c:pt>
                <c:pt idx="152">
                  <c:v>1.4256680724483106</c:v>
                </c:pt>
                <c:pt idx="153">
                  <c:v>1.4333444230261163</c:v>
                </c:pt>
                <c:pt idx="154">
                  <c:v>1.4212648120786324</c:v>
                </c:pt>
                <c:pt idx="155">
                  <c:v>1.404972748710823</c:v>
                </c:pt>
                <c:pt idx="156">
                  <c:v>1.4195720030920673</c:v>
                </c:pt>
                <c:pt idx="157">
                  <c:v>1.4064453946789044</c:v>
                </c:pt>
                <c:pt idx="158">
                  <c:v>1.3944293863812049</c:v>
                </c:pt>
                <c:pt idx="159">
                  <c:v>1.3861855044668632</c:v>
                </c:pt>
                <c:pt idx="160">
                  <c:v>1.3896445101128212</c:v>
                </c:pt>
                <c:pt idx="161">
                  <c:v>1.3791109328062467</c:v>
                </c:pt>
                <c:pt idx="162">
                  <c:v>1.3707985557305986</c:v>
                </c:pt>
                <c:pt idx="163">
                  <c:v>1.3705441451314617</c:v>
                </c:pt>
                <c:pt idx="164">
                  <c:v>1.3502451148272454</c:v>
                </c:pt>
                <c:pt idx="165">
                  <c:v>1.3299656545691165</c:v>
                </c:pt>
                <c:pt idx="166">
                  <c:v>1.3478282141354443</c:v>
                </c:pt>
                <c:pt idx="167">
                  <c:v>1.3599518576866247</c:v>
                </c:pt>
                <c:pt idx="168">
                  <c:v>1.3596436294607475</c:v>
                </c:pt>
                <c:pt idx="169">
                  <c:v>1.3379159857921465</c:v>
                </c:pt>
                <c:pt idx="170">
                  <c:v>1.3314138379795883</c:v>
                </c:pt>
                <c:pt idx="171">
                  <c:v>1.3273236983473096</c:v>
                </c:pt>
                <c:pt idx="172">
                  <c:v>1.3345401528420597</c:v>
                </c:pt>
                <c:pt idx="173">
                  <c:v>1.3030813037564704</c:v>
                </c:pt>
                <c:pt idx="174">
                  <c:v>1.3062565437341604</c:v>
                </c:pt>
                <c:pt idx="175">
                  <c:v>1.3063690714991634</c:v>
                </c:pt>
                <c:pt idx="176">
                  <c:v>1.2995978355529028</c:v>
                </c:pt>
                <c:pt idx="177">
                  <c:v>1.2742399483350781</c:v>
                </c:pt>
                <c:pt idx="178">
                  <c:v>1.2920486902746655</c:v>
                </c:pt>
                <c:pt idx="179">
                  <c:v>1.2663091871581358</c:v>
                </c:pt>
                <c:pt idx="180">
                  <c:v>1.3464240633286693</c:v>
                </c:pt>
                <c:pt idx="181">
                  <c:v>1.3633325831482335</c:v>
                </c:pt>
                <c:pt idx="182">
                  <c:v>1.3166971633218196</c:v>
                </c:pt>
                <c:pt idx="183">
                  <c:v>1.3441196904018708</c:v>
                </c:pt>
                <c:pt idx="184">
                  <c:v>1.3367417830268988</c:v>
                </c:pt>
                <c:pt idx="185">
                  <c:v>1.2816178557100502</c:v>
                </c:pt>
                <c:pt idx="186">
                  <c:v>1.3513752849887961</c:v>
                </c:pt>
                <c:pt idx="187">
                  <c:v>1.4055549575819251</c:v>
                </c:pt>
                <c:pt idx="188">
                  <c:v>1.3749425129896182</c:v>
                </c:pt>
                <c:pt idx="189">
                  <c:v>1.3631711302680116</c:v>
                </c:pt>
                <c:pt idx="190">
                  <c:v>1.342089298120297</c:v>
                </c:pt>
                <c:pt idx="191">
                  <c:v>1.3080667729972504</c:v>
                </c:pt>
                <c:pt idx="192">
                  <c:v>1.3128271867080248</c:v>
                </c:pt>
                <c:pt idx="193">
                  <c:v>1.3091431255320605</c:v>
                </c:pt>
                <c:pt idx="194">
                  <c:v>1.2972494300224078</c:v>
                </c:pt>
                <c:pt idx="195">
                  <c:v>1.2927091793301171</c:v>
                </c:pt>
                <c:pt idx="196">
                  <c:v>1.2732369834730961</c:v>
                </c:pt>
                <c:pt idx="197">
                  <c:v>1.2617053338160611</c:v>
                </c:pt>
                <c:pt idx="198">
                  <c:v>1.2633932502911045</c:v>
                </c:pt>
                <c:pt idx="199">
                  <c:v>1.2661037016742174</c:v>
                </c:pt>
                <c:pt idx="200">
                  <c:v>1.2627914713739152</c:v>
                </c:pt>
                <c:pt idx="201">
                  <c:v>1.2599244596221024</c:v>
                </c:pt>
                <c:pt idx="202">
                  <c:v>1.2491413642279128</c:v>
                </c:pt>
                <c:pt idx="203">
                  <c:v>1.2472626398035167</c:v>
                </c:pt>
                <c:pt idx="204">
                  <c:v>1.2325997827724884</c:v>
                </c:pt>
                <c:pt idx="205">
                  <c:v>1.2242140180240124</c:v>
                </c:pt>
                <c:pt idx="206">
                  <c:v>1.2232404082311614</c:v>
                </c:pt>
                <c:pt idx="207">
                  <c:v>1.2042574635263266</c:v>
                </c:pt>
                <c:pt idx="208">
                  <c:v>1.211654940947386</c:v>
                </c:pt>
                <c:pt idx="209">
                  <c:v>1.1952650273491394</c:v>
                </c:pt>
                <c:pt idx="210">
                  <c:v>1.1867031321858763</c:v>
                </c:pt>
                <c:pt idx="211">
                  <c:v>1.1944186228558569</c:v>
                </c:pt>
                <c:pt idx="212">
                  <c:v>1.2117919312699981</c:v>
                </c:pt>
                <c:pt idx="213">
                  <c:v>1.209477773320156</c:v>
                </c:pt>
                <c:pt idx="214">
                  <c:v>1.2096930438271181</c:v>
                </c:pt>
                <c:pt idx="215">
                  <c:v>1.2032006810376037</c:v>
                </c:pt>
                <c:pt idx="216">
                  <c:v>1.1865221092595672</c:v>
                </c:pt>
                <c:pt idx="217">
                  <c:v>1.1856561347201973</c:v>
                </c:pt>
                <c:pt idx="218">
                  <c:v>1.1929410843762538</c:v>
                </c:pt>
                <c:pt idx="219">
                  <c:v>1.1904214409424934</c:v>
                </c:pt>
                <c:pt idx="220">
                  <c:v>1.189746274352476</c:v>
                </c:pt>
                <c:pt idx="221">
                  <c:v>1.1933178077634374</c:v>
                </c:pt>
                <c:pt idx="222">
                  <c:v>1.1819427184751021</c:v>
                </c:pt>
                <c:pt idx="223">
                  <c:v>1.1652641466970655</c:v>
                </c:pt>
                <c:pt idx="224">
                  <c:v>1.1697505797626153</c:v>
                </c:pt>
                <c:pt idx="225">
                  <c:v>1.1738553969294596</c:v>
                </c:pt>
                <c:pt idx="226">
                  <c:v>1.1664725970429659</c:v>
                </c:pt>
                <c:pt idx="227">
                  <c:v>1.1490992886288247</c:v>
                </c:pt>
                <c:pt idx="228">
                  <c:v>1.1394414708846639</c:v>
                </c:pt>
                <c:pt idx="229">
                  <c:v>1.1524506590213019</c:v>
                </c:pt>
                <c:pt idx="230">
                  <c:v>1.1559634822940006</c:v>
                </c:pt>
                <c:pt idx="231">
                  <c:v>1.1467949157020265</c:v>
                </c:pt>
                <c:pt idx="232">
                  <c:v>1.1635615526874565</c:v>
                </c:pt>
                <c:pt idx="233">
                  <c:v>1.160797283677603</c:v>
                </c:pt>
                <c:pt idx="234">
                  <c:v>1.1659442057986045</c:v>
                </c:pt>
                <c:pt idx="235">
                  <c:v>1.1582238226171022</c:v>
                </c:pt>
                <c:pt idx="236">
                  <c:v>1.1503077389747252</c:v>
                </c:pt>
                <c:pt idx="237">
                  <c:v>1.1331545935790679</c:v>
                </c:pt>
                <c:pt idx="238">
                  <c:v>1.1240153820562246</c:v>
                </c:pt>
                <c:pt idx="239">
                  <c:v>1.1226797264107558</c:v>
                </c:pt>
                <c:pt idx="240">
                  <c:v>1.1112410344726362</c:v>
                </c:pt>
                <c:pt idx="241">
                  <c:v>1.1128702408094171</c:v>
                </c:pt>
                <c:pt idx="242">
                  <c:v>1.1140150885055333</c:v>
                </c:pt>
                <c:pt idx="243">
                  <c:v>1.0953501570496198</c:v>
                </c:pt>
                <c:pt idx="244">
                  <c:v>1.1075618658081938</c:v>
                </c:pt>
                <c:pt idx="245">
                  <c:v>1.1047633492176874</c:v>
                </c:pt>
                <c:pt idx="246">
                  <c:v>1.1054776558998798</c:v>
                </c:pt>
                <c:pt idx="247">
                  <c:v>1.0724140630351184</c:v>
                </c:pt>
                <c:pt idx="248">
                  <c:v>1.0828840376919087</c:v>
                </c:pt>
                <c:pt idx="249">
                  <c:v>1.0674970889556445</c:v>
                </c:pt>
                <c:pt idx="250">
                  <c:v>1.0589596563499906</c:v>
                </c:pt>
                <c:pt idx="251">
                  <c:v>1.0201767175161696</c:v>
                </c:pt>
                <c:pt idx="252">
                  <c:v>1.0403485425208174</c:v>
                </c:pt>
                <c:pt idx="253">
                  <c:v>1.0475649970155678</c:v>
                </c:pt>
                <c:pt idx="254">
                  <c:v>1.0435629225906826</c:v>
                </c:pt>
                <c:pt idx="255">
                  <c:v>1.0537197765100736</c:v>
                </c:pt>
                <c:pt idx="256">
                  <c:v>1.060828595751343</c:v>
                </c:pt>
                <c:pt idx="257">
                  <c:v>1.0590770766265154</c:v>
                </c:pt>
                <c:pt idx="258">
                  <c:v>1.0465864947111949</c:v>
                </c:pt>
                <c:pt idx="259">
                  <c:v>1.0410334941338786</c:v>
                </c:pt>
                <c:pt idx="260">
                  <c:v>1.0665577267434465</c:v>
                </c:pt>
                <c:pt idx="261">
                  <c:v>1.0612053191385264</c:v>
                </c:pt>
                <c:pt idx="262">
                  <c:v>1.0684609137254517</c:v>
                </c:pt>
                <c:pt idx="263">
                  <c:v>1.0685489789328455</c:v>
                </c:pt>
                <c:pt idx="264">
                  <c:v>1.0679716625732654</c:v>
                </c:pt>
                <c:pt idx="265">
                  <c:v>1.0634363043924968</c:v>
                </c:pt>
                <c:pt idx="266">
                  <c:v>1.0641359335401235</c:v>
                </c:pt>
                <c:pt idx="267">
                  <c:v>1.0576337857275653</c:v>
                </c:pt>
                <c:pt idx="268">
                  <c:v>1.0420560290419485</c:v>
                </c:pt>
                <c:pt idx="269">
                  <c:v>1.028870710490523</c:v>
                </c:pt>
                <c:pt idx="270">
                  <c:v>0.99680518997622236</c:v>
                </c:pt>
                <c:pt idx="271">
                  <c:v>1.0133467714316466</c:v>
                </c:pt>
                <c:pt idx="272">
                  <c:v>1.0255046625634805</c:v>
                </c:pt>
                <c:pt idx="273">
                  <c:v>1.027001771089171</c:v>
                </c:pt>
                <c:pt idx="274">
                  <c:v>1.0269675235085178</c:v>
                </c:pt>
                <c:pt idx="275">
                  <c:v>1.0040999246553226</c:v>
                </c:pt>
                <c:pt idx="276">
                  <c:v>1.0013063005763378</c:v>
                </c:pt>
                <c:pt idx="277">
                  <c:v>1.0064581152088612</c:v>
                </c:pt>
                <c:pt idx="278">
                  <c:v>1.010450404610703</c:v>
                </c:pt>
                <c:pt idx="279">
                  <c:v>1.0233079248901631</c:v>
                </c:pt>
                <c:pt idx="280">
                  <c:v>1.01799954988894</c:v>
                </c:pt>
                <c:pt idx="281">
                  <c:v>1.0017906592170023</c:v>
                </c:pt>
                <c:pt idx="282">
                  <c:v>1.0141100032290578</c:v>
                </c:pt>
                <c:pt idx="283">
                  <c:v>0.99608599078250826</c:v>
                </c:pt>
                <c:pt idx="284">
                  <c:v>1.0027593764983316</c:v>
                </c:pt>
                <c:pt idx="285">
                  <c:v>0.98935878743994443</c:v>
                </c:pt>
                <c:pt idx="286">
                  <c:v>0.97849741186140493</c:v>
                </c:pt>
                <c:pt idx="287">
                  <c:v>0.95308570701683992</c:v>
                </c:pt>
                <c:pt idx="288">
                  <c:v>0.93827607464015572</c:v>
                </c:pt>
                <c:pt idx="289">
                  <c:v>0.91234576357427322</c:v>
                </c:pt>
                <c:pt idx="290">
                  <c:v>0.9198166286681605</c:v>
                </c:pt>
                <c:pt idx="291">
                  <c:v>0.94926465551826378</c:v>
                </c:pt>
                <c:pt idx="292">
                  <c:v>0.93295302210436704</c:v>
                </c:pt>
                <c:pt idx="293">
                  <c:v>0.91995361899077266</c:v>
                </c:pt>
                <c:pt idx="294">
                  <c:v>0.94035539203694818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0-48CE-B3C2-F98EE91741D9}"/>
            </c:ext>
          </c:extLst>
        </c:ser>
        <c:ser>
          <c:idx val="5"/>
          <c:order val="1"/>
          <c:tx>
            <c:strRef>
              <c:f>'Graf 7+8'!$J$9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7+8'!$K$9:$KT$9</c:f>
              <c:numCache>
                <c:formatCode>0.0</c:formatCode>
                <c:ptCount val="296"/>
                <c:pt idx="0">
                  <c:v>1.2826180099892273</c:v>
                </c:pt>
                <c:pt idx="1">
                  <c:v>1.2693112819508374</c:v>
                </c:pt>
                <c:pt idx="2">
                  <c:v>1.2944679757124669</c:v>
                </c:pt>
                <c:pt idx="3">
                  <c:v>1.2775866712369013</c:v>
                </c:pt>
                <c:pt idx="4">
                  <c:v>1.251499608265596</c:v>
                </c:pt>
                <c:pt idx="5">
                  <c:v>1.2575592498286163</c:v>
                </c:pt>
                <c:pt idx="6">
                  <c:v>1.2351171530702183</c:v>
                </c:pt>
                <c:pt idx="7">
                  <c:v>1.245008446773088</c:v>
                </c:pt>
                <c:pt idx="8">
                  <c:v>1.2499724561747136</c:v>
                </c:pt>
                <c:pt idx="9">
                  <c:v>1.2610971011654097</c:v>
                </c:pt>
                <c:pt idx="10">
                  <c:v>1.2496847762217216</c:v>
                </c:pt>
                <c:pt idx="11">
                  <c:v>1.2629455978846342</c:v>
                </c:pt>
                <c:pt idx="12">
                  <c:v>1.2515240916658505</c:v>
                </c:pt>
                <c:pt idx="13">
                  <c:v>1.2457643717559495</c:v>
                </c:pt>
                <c:pt idx="14">
                  <c:v>1.2320597884634219</c:v>
                </c:pt>
                <c:pt idx="15">
                  <c:v>1.229507393986877</c:v>
                </c:pt>
                <c:pt idx="16">
                  <c:v>1.2346519684653805</c:v>
                </c:pt>
                <c:pt idx="17">
                  <c:v>1.2164393791009696</c:v>
                </c:pt>
                <c:pt idx="18">
                  <c:v>1.2282526197238273</c:v>
                </c:pt>
                <c:pt idx="19">
                  <c:v>1.2342663549113699</c:v>
                </c:pt>
                <c:pt idx="20">
                  <c:v>1.2176941533640193</c:v>
                </c:pt>
                <c:pt idx="21">
                  <c:v>1.2076314758593674</c:v>
                </c:pt>
                <c:pt idx="22">
                  <c:v>1.1833684262070316</c:v>
                </c:pt>
                <c:pt idx="23">
                  <c:v>1.1742912055626284</c:v>
                </c:pt>
                <c:pt idx="24">
                  <c:v>1.1731710900009793</c:v>
                </c:pt>
                <c:pt idx="25">
                  <c:v>1.1230352071295662</c:v>
                </c:pt>
                <c:pt idx="26">
                  <c:v>1.1129052002742141</c:v>
                </c:pt>
                <c:pt idx="27">
                  <c:v>1.1364765938693566</c:v>
                </c:pt>
                <c:pt idx="28">
                  <c:v>1.1310137351875429</c:v>
                </c:pt>
                <c:pt idx="29">
                  <c:v>1.1188210018607385</c:v>
                </c:pt>
                <c:pt idx="30">
                  <c:v>1.0654686122808736</c:v>
                </c:pt>
                <c:pt idx="31">
                  <c:v>1.1024905738909019</c:v>
                </c:pt>
                <c:pt idx="32">
                  <c:v>1.101615292331799</c:v>
                </c:pt>
                <c:pt idx="33">
                  <c:v>1.1155402262266185</c:v>
                </c:pt>
                <c:pt idx="34">
                  <c:v>1.0872588385074919</c:v>
                </c:pt>
                <c:pt idx="35">
                  <c:v>1.0843942806777005</c:v>
                </c:pt>
                <c:pt idx="36">
                  <c:v>1.0851471452355304</c:v>
                </c:pt>
                <c:pt idx="37">
                  <c:v>1.0668151992948782</c:v>
                </c:pt>
                <c:pt idx="38">
                  <c:v>1.0831670502399373</c:v>
                </c:pt>
                <c:pt idx="39">
                  <c:v>1.0796536823033982</c:v>
                </c:pt>
                <c:pt idx="40">
                  <c:v>1.0612329840368231</c:v>
                </c:pt>
                <c:pt idx="41">
                  <c:v>1.0503592938987367</c:v>
                </c:pt>
                <c:pt idx="42">
                  <c:v>0.98057548232298508</c:v>
                </c:pt>
                <c:pt idx="43">
                  <c:v>0.90533799334051512</c:v>
                </c:pt>
                <c:pt idx="44">
                  <c:v>0.97898712173146607</c:v>
                </c:pt>
                <c:pt idx="45">
                  <c:v>0.99325176280481831</c:v>
                </c:pt>
                <c:pt idx="46">
                  <c:v>1.0017138380178239</c:v>
                </c:pt>
                <c:pt idx="47">
                  <c:v>0.97656020468122606</c:v>
                </c:pt>
                <c:pt idx="48">
                  <c:v>0.96007369503476647</c:v>
                </c:pt>
                <c:pt idx="49">
                  <c:v>1.0049487072764667</c:v>
                </c:pt>
                <c:pt idx="50">
                  <c:v>1.0147787924786995</c:v>
                </c:pt>
                <c:pt idx="51">
                  <c:v>0.99787912545294299</c:v>
                </c:pt>
                <c:pt idx="52">
                  <c:v>1.01469616100284</c:v>
                </c:pt>
                <c:pt idx="53">
                  <c:v>0.99762204975026936</c:v>
                </c:pt>
                <c:pt idx="54">
                  <c:v>1.0114857751444521</c:v>
                </c:pt>
                <c:pt idx="55">
                  <c:v>0.99544914797767114</c:v>
                </c:pt>
                <c:pt idx="56">
                  <c:v>0.97147683870335921</c:v>
                </c:pt>
                <c:pt idx="57">
                  <c:v>1.0132730633630398</c:v>
                </c:pt>
                <c:pt idx="58">
                  <c:v>1.0300166487121731</c:v>
                </c:pt>
                <c:pt idx="59">
                  <c:v>1.0087834198413475</c:v>
                </c:pt>
                <c:pt idx="60">
                  <c:v>1.0082203016354911</c:v>
                </c:pt>
                <c:pt idx="61">
                  <c:v>0.98061220742336697</c:v>
                </c:pt>
                <c:pt idx="62">
                  <c:v>1.0004835471550289</c:v>
                </c:pt>
                <c:pt idx="63">
                  <c:v>0.96517848398785622</c:v>
                </c:pt>
                <c:pt idx="64">
                  <c:v>1.0357365830966605</c:v>
                </c:pt>
                <c:pt idx="65">
                  <c:v>0.93349084320830467</c:v>
                </c:pt>
                <c:pt idx="66">
                  <c:v>0.88919731172265204</c:v>
                </c:pt>
                <c:pt idx="67">
                  <c:v>0.8479519635687004</c:v>
                </c:pt>
                <c:pt idx="68">
                  <c:v>0.89000526393105484</c:v>
                </c:pt>
                <c:pt idx="69">
                  <c:v>0.8960710263441386</c:v>
                </c:pt>
                <c:pt idx="70">
                  <c:v>0.85969481441582607</c:v>
                </c:pt>
                <c:pt idx="71">
                  <c:v>0.88394256194300269</c:v>
                </c:pt>
                <c:pt idx="72">
                  <c:v>0.88531669278229363</c:v>
                </c:pt>
                <c:pt idx="73">
                  <c:v>0.81498812555087641</c:v>
                </c:pt>
                <c:pt idx="74">
                  <c:v>0.835082876309862</c:v>
                </c:pt>
                <c:pt idx="75">
                  <c:v>0.77994931936147294</c:v>
                </c:pt>
                <c:pt idx="76">
                  <c:v>0.79143203408089313</c:v>
                </c:pt>
                <c:pt idx="77">
                  <c:v>0.98915079326216826</c:v>
                </c:pt>
                <c:pt idx="78">
                  <c:v>1.0189654539222406</c:v>
                </c:pt>
                <c:pt idx="79">
                  <c:v>1.1630778082460091</c:v>
                </c:pt>
                <c:pt idx="80">
                  <c:v>1.1755000734502008</c:v>
                </c:pt>
                <c:pt idx="81">
                  <c:v>1.1624993879149936</c:v>
                </c:pt>
                <c:pt idx="82">
                  <c:v>1.1142732102634414</c:v>
                </c:pt>
                <c:pt idx="83">
                  <c:v>1.1565835863284692</c:v>
                </c:pt>
                <c:pt idx="84">
                  <c:v>1.1654894231710902</c:v>
                </c:pt>
                <c:pt idx="85">
                  <c:v>1.1597541866614436</c:v>
                </c:pt>
                <c:pt idx="86">
                  <c:v>1.1548116002350406</c:v>
                </c:pt>
                <c:pt idx="87">
                  <c:v>1.157535378513368</c:v>
                </c:pt>
                <c:pt idx="88">
                  <c:v>1.1557878758201938</c:v>
                </c:pt>
                <c:pt idx="89">
                  <c:v>1.1418660023504066</c:v>
                </c:pt>
                <c:pt idx="90">
                  <c:v>1.1300129762021349</c:v>
                </c:pt>
                <c:pt idx="91">
                  <c:v>1.13345289393791</c:v>
                </c:pt>
                <c:pt idx="92">
                  <c:v>1.1284766428361572</c:v>
                </c:pt>
                <c:pt idx="93">
                  <c:v>1.1359104152384685</c:v>
                </c:pt>
                <c:pt idx="94">
                  <c:v>1.1322501469004016</c:v>
                </c:pt>
                <c:pt idx="95">
                  <c:v>1.1090184604837918</c:v>
                </c:pt>
                <c:pt idx="96">
                  <c:v>1.1093061404367839</c:v>
                </c:pt>
                <c:pt idx="97">
                  <c:v>1.0954515963176965</c:v>
                </c:pt>
                <c:pt idx="98">
                  <c:v>1.0925472529624916</c:v>
                </c:pt>
                <c:pt idx="99">
                  <c:v>1.0548397561453335</c:v>
                </c:pt>
                <c:pt idx="100">
                  <c:v>1.0851899911859759</c:v>
                </c:pt>
                <c:pt idx="101">
                  <c:v>1.0929971354421701</c:v>
                </c:pt>
                <c:pt idx="102">
                  <c:v>1.0864845509744394</c:v>
                </c:pt>
                <c:pt idx="103">
                  <c:v>1.0696766966996376</c:v>
                </c:pt>
                <c:pt idx="104">
                  <c:v>1.0487342082068358</c:v>
                </c:pt>
                <c:pt idx="105">
                  <c:v>1.020422216237391</c:v>
                </c:pt>
                <c:pt idx="106">
                  <c:v>1.0188399764959357</c:v>
                </c:pt>
                <c:pt idx="107">
                  <c:v>1.0202661345607678</c:v>
                </c:pt>
                <c:pt idx="108">
                  <c:v>1.0332362158456567</c:v>
                </c:pt>
                <c:pt idx="109">
                  <c:v>1.0786376211928312</c:v>
                </c:pt>
                <c:pt idx="110">
                  <c:v>1.0650829987268631</c:v>
                </c:pt>
                <c:pt idx="111">
                  <c:v>1.0704234404074038</c:v>
                </c:pt>
                <c:pt idx="112">
                  <c:v>1.079711830379003</c:v>
                </c:pt>
                <c:pt idx="113">
                  <c:v>1.0630967828812066</c:v>
                </c:pt>
                <c:pt idx="114">
                  <c:v>1.0610248751346587</c:v>
                </c:pt>
                <c:pt idx="115">
                  <c:v>1.0341757663304281</c:v>
                </c:pt>
                <c:pt idx="116">
                  <c:v>1.03392787190285</c:v>
                </c:pt>
                <c:pt idx="117">
                  <c:v>1.0039510087160906</c:v>
                </c:pt>
                <c:pt idx="118">
                  <c:v>1.0254566154147486</c:v>
                </c:pt>
                <c:pt idx="119">
                  <c:v>1.0483914406032711</c:v>
                </c:pt>
                <c:pt idx="120">
                  <c:v>1.0286241553226914</c:v>
                </c:pt>
                <c:pt idx="121">
                  <c:v>1.0719077465478406</c:v>
                </c:pt>
                <c:pt idx="122">
                  <c:v>1.0712742385662521</c:v>
                </c:pt>
                <c:pt idx="123">
                  <c:v>1.0709131084124963</c:v>
                </c:pt>
                <c:pt idx="124">
                  <c:v>1.0551825237488983</c:v>
                </c:pt>
                <c:pt idx="125">
                  <c:v>1.0550723484477524</c:v>
                </c:pt>
                <c:pt idx="126">
                  <c:v>1.0257657183429636</c:v>
                </c:pt>
                <c:pt idx="127">
                  <c:v>1.0116938840466163</c:v>
                </c:pt>
                <c:pt idx="128">
                  <c:v>1.0362843991773578</c:v>
                </c:pt>
                <c:pt idx="129">
                  <c:v>1.0049211634511801</c:v>
                </c:pt>
                <c:pt idx="130">
                  <c:v>1.0136433747918911</c:v>
                </c:pt>
                <c:pt idx="131">
                  <c:v>1.000927308784644</c:v>
                </c:pt>
                <c:pt idx="132">
                  <c:v>0.99196026344138677</c:v>
                </c:pt>
                <c:pt idx="133">
                  <c:v>0.95963299383018308</c:v>
                </c:pt>
                <c:pt idx="134">
                  <c:v>0.97049750269317403</c:v>
                </c:pt>
                <c:pt idx="135">
                  <c:v>0.96808588776809312</c:v>
                </c:pt>
                <c:pt idx="136">
                  <c:v>0.95941876407795512</c:v>
                </c:pt>
                <c:pt idx="137">
                  <c:v>0.93956272647145234</c:v>
                </c:pt>
                <c:pt idx="138">
                  <c:v>0.93093538830672806</c:v>
                </c:pt>
                <c:pt idx="139">
                  <c:v>0.91400511703065324</c:v>
                </c:pt>
                <c:pt idx="140">
                  <c:v>0.91831419547546767</c:v>
                </c:pt>
                <c:pt idx="141">
                  <c:v>0.94646704534325721</c:v>
                </c:pt>
                <c:pt idx="142">
                  <c:v>0.93604017725981792</c:v>
                </c:pt>
                <c:pt idx="143">
                  <c:v>0.97111264812457154</c:v>
                </c:pt>
                <c:pt idx="144">
                  <c:v>0.96011960141024388</c:v>
                </c:pt>
                <c:pt idx="145">
                  <c:v>0.97344163157379293</c:v>
                </c:pt>
                <c:pt idx="146">
                  <c:v>0.98836120360395641</c:v>
                </c:pt>
                <c:pt idx="147">
                  <c:v>0.9837460826559592</c:v>
                </c:pt>
                <c:pt idx="148">
                  <c:v>0.9594095828028596</c:v>
                </c:pt>
                <c:pt idx="149">
                  <c:v>0.98264739006953294</c:v>
                </c:pt>
                <c:pt idx="150">
                  <c:v>0.97762523259230238</c:v>
                </c:pt>
                <c:pt idx="151">
                  <c:v>1.0238682548232299</c:v>
                </c:pt>
                <c:pt idx="152">
                  <c:v>1.0402996768191166</c:v>
                </c:pt>
                <c:pt idx="153">
                  <c:v>1.0499736803447262</c:v>
                </c:pt>
                <c:pt idx="154">
                  <c:v>1.0235989374204291</c:v>
                </c:pt>
                <c:pt idx="155">
                  <c:v>1.0079081382822448</c:v>
                </c:pt>
                <c:pt idx="156">
                  <c:v>1.0383716090490647</c:v>
                </c:pt>
                <c:pt idx="157">
                  <c:v>1.0489423171090002</c:v>
                </c:pt>
                <c:pt idx="158">
                  <c:v>1.0322630006855353</c:v>
                </c:pt>
                <c:pt idx="159">
                  <c:v>1.0485873078053081</c:v>
                </c:pt>
                <c:pt idx="160">
                  <c:v>1.0657624130839292</c:v>
                </c:pt>
                <c:pt idx="161">
                  <c:v>1.0794669963764567</c:v>
                </c:pt>
                <c:pt idx="162">
                  <c:v>1.058916242287729</c:v>
                </c:pt>
                <c:pt idx="163">
                  <c:v>1.0572360689452551</c:v>
                </c:pt>
                <c:pt idx="164">
                  <c:v>1.0553845118009988</c:v>
                </c:pt>
                <c:pt idx="165">
                  <c:v>1.0391979238076583</c:v>
                </c:pt>
                <c:pt idx="166">
                  <c:v>1.053275878954069</c:v>
                </c:pt>
                <c:pt idx="167">
                  <c:v>1.072685094505925</c:v>
                </c:pt>
                <c:pt idx="168">
                  <c:v>1.0550203212222113</c:v>
                </c:pt>
                <c:pt idx="169">
                  <c:v>1.0569300264420722</c:v>
                </c:pt>
                <c:pt idx="170">
                  <c:v>1.0758495739888356</c:v>
                </c:pt>
                <c:pt idx="171">
                  <c:v>1.0937224561747136</c:v>
                </c:pt>
                <c:pt idx="172">
                  <c:v>1.091200665948487</c:v>
                </c:pt>
                <c:pt idx="173">
                  <c:v>1.0866314513759672</c:v>
                </c:pt>
                <c:pt idx="174">
                  <c:v>1.076896239349721</c:v>
                </c:pt>
                <c:pt idx="175">
                  <c:v>1.0693737146214866</c:v>
                </c:pt>
                <c:pt idx="176">
                  <c:v>1.0552345509744394</c:v>
                </c:pt>
                <c:pt idx="177">
                  <c:v>1.043023455097444</c:v>
                </c:pt>
                <c:pt idx="178">
                  <c:v>1.0287618744491236</c:v>
                </c:pt>
                <c:pt idx="179">
                  <c:v>1.0093495984722358</c:v>
                </c:pt>
                <c:pt idx="180">
                  <c:v>1.0519905004407013</c:v>
                </c:pt>
                <c:pt idx="181">
                  <c:v>1.0468306238370384</c:v>
                </c:pt>
                <c:pt idx="182">
                  <c:v>1.017514812457154</c:v>
                </c:pt>
                <c:pt idx="183">
                  <c:v>1.0532330330036235</c:v>
                </c:pt>
                <c:pt idx="184">
                  <c:v>1.0487464499069632</c:v>
                </c:pt>
                <c:pt idx="185">
                  <c:v>1.0178943051611007</c:v>
                </c:pt>
                <c:pt idx="186">
                  <c:v>1.0782734306140438</c:v>
                </c:pt>
                <c:pt idx="187">
                  <c:v>1.1162624865341297</c:v>
                </c:pt>
                <c:pt idx="188">
                  <c:v>1.1167705170894133</c:v>
                </c:pt>
                <c:pt idx="189">
                  <c:v>1.105612207423367</c:v>
                </c:pt>
                <c:pt idx="190">
                  <c:v>1.1040881157575164</c:v>
                </c:pt>
                <c:pt idx="191">
                  <c:v>1.0723606894525513</c:v>
                </c:pt>
                <c:pt idx="192">
                  <c:v>1.087488370384879</c:v>
                </c:pt>
                <c:pt idx="193">
                  <c:v>1.0896735138576046</c:v>
                </c:pt>
                <c:pt idx="194">
                  <c:v>1.0991363480560179</c:v>
                </c:pt>
                <c:pt idx="195">
                  <c:v>1.0795802321026344</c:v>
                </c:pt>
                <c:pt idx="196">
                  <c:v>1.0960085936734894</c:v>
                </c:pt>
                <c:pt idx="197">
                  <c:v>1.0856735383410048</c:v>
                </c:pt>
                <c:pt idx="198">
                  <c:v>1.0998433062383706</c:v>
                </c:pt>
                <c:pt idx="199">
                  <c:v>1.1292845950445598</c:v>
                </c:pt>
                <c:pt idx="200">
                  <c:v>1.1177376113994713</c:v>
                </c:pt>
                <c:pt idx="201">
                  <c:v>1.103310767799432</c:v>
                </c:pt>
                <c:pt idx="202">
                  <c:v>1.1031455048477132</c:v>
                </c:pt>
                <c:pt idx="203">
                  <c:v>1.1027690725687984</c:v>
                </c:pt>
                <c:pt idx="204">
                  <c:v>1.1001768925668396</c:v>
                </c:pt>
                <c:pt idx="205">
                  <c:v>1.0838250416217805</c:v>
                </c:pt>
                <c:pt idx="206">
                  <c:v>1.0759077220644404</c:v>
                </c:pt>
                <c:pt idx="207">
                  <c:v>1.0551396777984527</c:v>
                </c:pt>
                <c:pt idx="208">
                  <c:v>1.053973655861326</c:v>
                </c:pt>
                <c:pt idx="209">
                  <c:v>1.0523424493193616</c:v>
                </c:pt>
                <c:pt idx="210">
                  <c:v>1.0546316472431692</c:v>
                </c:pt>
                <c:pt idx="211">
                  <c:v>1.0424848202918422</c:v>
                </c:pt>
                <c:pt idx="212">
                  <c:v>1.0734165360885319</c:v>
                </c:pt>
                <c:pt idx="213">
                  <c:v>1.0612727695622368</c:v>
                </c:pt>
                <c:pt idx="214">
                  <c:v>1.0563699686612478</c:v>
                </c:pt>
                <c:pt idx="215">
                  <c:v>1.0790875036725101</c:v>
                </c:pt>
                <c:pt idx="216">
                  <c:v>1.0600822642248555</c:v>
                </c:pt>
                <c:pt idx="217">
                  <c:v>1.0533615708549604</c:v>
                </c:pt>
                <c:pt idx="218">
                  <c:v>1.0845166976789735</c:v>
                </c:pt>
                <c:pt idx="219">
                  <c:v>1.0845779061796104</c:v>
                </c:pt>
                <c:pt idx="220">
                  <c:v>1.0974898393888943</c:v>
                </c:pt>
                <c:pt idx="221">
                  <c:v>1.0992495837821958</c:v>
                </c:pt>
                <c:pt idx="222">
                  <c:v>1.0953322397414553</c:v>
                </c:pt>
                <c:pt idx="223">
                  <c:v>1.0977775193418862</c:v>
                </c:pt>
                <c:pt idx="224">
                  <c:v>1.1132357261776515</c:v>
                </c:pt>
                <c:pt idx="225">
                  <c:v>1.1197452502203507</c:v>
                </c:pt>
                <c:pt idx="226">
                  <c:v>1.0893858339046127</c:v>
                </c:pt>
                <c:pt idx="227">
                  <c:v>1.052868842424836</c:v>
                </c:pt>
                <c:pt idx="228">
                  <c:v>1.0553141220252669</c:v>
                </c:pt>
                <c:pt idx="229">
                  <c:v>1.0698633826265793</c:v>
                </c:pt>
                <c:pt idx="230">
                  <c:v>1.0714333806679071</c:v>
                </c:pt>
                <c:pt idx="231">
                  <c:v>1.0540562873371855</c:v>
                </c:pt>
                <c:pt idx="232">
                  <c:v>1.0553600284007443</c:v>
                </c:pt>
                <c:pt idx="233">
                  <c:v>1.0455238223484478</c:v>
                </c:pt>
                <c:pt idx="234">
                  <c:v>1.0415819949074527</c:v>
                </c:pt>
                <c:pt idx="235">
                  <c:v>1.0111919743413966</c:v>
                </c:pt>
                <c:pt idx="236">
                  <c:v>1.0126364949564195</c:v>
                </c:pt>
                <c:pt idx="237">
                  <c:v>1.0010130006855351</c:v>
                </c:pt>
                <c:pt idx="238">
                  <c:v>1.001710777592792</c:v>
                </c:pt>
                <c:pt idx="239">
                  <c:v>1.0109593820389775</c:v>
                </c:pt>
                <c:pt idx="240">
                  <c:v>1.0097688767015964</c:v>
                </c:pt>
                <c:pt idx="241">
                  <c:v>1.0173893350308492</c:v>
                </c:pt>
                <c:pt idx="242">
                  <c:v>1.0164191802957594</c:v>
                </c:pt>
                <c:pt idx="243">
                  <c:v>1.0070389775732054</c:v>
                </c:pt>
                <c:pt idx="244">
                  <c:v>1.0019739741455294</c:v>
                </c:pt>
                <c:pt idx="245">
                  <c:v>0.99746596807364596</c:v>
                </c:pt>
                <c:pt idx="246">
                  <c:v>0.97858314562726467</c:v>
                </c:pt>
                <c:pt idx="247">
                  <c:v>0.92275793262168249</c:v>
                </c:pt>
                <c:pt idx="248">
                  <c:v>0.93293384585251204</c:v>
                </c:pt>
                <c:pt idx="249">
                  <c:v>0.92450237488982467</c:v>
                </c:pt>
                <c:pt idx="250">
                  <c:v>0.92731490549407503</c:v>
                </c:pt>
                <c:pt idx="251">
                  <c:v>0.90421175692880229</c:v>
                </c:pt>
                <c:pt idx="252">
                  <c:v>0.94237831750073442</c:v>
                </c:pt>
                <c:pt idx="253">
                  <c:v>0.94189170992067384</c:v>
                </c:pt>
                <c:pt idx="254">
                  <c:v>0.92583672020370189</c:v>
                </c:pt>
                <c:pt idx="255">
                  <c:v>0.91830195377534041</c:v>
                </c:pt>
                <c:pt idx="256">
                  <c:v>0.91881304475565562</c:v>
                </c:pt>
                <c:pt idx="257">
                  <c:v>0.92801574282636368</c:v>
                </c:pt>
                <c:pt idx="258">
                  <c:v>0.89831125746743712</c:v>
                </c:pt>
                <c:pt idx="259">
                  <c:v>0.93440897071785323</c:v>
                </c:pt>
                <c:pt idx="260">
                  <c:v>0.94253133875232586</c:v>
                </c:pt>
                <c:pt idx="261">
                  <c:v>0.9212981098815004</c:v>
                </c:pt>
                <c:pt idx="262">
                  <c:v>0.90839535794731163</c:v>
                </c:pt>
                <c:pt idx="263">
                  <c:v>0.93188105964156309</c:v>
                </c:pt>
                <c:pt idx="264">
                  <c:v>0.91008165213984915</c:v>
                </c:pt>
                <c:pt idx="265">
                  <c:v>0.91529967681911673</c:v>
                </c:pt>
                <c:pt idx="266">
                  <c:v>0.90962870923513861</c:v>
                </c:pt>
                <c:pt idx="267">
                  <c:v>0.90547265204191563</c:v>
                </c:pt>
                <c:pt idx="268">
                  <c:v>0.86855168445793762</c:v>
                </c:pt>
                <c:pt idx="269">
                  <c:v>0.88233889922632458</c:v>
                </c:pt>
                <c:pt idx="270">
                  <c:v>0.84960153266085603</c:v>
                </c:pt>
                <c:pt idx="271">
                  <c:v>0.87196711879345812</c:v>
                </c:pt>
                <c:pt idx="272">
                  <c:v>0.89092339144060329</c:v>
                </c:pt>
                <c:pt idx="273">
                  <c:v>0.91737770541572816</c:v>
                </c:pt>
                <c:pt idx="274">
                  <c:v>0.94214572519831552</c:v>
                </c:pt>
                <c:pt idx="275">
                  <c:v>0.90654686122808736</c:v>
                </c:pt>
                <c:pt idx="276">
                  <c:v>0.90485444618548627</c:v>
                </c:pt>
                <c:pt idx="277">
                  <c:v>0.89879786504749781</c:v>
                </c:pt>
                <c:pt idx="278">
                  <c:v>0.92676096856331414</c:v>
                </c:pt>
                <c:pt idx="279">
                  <c:v>0.96131622759768875</c:v>
                </c:pt>
                <c:pt idx="280">
                  <c:v>0.9347578591714818</c:v>
                </c:pt>
                <c:pt idx="281">
                  <c:v>0.89118964841837234</c:v>
                </c:pt>
                <c:pt idx="282">
                  <c:v>0.90382920379982379</c:v>
                </c:pt>
                <c:pt idx="283">
                  <c:v>0.91406632553128975</c:v>
                </c:pt>
                <c:pt idx="284">
                  <c:v>0.93641966996376458</c:v>
                </c:pt>
                <c:pt idx="285">
                  <c:v>0.94071344628341991</c:v>
                </c:pt>
                <c:pt idx="286">
                  <c:v>0.92955819704240528</c:v>
                </c:pt>
                <c:pt idx="287">
                  <c:v>0.89644745862305353</c:v>
                </c:pt>
                <c:pt idx="288">
                  <c:v>0.87866332876309872</c:v>
                </c:pt>
                <c:pt idx="289">
                  <c:v>0.84350210557242189</c:v>
                </c:pt>
                <c:pt idx="290">
                  <c:v>0.88121572323964348</c:v>
                </c:pt>
                <c:pt idx="291">
                  <c:v>0.9319269660170405</c:v>
                </c:pt>
                <c:pt idx="292">
                  <c:v>0.9252307560473999</c:v>
                </c:pt>
                <c:pt idx="293">
                  <c:v>0.90358436979727741</c:v>
                </c:pt>
                <c:pt idx="294">
                  <c:v>0.92837075213005582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0-48CE-B3C2-F98EE91741D9}"/>
            </c:ext>
          </c:extLst>
        </c:ser>
        <c:ser>
          <c:idx val="0"/>
          <c:order val="2"/>
          <c:tx>
            <c:strRef>
              <c:f>'Graf 7+8'!$J$10</c:f>
              <c:strCache>
                <c:ptCount val="1"/>
                <c:pt idx="0">
                  <c:v>DAX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90-48CE-B3C2-F98EE91741D9}"/>
              </c:ext>
            </c:extLst>
          </c:dPt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7+8'!$K$10:$KT$10</c:f>
              <c:numCache>
                <c:formatCode>0.0</c:formatCode>
                <c:ptCount val="296"/>
                <c:pt idx="0">
                  <c:v>1.4755408400438983</c:v>
                </c:pt>
                <c:pt idx="1">
                  <c:v>1.471472147936193</c:v>
                </c:pt>
                <c:pt idx="2">
                  <c:v>1.487240540593372</c:v>
                </c:pt>
                <c:pt idx="3">
                  <c:v>1.4671353745365592</c:v>
                </c:pt>
                <c:pt idx="4">
                  <c:v>1.4469306088330922</c:v>
                </c:pt>
                <c:pt idx="5">
                  <c:v>1.4585567731948494</c:v>
                </c:pt>
                <c:pt idx="6">
                  <c:v>1.4465508270028604</c:v>
                </c:pt>
                <c:pt idx="7">
                  <c:v>1.4602918548898307</c:v>
                </c:pt>
                <c:pt idx="8">
                  <c:v>1.4567695645819934</c:v>
                </c:pt>
                <c:pt idx="9">
                  <c:v>1.45284887568754</c:v>
                </c:pt>
                <c:pt idx="10">
                  <c:v>1.4379619864451398</c:v>
                </c:pt>
                <c:pt idx="11">
                  <c:v>1.4607889222852812</c:v>
                </c:pt>
                <c:pt idx="12">
                  <c:v>1.460754481285971</c:v>
                </c:pt>
                <c:pt idx="13">
                  <c:v>1.444658433716435</c:v>
                </c:pt>
                <c:pt idx="14">
                  <c:v>1.4369818142215263</c:v>
                </c:pt>
                <c:pt idx="15">
                  <c:v>1.4350391556928643</c:v>
                </c:pt>
                <c:pt idx="16">
                  <c:v>1.4334576622380506</c:v>
                </c:pt>
                <c:pt idx="17">
                  <c:v>1.4089077455945773</c:v>
                </c:pt>
                <c:pt idx="18">
                  <c:v>1.422284815894242</c:v>
                </c:pt>
                <c:pt idx="19">
                  <c:v>1.439051997531418</c:v>
                </c:pt>
                <c:pt idx="20">
                  <c:v>1.4180532271681772</c:v>
                </c:pt>
                <c:pt idx="21">
                  <c:v>1.4062325177022081</c:v>
                </c:pt>
                <c:pt idx="22">
                  <c:v>1.3728871145051527</c:v>
                </c:pt>
                <c:pt idx="23">
                  <c:v>1.36097797544636</c:v>
                </c:pt>
                <c:pt idx="24">
                  <c:v>1.3499373080728772</c:v>
                </c:pt>
                <c:pt idx="25">
                  <c:v>1.2957904721302502</c:v>
                </c:pt>
                <c:pt idx="26">
                  <c:v>1.2832800118402572</c:v>
                </c:pt>
                <c:pt idx="27">
                  <c:v>1.3025427696706975</c:v>
                </c:pt>
                <c:pt idx="28">
                  <c:v>1.3078168967542616</c:v>
                </c:pt>
                <c:pt idx="29">
                  <c:v>1.3084526589847723</c:v>
                </c:pt>
                <c:pt idx="30">
                  <c:v>1.2503823416342348</c:v>
                </c:pt>
                <c:pt idx="31">
                  <c:v>1.2914415978389668</c:v>
                </c:pt>
                <c:pt idx="32">
                  <c:v>1.2834140524862212</c:v>
                </c:pt>
                <c:pt idx="33">
                  <c:v>1.3077833865927706</c:v>
                </c:pt>
                <c:pt idx="34">
                  <c:v>1.2769959257228654</c:v>
                </c:pt>
                <c:pt idx="35">
                  <c:v>1.264750754211343</c:v>
                </c:pt>
                <c:pt idx="36">
                  <c:v>1.2687794202928229</c:v>
                </c:pt>
                <c:pt idx="37">
                  <c:v>1.2207286412281102</c:v>
                </c:pt>
                <c:pt idx="38">
                  <c:v>1.2379174923973819</c:v>
                </c:pt>
                <c:pt idx="39">
                  <c:v>1.2413355288694696</c:v>
                </c:pt>
                <c:pt idx="40">
                  <c:v>1.2228649140231649</c:v>
                </c:pt>
                <c:pt idx="41">
                  <c:v>1.2172305527035718</c:v>
                </c:pt>
                <c:pt idx="42">
                  <c:v>1.1616874600321512</c:v>
                </c:pt>
                <c:pt idx="43">
                  <c:v>1.0757208640781308</c:v>
                </c:pt>
                <c:pt idx="44">
                  <c:v>1.1771142352096851</c:v>
                </c:pt>
                <c:pt idx="45">
                  <c:v>1.2016176099621987</c:v>
                </c:pt>
                <c:pt idx="46">
                  <c:v>1.2148578471024414</c:v>
                </c:pt>
                <c:pt idx="47">
                  <c:v>1.1811438321289844</c:v>
                </c:pt>
                <c:pt idx="48">
                  <c:v>1.1606802935117813</c:v>
                </c:pt>
                <c:pt idx="49">
                  <c:v>1.2209101546028533</c:v>
                </c:pt>
                <c:pt idx="50">
                  <c:v>1.2289702792792709</c:v>
                </c:pt>
                <c:pt idx="51">
                  <c:v>1.1954433627074721</c:v>
                </c:pt>
                <c:pt idx="52">
                  <c:v>1.2131795465144313</c:v>
                </c:pt>
                <c:pt idx="53">
                  <c:v>1.1881958594472126</c:v>
                </c:pt>
                <c:pt idx="54">
                  <c:v>1.2009055190305138</c:v>
                </c:pt>
                <c:pt idx="55">
                  <c:v>1.1798257657770028</c:v>
                </c:pt>
                <c:pt idx="56">
                  <c:v>1.146174116937432</c:v>
                </c:pt>
                <c:pt idx="57">
                  <c:v>1.1950151773106419</c:v>
                </c:pt>
                <c:pt idx="58">
                  <c:v>1.2026061597261848</c:v>
                </c:pt>
                <c:pt idx="59">
                  <c:v>1.1759935064753733</c:v>
                </c:pt>
                <c:pt idx="60">
                  <c:v>1.1661703749693988</c:v>
                </c:pt>
                <c:pt idx="61">
                  <c:v>1.1253261423009007</c:v>
                </c:pt>
                <c:pt idx="62">
                  <c:v>1.1477937747428328</c:v>
                </c:pt>
                <c:pt idx="63">
                  <c:v>1.1122841736161466</c:v>
                </c:pt>
                <c:pt idx="64">
                  <c:v>1.1959106432927085</c:v>
                </c:pt>
                <c:pt idx="65">
                  <c:v>1.0785478185350288</c:v>
                </c:pt>
                <c:pt idx="66">
                  <c:v>1.0307977000859163</c:v>
                </c:pt>
                <c:pt idx="67">
                  <c:v>0.97413760203146049</c:v>
                </c:pt>
                <c:pt idx="68">
                  <c:v>1.0150302382665566</c:v>
                </c:pt>
                <c:pt idx="69">
                  <c:v>1.0110425290491212</c:v>
                </c:pt>
                <c:pt idx="70">
                  <c:v>0.96212234746127945</c:v>
                </c:pt>
                <c:pt idx="71">
                  <c:v>0.9890877882455662</c:v>
                </c:pt>
                <c:pt idx="72">
                  <c:v>0.98340595419719423</c:v>
                </c:pt>
                <c:pt idx="73">
                  <c:v>0.88669469729619543</c:v>
                </c:pt>
                <c:pt idx="74">
                  <c:v>0.89663139101611189</c:v>
                </c:pt>
                <c:pt idx="75">
                  <c:v>0.83114043457094433</c:v>
                </c:pt>
                <c:pt idx="76">
                  <c:v>0.85935692138423025</c:v>
                </c:pt>
                <c:pt idx="77">
                  <c:v>1.0743609100242857</c:v>
                </c:pt>
                <c:pt idx="78">
                  <c:v>1.1067987463476252</c:v>
                </c:pt>
                <c:pt idx="79">
                  <c:v>1.2640153923341781</c:v>
                </c:pt>
                <c:pt idx="80">
                  <c:v>1.2793630462970804</c:v>
                </c:pt>
                <c:pt idx="81">
                  <c:v>1.2579165429428065</c:v>
                </c:pt>
                <c:pt idx="82">
                  <c:v>1.2084108643666904</c:v>
                </c:pt>
                <c:pt idx="83">
                  <c:v>1.2637687203120913</c:v>
                </c:pt>
                <c:pt idx="84">
                  <c:v>1.2590633351360558</c:v>
                </c:pt>
                <c:pt idx="85">
                  <c:v>1.255077487594259</c:v>
                </c:pt>
                <c:pt idx="86">
                  <c:v>1.2304875449245603</c:v>
                </c:pt>
                <c:pt idx="87">
                  <c:v>1.2414686386776146</c:v>
                </c:pt>
                <c:pt idx="88">
                  <c:v>1.2397735830088588</c:v>
                </c:pt>
                <c:pt idx="89">
                  <c:v>1.2364058117790078</c:v>
                </c:pt>
                <c:pt idx="90">
                  <c:v>1.2255950613468665</c:v>
                </c:pt>
                <c:pt idx="91">
                  <c:v>1.2320923093248539</c:v>
                </c:pt>
                <c:pt idx="92">
                  <c:v>1.2253437351356835</c:v>
                </c:pt>
                <c:pt idx="93">
                  <c:v>1.2325921692337622</c:v>
                </c:pt>
                <c:pt idx="94">
                  <c:v>1.2313643941502428</c:v>
                </c:pt>
                <c:pt idx="95">
                  <c:v>1.2064635516489326</c:v>
                </c:pt>
                <c:pt idx="96">
                  <c:v>1.2002697568000029</c:v>
                </c:pt>
                <c:pt idx="97">
                  <c:v>1.1759832672593622</c:v>
                </c:pt>
                <c:pt idx="98">
                  <c:v>1.1646317000542679</c:v>
                </c:pt>
                <c:pt idx="99">
                  <c:v>1.1181977862814982</c:v>
                </c:pt>
                <c:pt idx="100">
                  <c:v>1.152464718919558</c:v>
                </c:pt>
                <c:pt idx="101">
                  <c:v>1.1605695238112967</c:v>
                </c:pt>
                <c:pt idx="102">
                  <c:v>1.1606179273778952</c:v>
                </c:pt>
                <c:pt idx="103">
                  <c:v>1.1348523365425518</c:v>
                </c:pt>
                <c:pt idx="104">
                  <c:v>1.1113533357969507</c:v>
                </c:pt>
                <c:pt idx="105">
                  <c:v>1.080843264597166</c:v>
                </c:pt>
                <c:pt idx="106">
                  <c:v>1.0763035685529474</c:v>
                </c:pt>
                <c:pt idx="107">
                  <c:v>1.0885031290113292</c:v>
                </c:pt>
                <c:pt idx="108">
                  <c:v>1.1051316158134452</c:v>
                </c:pt>
                <c:pt idx="109">
                  <c:v>1.1560912630631452</c:v>
                </c:pt>
                <c:pt idx="110">
                  <c:v>1.1412136821989367</c:v>
                </c:pt>
                <c:pt idx="111">
                  <c:v>1.147101231405351</c:v>
                </c:pt>
                <c:pt idx="112">
                  <c:v>1.1699263055698543</c:v>
                </c:pt>
                <c:pt idx="113">
                  <c:v>1.1541271952646417</c:v>
                </c:pt>
                <c:pt idx="114">
                  <c:v>1.1486464221852162</c:v>
                </c:pt>
                <c:pt idx="115">
                  <c:v>1.125978659612157</c:v>
                </c:pt>
                <c:pt idx="116">
                  <c:v>1.1212295250586195</c:v>
                </c:pt>
                <c:pt idx="117">
                  <c:v>1.0915786171659525</c:v>
                </c:pt>
                <c:pt idx="118">
                  <c:v>1.1180330279875008</c:v>
                </c:pt>
                <c:pt idx="119">
                  <c:v>1.1392468218869758</c:v>
                </c:pt>
                <c:pt idx="120">
                  <c:v>1.1225745857073577</c:v>
                </c:pt>
                <c:pt idx="121">
                  <c:v>1.1554257140224202</c:v>
                </c:pt>
                <c:pt idx="122">
                  <c:v>1.1463435294205255</c:v>
                </c:pt>
                <c:pt idx="123">
                  <c:v>1.1377062852962065</c:v>
                </c:pt>
                <c:pt idx="124">
                  <c:v>1.1169988671703741</c:v>
                </c:pt>
                <c:pt idx="125">
                  <c:v>1.1179129499088245</c:v>
                </c:pt>
                <c:pt idx="126">
                  <c:v>1.0728873937564984</c:v>
                </c:pt>
                <c:pt idx="127">
                  <c:v>1.057819921977174</c:v>
                </c:pt>
                <c:pt idx="128">
                  <c:v>1.0877482195399613</c:v>
                </c:pt>
                <c:pt idx="129">
                  <c:v>1.0665390798295822</c:v>
                </c:pt>
                <c:pt idx="130">
                  <c:v>1.0799282510208963</c:v>
                </c:pt>
                <c:pt idx="131">
                  <c:v>1.0665260481001135</c:v>
                </c:pt>
                <c:pt idx="132">
                  <c:v>1.0518281189350098</c:v>
                </c:pt>
                <c:pt idx="133">
                  <c:v>1.0152443309649717</c:v>
                </c:pt>
                <c:pt idx="134">
                  <c:v>1.0407381171571095</c:v>
                </c:pt>
                <c:pt idx="135">
                  <c:v>1.050151680022638</c:v>
                </c:pt>
                <c:pt idx="136">
                  <c:v>1.043054041651269</c:v>
                </c:pt>
                <c:pt idx="137">
                  <c:v>1.013445952298285</c:v>
                </c:pt>
                <c:pt idx="138">
                  <c:v>1.0022973077377755</c:v>
                </c:pt>
                <c:pt idx="139">
                  <c:v>0.98286792993769889</c:v>
                </c:pt>
                <c:pt idx="140">
                  <c:v>0.98983618185219968</c:v>
                </c:pt>
                <c:pt idx="141">
                  <c:v>1.0114269650684491</c:v>
                </c:pt>
                <c:pt idx="142">
                  <c:v>1.0041962168889351</c:v>
                </c:pt>
                <c:pt idx="143">
                  <c:v>1.0478664731765119</c:v>
                </c:pt>
                <c:pt idx="144">
                  <c:v>1.0418579150536023</c:v>
                </c:pt>
                <c:pt idx="145">
                  <c:v>1.055663170750097</c:v>
                </c:pt>
                <c:pt idx="146">
                  <c:v>1.0731778151560876</c:v>
                </c:pt>
                <c:pt idx="147">
                  <c:v>1.0722311530939652</c:v>
                </c:pt>
                <c:pt idx="148">
                  <c:v>1.0425960694442247</c:v>
                </c:pt>
                <c:pt idx="149">
                  <c:v>1.0754741920560438</c:v>
                </c:pt>
                <c:pt idx="150">
                  <c:v>1.0726798169228176</c:v>
                </c:pt>
                <c:pt idx="151">
                  <c:v>1.1274214582319106</c:v>
                </c:pt>
                <c:pt idx="152">
                  <c:v>1.1399719445481293</c:v>
                </c:pt>
                <c:pt idx="153">
                  <c:v>1.1571133229886224</c:v>
                </c:pt>
                <c:pt idx="154">
                  <c:v>1.1285784896411712</c:v>
                </c:pt>
                <c:pt idx="155">
                  <c:v>1.1132475907590145</c:v>
                </c:pt>
                <c:pt idx="156">
                  <c:v>1.1508934646807552</c:v>
                </c:pt>
                <c:pt idx="157">
                  <c:v>1.1537287966780261</c:v>
                </c:pt>
                <c:pt idx="158">
                  <c:v>1.1366041733182786</c:v>
                </c:pt>
                <c:pt idx="159">
                  <c:v>1.1565054858926875</c:v>
                </c:pt>
                <c:pt idx="160">
                  <c:v>1.1743226525899166</c:v>
                </c:pt>
                <c:pt idx="161">
                  <c:v>1.1970946689987256</c:v>
                </c:pt>
                <c:pt idx="162">
                  <c:v>1.1692644798804059</c:v>
                </c:pt>
                <c:pt idx="163">
                  <c:v>1.1673385764324895</c:v>
                </c:pt>
                <c:pt idx="164">
                  <c:v>1.1631907631101526</c:v>
                </c:pt>
                <c:pt idx="165">
                  <c:v>1.1454890203025037</c:v>
                </c:pt>
                <c:pt idx="166">
                  <c:v>1.1709679130895345</c:v>
                </c:pt>
                <c:pt idx="167">
                  <c:v>1.2110711988539524</c:v>
                </c:pt>
                <c:pt idx="168">
                  <c:v>1.188358756065572</c:v>
                </c:pt>
                <c:pt idx="169">
                  <c:v>1.1844231737660116</c:v>
                </c:pt>
                <c:pt idx="170">
                  <c:v>1.2043189013135052</c:v>
                </c:pt>
                <c:pt idx="171">
                  <c:v>1.2173236364854914</c:v>
                </c:pt>
                <c:pt idx="172">
                  <c:v>1.2102045888442809</c:v>
                </c:pt>
                <c:pt idx="173">
                  <c:v>1.1932968506964063</c:v>
                </c:pt>
                <c:pt idx="174">
                  <c:v>1.1710749594387422</c:v>
                </c:pt>
                <c:pt idx="175">
                  <c:v>1.1673171671626481</c:v>
                </c:pt>
                <c:pt idx="176">
                  <c:v>1.158185648156336</c:v>
                </c:pt>
                <c:pt idx="177">
                  <c:v>1.1394637070988485</c:v>
                </c:pt>
                <c:pt idx="178">
                  <c:v>1.1260093772601905</c:v>
                </c:pt>
                <c:pt idx="179">
                  <c:v>1.1064226878686698</c:v>
                </c:pt>
                <c:pt idx="180">
                  <c:v>1.1532689627953432</c:v>
                </c:pt>
                <c:pt idx="181">
                  <c:v>1.1492756685509926</c:v>
                </c:pt>
                <c:pt idx="182">
                  <c:v>1.1089731834932668</c:v>
                </c:pt>
                <c:pt idx="183">
                  <c:v>1.1620383858899881</c:v>
                </c:pt>
                <c:pt idx="184">
                  <c:v>1.1590755291114874</c:v>
                </c:pt>
                <c:pt idx="185">
                  <c:v>1.1270100279158262</c:v>
                </c:pt>
                <c:pt idx="186">
                  <c:v>1.1900910452470954</c:v>
                </c:pt>
                <c:pt idx="187">
                  <c:v>1.2417534750502885</c:v>
                </c:pt>
                <c:pt idx="188">
                  <c:v>1.2505294140096677</c:v>
                </c:pt>
                <c:pt idx="189">
                  <c:v>1.2328974840384586</c:v>
                </c:pt>
                <c:pt idx="190">
                  <c:v>1.2398424650074793</c:v>
                </c:pt>
                <c:pt idx="191">
                  <c:v>1.2024227846758031</c:v>
                </c:pt>
                <c:pt idx="192">
                  <c:v>1.216864733440628</c:v>
                </c:pt>
                <c:pt idx="193">
                  <c:v>1.2197289214102938</c:v>
                </c:pt>
                <c:pt idx="194">
                  <c:v>1.2243961422357421</c:v>
                </c:pt>
                <c:pt idx="195">
                  <c:v>1.1971961303210179</c:v>
                </c:pt>
                <c:pt idx="196">
                  <c:v>1.2156592984647692</c:v>
                </c:pt>
                <c:pt idx="197">
                  <c:v>1.2095055296420649</c:v>
                </c:pt>
                <c:pt idx="198">
                  <c:v>1.2219545546359911</c:v>
                </c:pt>
                <c:pt idx="199">
                  <c:v>1.2546632647647169</c:v>
                </c:pt>
                <c:pt idx="200">
                  <c:v>1.2303386108734891</c:v>
                </c:pt>
                <c:pt idx="201">
                  <c:v>1.2092774743763619</c:v>
                </c:pt>
                <c:pt idx="202">
                  <c:v>1.2093323938076945</c:v>
                </c:pt>
                <c:pt idx="203">
                  <c:v>1.2059878935233235</c:v>
                </c:pt>
                <c:pt idx="204">
                  <c:v>1.1941588065169817</c:v>
                </c:pt>
                <c:pt idx="205">
                  <c:v>1.1721435612551789</c:v>
                </c:pt>
                <c:pt idx="206">
                  <c:v>1.1652981799328122</c:v>
                </c:pt>
                <c:pt idx="207">
                  <c:v>1.1453009910630261</c:v>
                </c:pt>
                <c:pt idx="208">
                  <c:v>1.1302828536881191</c:v>
                </c:pt>
                <c:pt idx="209">
                  <c:v>1.1326378733706848</c:v>
                </c:pt>
                <c:pt idx="210">
                  <c:v>1.1323818929704059</c:v>
                </c:pt>
                <c:pt idx="211">
                  <c:v>1.1183141410088977</c:v>
                </c:pt>
                <c:pt idx="212">
                  <c:v>1.1447182865882093</c:v>
                </c:pt>
                <c:pt idx="213">
                  <c:v>1.1321501143534261</c:v>
                </c:pt>
                <c:pt idx="214">
                  <c:v>1.1393510757227256</c:v>
                </c:pt>
                <c:pt idx="215">
                  <c:v>1.1758082697493533</c:v>
                </c:pt>
                <c:pt idx="216">
                  <c:v>1.1531851873916157</c:v>
                </c:pt>
                <c:pt idx="217">
                  <c:v>1.1472687822128063</c:v>
                </c:pt>
                <c:pt idx="218">
                  <c:v>1.1852739595327566</c:v>
                </c:pt>
                <c:pt idx="219">
                  <c:v>1.187072338199443</c:v>
                </c:pt>
                <c:pt idx="220">
                  <c:v>1.1929356856225581</c:v>
                </c:pt>
                <c:pt idx="221">
                  <c:v>1.1936077505280178</c:v>
                </c:pt>
                <c:pt idx="222">
                  <c:v>1.1730585748314486</c:v>
                </c:pt>
                <c:pt idx="223">
                  <c:v>1.1764570637093328</c:v>
                </c:pt>
                <c:pt idx="224">
                  <c:v>1.1887180594637816</c:v>
                </c:pt>
                <c:pt idx="225">
                  <c:v>1.1837362154554449</c:v>
                </c:pt>
                <c:pt idx="226">
                  <c:v>1.1577770103537091</c:v>
                </c:pt>
                <c:pt idx="227">
                  <c:v>1.1215264623229431</c:v>
                </c:pt>
                <c:pt idx="228">
                  <c:v>1.1271515152643439</c:v>
                </c:pt>
                <c:pt idx="229">
                  <c:v>1.1379548189939317</c:v>
                </c:pt>
                <c:pt idx="230">
                  <c:v>1.1461285058842914</c:v>
                </c:pt>
                <c:pt idx="231">
                  <c:v>1.1229878776990807</c:v>
                </c:pt>
                <c:pt idx="232">
                  <c:v>1.1258706824251303</c:v>
                </c:pt>
                <c:pt idx="233">
                  <c:v>1.113578038184829</c:v>
                </c:pt>
                <c:pt idx="234">
                  <c:v>1.1195521553084284</c:v>
                </c:pt>
                <c:pt idx="235">
                  <c:v>1.0987637542923259</c:v>
                </c:pt>
                <c:pt idx="236">
                  <c:v>1.0943878857042859</c:v>
                </c:pt>
                <c:pt idx="237">
                  <c:v>1.0860056911424265</c:v>
                </c:pt>
                <c:pt idx="238">
                  <c:v>1.0845647541983112</c:v>
                </c:pt>
                <c:pt idx="239">
                  <c:v>1.0997169322191824</c:v>
                </c:pt>
                <c:pt idx="240">
                  <c:v>1.0825764846165087</c:v>
                </c:pt>
                <c:pt idx="241">
                  <c:v>1.0824880550236853</c:v>
                </c:pt>
                <c:pt idx="242">
                  <c:v>1.0796797173231711</c:v>
                </c:pt>
                <c:pt idx="243">
                  <c:v>1.0687004852457551</c:v>
                </c:pt>
                <c:pt idx="244">
                  <c:v>1.0658027871145983</c:v>
                </c:pt>
                <c:pt idx="245">
                  <c:v>1.0615283798488506</c:v>
                </c:pt>
                <c:pt idx="246">
                  <c:v>1.0428762516278025</c:v>
                </c:pt>
                <c:pt idx="247">
                  <c:v>0.97862237864434642</c:v>
                </c:pt>
                <c:pt idx="248">
                  <c:v>0.99592851537883709</c:v>
                </c:pt>
                <c:pt idx="249">
                  <c:v>0.99269757730840791</c:v>
                </c:pt>
                <c:pt idx="250">
                  <c:v>0.99301313132911539</c:v>
                </c:pt>
                <c:pt idx="251">
                  <c:v>0.95495861960474759</c:v>
                </c:pt>
                <c:pt idx="252">
                  <c:v>0.9956418173305247</c:v>
                </c:pt>
                <c:pt idx="253">
                  <c:v>0.99699525551963553</c:v>
                </c:pt>
                <c:pt idx="254">
                  <c:v>0.9848617845464166</c:v>
                </c:pt>
                <c:pt idx="255">
                  <c:v>0.97652892438897487</c:v>
                </c:pt>
                <c:pt idx="256">
                  <c:v>0.97840549343247374</c:v>
                </c:pt>
                <c:pt idx="257">
                  <c:v>0.98919855794605038</c:v>
                </c:pt>
                <c:pt idx="258">
                  <c:v>0.95654476724865745</c:v>
                </c:pt>
                <c:pt idx="259">
                  <c:v>0.98421578309989477</c:v>
                </c:pt>
                <c:pt idx="260">
                  <c:v>0.99449037094817927</c:v>
                </c:pt>
                <c:pt idx="261">
                  <c:v>0.98554967369480251</c:v>
                </c:pt>
                <c:pt idx="262">
                  <c:v>0.98150890672167301</c:v>
                </c:pt>
                <c:pt idx="263">
                  <c:v>0.99724658173081848</c:v>
                </c:pt>
                <c:pt idx="264">
                  <c:v>0.9650191147546171</c:v>
                </c:pt>
                <c:pt idx="265">
                  <c:v>0.96225359559378609</c:v>
                </c:pt>
                <c:pt idx="266">
                  <c:v>0.94456395367778667</c:v>
                </c:pt>
                <c:pt idx="267">
                  <c:v>0.93706512420634436</c:v>
                </c:pt>
                <c:pt idx="268">
                  <c:v>0.89636517139982186</c:v>
                </c:pt>
                <c:pt idx="269">
                  <c:v>0.90999822209976544</c:v>
                </c:pt>
                <c:pt idx="270">
                  <c:v>0.88961659721065134</c:v>
                </c:pt>
                <c:pt idx="271">
                  <c:v>0.89652341382908518</c:v>
                </c:pt>
                <c:pt idx="272">
                  <c:v>0.91544362334206153</c:v>
                </c:pt>
                <c:pt idx="273">
                  <c:v>0.94044965051694074</c:v>
                </c:pt>
                <c:pt idx="274">
                  <c:v>0.9574886367973221</c:v>
                </c:pt>
                <c:pt idx="275">
                  <c:v>0.92302064319031629</c:v>
                </c:pt>
                <c:pt idx="276">
                  <c:v>0.92645357306751086</c:v>
                </c:pt>
                <c:pt idx="277">
                  <c:v>0.91873227335728069</c:v>
                </c:pt>
                <c:pt idx="278">
                  <c:v>0.93446529417733015</c:v>
                </c:pt>
                <c:pt idx="279">
                  <c:v>0.9656036809050722</c:v>
                </c:pt>
                <c:pt idx="280">
                  <c:v>0.93563814982951699</c:v>
                </c:pt>
                <c:pt idx="281">
                  <c:v>0.8956763514136169</c:v>
                </c:pt>
                <c:pt idx="282">
                  <c:v>0.91172213374091615</c:v>
                </c:pt>
                <c:pt idx="283">
                  <c:v>0.91700091501357628</c:v>
                </c:pt>
                <c:pt idx="284">
                  <c:v>0.92625809712547968</c:v>
                </c:pt>
                <c:pt idx="285">
                  <c:v>0.91511876094316202</c:v>
                </c:pt>
                <c:pt idx="286">
                  <c:v>0.91447089782100177</c:v>
                </c:pt>
                <c:pt idx="287">
                  <c:v>0.88553394253565798</c:v>
                </c:pt>
                <c:pt idx="288">
                  <c:v>0.87387519885022902</c:v>
                </c:pt>
                <c:pt idx="289">
                  <c:v>0.8347297452017638</c:v>
                </c:pt>
                <c:pt idx="290">
                  <c:v>0.86439740817517619</c:v>
                </c:pt>
                <c:pt idx="291">
                  <c:v>0.91204513446417723</c:v>
                </c:pt>
                <c:pt idx="292">
                  <c:v>0.90895196039098902</c:v>
                </c:pt>
                <c:pt idx="293">
                  <c:v>0.88850983104362746</c:v>
                </c:pt>
                <c:pt idx="294">
                  <c:v>0.91681381661191785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90-48CE-B3C2-F98EE91741D9}"/>
            </c:ext>
          </c:extLst>
        </c:ser>
        <c:ser>
          <c:idx val="1"/>
          <c:order val="3"/>
          <c:tx>
            <c:strRef>
              <c:f>'Graf 7+8'!$J$11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 7+8'!$K$7:$KT$7</c:f>
              <c:numCache>
                <c:formatCode>m/d/yyyy</c:formatCode>
                <c:ptCount val="296"/>
                <c:pt idx="0">
                  <c:v>44435</c:v>
                </c:pt>
                <c:pt idx="1">
                  <c:v>44428</c:v>
                </c:pt>
                <c:pt idx="2">
                  <c:v>44421</c:v>
                </c:pt>
                <c:pt idx="3">
                  <c:v>44414</c:v>
                </c:pt>
                <c:pt idx="4">
                  <c:v>44407</c:v>
                </c:pt>
                <c:pt idx="5">
                  <c:v>44400</c:v>
                </c:pt>
                <c:pt idx="6">
                  <c:v>44393</c:v>
                </c:pt>
                <c:pt idx="7">
                  <c:v>44386</c:v>
                </c:pt>
                <c:pt idx="8">
                  <c:v>44379</c:v>
                </c:pt>
                <c:pt idx="9">
                  <c:v>44372</c:v>
                </c:pt>
                <c:pt idx="10">
                  <c:v>44365</c:v>
                </c:pt>
                <c:pt idx="11">
                  <c:v>44358</c:v>
                </c:pt>
                <c:pt idx="12">
                  <c:v>44351</c:v>
                </c:pt>
                <c:pt idx="13">
                  <c:v>44344</c:v>
                </c:pt>
                <c:pt idx="14">
                  <c:v>44337</c:v>
                </c:pt>
                <c:pt idx="15">
                  <c:v>44330</c:v>
                </c:pt>
                <c:pt idx="16">
                  <c:v>44323</c:v>
                </c:pt>
                <c:pt idx="17">
                  <c:v>44316</c:v>
                </c:pt>
                <c:pt idx="18">
                  <c:v>44309</c:v>
                </c:pt>
                <c:pt idx="19">
                  <c:v>44302</c:v>
                </c:pt>
                <c:pt idx="20">
                  <c:v>44295</c:v>
                </c:pt>
                <c:pt idx="21">
                  <c:v>44288</c:v>
                </c:pt>
                <c:pt idx="22">
                  <c:v>44281</c:v>
                </c:pt>
                <c:pt idx="23">
                  <c:v>44274</c:v>
                </c:pt>
                <c:pt idx="24">
                  <c:v>44267</c:v>
                </c:pt>
                <c:pt idx="25">
                  <c:v>44260</c:v>
                </c:pt>
                <c:pt idx="26">
                  <c:v>44253</c:v>
                </c:pt>
                <c:pt idx="27">
                  <c:v>44246</c:v>
                </c:pt>
                <c:pt idx="28">
                  <c:v>44239</c:v>
                </c:pt>
                <c:pt idx="29">
                  <c:v>44232</c:v>
                </c:pt>
                <c:pt idx="30">
                  <c:v>44225</c:v>
                </c:pt>
                <c:pt idx="31">
                  <c:v>44218</c:v>
                </c:pt>
                <c:pt idx="32">
                  <c:v>44211</c:v>
                </c:pt>
                <c:pt idx="33">
                  <c:v>44204</c:v>
                </c:pt>
                <c:pt idx="34">
                  <c:v>44197</c:v>
                </c:pt>
                <c:pt idx="35">
                  <c:v>44190</c:v>
                </c:pt>
                <c:pt idx="36">
                  <c:v>44183</c:v>
                </c:pt>
                <c:pt idx="37">
                  <c:v>44176</c:v>
                </c:pt>
                <c:pt idx="38">
                  <c:v>44169</c:v>
                </c:pt>
                <c:pt idx="39">
                  <c:v>44162</c:v>
                </c:pt>
                <c:pt idx="40">
                  <c:v>44155</c:v>
                </c:pt>
                <c:pt idx="41">
                  <c:v>44148</c:v>
                </c:pt>
                <c:pt idx="42">
                  <c:v>44141</c:v>
                </c:pt>
                <c:pt idx="43">
                  <c:v>44134</c:v>
                </c:pt>
                <c:pt idx="44">
                  <c:v>44127</c:v>
                </c:pt>
                <c:pt idx="45">
                  <c:v>44120</c:v>
                </c:pt>
                <c:pt idx="46">
                  <c:v>44113</c:v>
                </c:pt>
                <c:pt idx="47">
                  <c:v>44106</c:v>
                </c:pt>
                <c:pt idx="48">
                  <c:v>44099</c:v>
                </c:pt>
                <c:pt idx="49">
                  <c:v>44092</c:v>
                </c:pt>
                <c:pt idx="50">
                  <c:v>44085</c:v>
                </c:pt>
                <c:pt idx="51">
                  <c:v>44078</c:v>
                </c:pt>
                <c:pt idx="52">
                  <c:v>44071</c:v>
                </c:pt>
                <c:pt idx="53">
                  <c:v>44064</c:v>
                </c:pt>
                <c:pt idx="54">
                  <c:v>44057</c:v>
                </c:pt>
                <c:pt idx="55">
                  <c:v>44050</c:v>
                </c:pt>
                <c:pt idx="56">
                  <c:v>44043</c:v>
                </c:pt>
                <c:pt idx="57">
                  <c:v>44036</c:v>
                </c:pt>
                <c:pt idx="58">
                  <c:v>44029</c:v>
                </c:pt>
                <c:pt idx="59">
                  <c:v>44022</c:v>
                </c:pt>
                <c:pt idx="60">
                  <c:v>44015</c:v>
                </c:pt>
                <c:pt idx="61">
                  <c:v>44008</c:v>
                </c:pt>
                <c:pt idx="62">
                  <c:v>44001</c:v>
                </c:pt>
                <c:pt idx="63">
                  <c:v>43994</c:v>
                </c:pt>
                <c:pt idx="64">
                  <c:v>43987</c:v>
                </c:pt>
                <c:pt idx="65">
                  <c:v>43980</c:v>
                </c:pt>
                <c:pt idx="66">
                  <c:v>43973</c:v>
                </c:pt>
                <c:pt idx="67">
                  <c:v>43966</c:v>
                </c:pt>
                <c:pt idx="68">
                  <c:v>43959</c:v>
                </c:pt>
                <c:pt idx="69">
                  <c:v>43952</c:v>
                </c:pt>
                <c:pt idx="70">
                  <c:v>43945</c:v>
                </c:pt>
                <c:pt idx="71">
                  <c:v>43938</c:v>
                </c:pt>
                <c:pt idx="72">
                  <c:v>43931</c:v>
                </c:pt>
                <c:pt idx="73">
                  <c:v>43924</c:v>
                </c:pt>
                <c:pt idx="74">
                  <c:v>43917</c:v>
                </c:pt>
                <c:pt idx="75">
                  <c:v>43910</c:v>
                </c:pt>
                <c:pt idx="76">
                  <c:v>43903</c:v>
                </c:pt>
                <c:pt idx="77">
                  <c:v>43896</c:v>
                </c:pt>
                <c:pt idx="78">
                  <c:v>43889</c:v>
                </c:pt>
                <c:pt idx="79">
                  <c:v>43882</c:v>
                </c:pt>
                <c:pt idx="80">
                  <c:v>43875</c:v>
                </c:pt>
                <c:pt idx="81">
                  <c:v>43868</c:v>
                </c:pt>
                <c:pt idx="82">
                  <c:v>43861</c:v>
                </c:pt>
                <c:pt idx="83">
                  <c:v>43854</c:v>
                </c:pt>
                <c:pt idx="84">
                  <c:v>43847</c:v>
                </c:pt>
                <c:pt idx="85">
                  <c:v>43840</c:v>
                </c:pt>
                <c:pt idx="86">
                  <c:v>43833</c:v>
                </c:pt>
                <c:pt idx="87">
                  <c:v>43826</c:v>
                </c:pt>
                <c:pt idx="88">
                  <c:v>43819</c:v>
                </c:pt>
                <c:pt idx="89">
                  <c:v>43812</c:v>
                </c:pt>
                <c:pt idx="90">
                  <c:v>43805</c:v>
                </c:pt>
                <c:pt idx="91">
                  <c:v>43798</c:v>
                </c:pt>
                <c:pt idx="92">
                  <c:v>43791</c:v>
                </c:pt>
                <c:pt idx="93">
                  <c:v>43784</c:v>
                </c:pt>
                <c:pt idx="94">
                  <c:v>43777</c:v>
                </c:pt>
                <c:pt idx="95">
                  <c:v>43770</c:v>
                </c:pt>
                <c:pt idx="96">
                  <c:v>43763</c:v>
                </c:pt>
                <c:pt idx="97">
                  <c:v>43756</c:v>
                </c:pt>
                <c:pt idx="98">
                  <c:v>43749</c:v>
                </c:pt>
                <c:pt idx="99">
                  <c:v>43742</c:v>
                </c:pt>
                <c:pt idx="100">
                  <c:v>43735</c:v>
                </c:pt>
                <c:pt idx="101">
                  <c:v>43728</c:v>
                </c:pt>
                <c:pt idx="102">
                  <c:v>43721</c:v>
                </c:pt>
                <c:pt idx="103">
                  <c:v>43714</c:v>
                </c:pt>
                <c:pt idx="104">
                  <c:v>43707</c:v>
                </c:pt>
                <c:pt idx="105">
                  <c:v>43700</c:v>
                </c:pt>
                <c:pt idx="106">
                  <c:v>43693</c:v>
                </c:pt>
                <c:pt idx="107">
                  <c:v>43686</c:v>
                </c:pt>
                <c:pt idx="108">
                  <c:v>43679</c:v>
                </c:pt>
                <c:pt idx="109">
                  <c:v>43672</c:v>
                </c:pt>
                <c:pt idx="110">
                  <c:v>43665</c:v>
                </c:pt>
                <c:pt idx="111">
                  <c:v>43658</c:v>
                </c:pt>
                <c:pt idx="112">
                  <c:v>43651</c:v>
                </c:pt>
                <c:pt idx="113">
                  <c:v>43644</c:v>
                </c:pt>
                <c:pt idx="114">
                  <c:v>43637</c:v>
                </c:pt>
                <c:pt idx="115">
                  <c:v>43630</c:v>
                </c:pt>
                <c:pt idx="116">
                  <c:v>43623</c:v>
                </c:pt>
                <c:pt idx="117">
                  <c:v>43616</c:v>
                </c:pt>
                <c:pt idx="118">
                  <c:v>43609</c:v>
                </c:pt>
                <c:pt idx="119">
                  <c:v>43602</c:v>
                </c:pt>
                <c:pt idx="120">
                  <c:v>43595</c:v>
                </c:pt>
                <c:pt idx="121">
                  <c:v>43588</c:v>
                </c:pt>
                <c:pt idx="122">
                  <c:v>43581</c:v>
                </c:pt>
                <c:pt idx="123">
                  <c:v>43574</c:v>
                </c:pt>
                <c:pt idx="124">
                  <c:v>43567</c:v>
                </c:pt>
                <c:pt idx="125">
                  <c:v>43560</c:v>
                </c:pt>
                <c:pt idx="126">
                  <c:v>43553</c:v>
                </c:pt>
                <c:pt idx="127">
                  <c:v>43546</c:v>
                </c:pt>
                <c:pt idx="128">
                  <c:v>43539</c:v>
                </c:pt>
                <c:pt idx="129">
                  <c:v>43532</c:v>
                </c:pt>
                <c:pt idx="130">
                  <c:v>43525</c:v>
                </c:pt>
                <c:pt idx="131">
                  <c:v>43518</c:v>
                </c:pt>
                <c:pt idx="132">
                  <c:v>43511</c:v>
                </c:pt>
                <c:pt idx="133">
                  <c:v>43504</c:v>
                </c:pt>
                <c:pt idx="134">
                  <c:v>43497</c:v>
                </c:pt>
                <c:pt idx="135">
                  <c:v>43490</c:v>
                </c:pt>
                <c:pt idx="136">
                  <c:v>43483</c:v>
                </c:pt>
                <c:pt idx="137">
                  <c:v>43476</c:v>
                </c:pt>
                <c:pt idx="138">
                  <c:v>43469</c:v>
                </c:pt>
                <c:pt idx="139">
                  <c:v>43462</c:v>
                </c:pt>
                <c:pt idx="140">
                  <c:v>43455</c:v>
                </c:pt>
                <c:pt idx="141">
                  <c:v>43448</c:v>
                </c:pt>
                <c:pt idx="142">
                  <c:v>43441</c:v>
                </c:pt>
                <c:pt idx="143">
                  <c:v>43434</c:v>
                </c:pt>
                <c:pt idx="144">
                  <c:v>43427</c:v>
                </c:pt>
                <c:pt idx="145">
                  <c:v>43420</c:v>
                </c:pt>
                <c:pt idx="146">
                  <c:v>43413</c:v>
                </c:pt>
                <c:pt idx="147">
                  <c:v>43406</c:v>
                </c:pt>
                <c:pt idx="148">
                  <c:v>43399</c:v>
                </c:pt>
                <c:pt idx="149">
                  <c:v>43392</c:v>
                </c:pt>
                <c:pt idx="150">
                  <c:v>43385</c:v>
                </c:pt>
                <c:pt idx="151">
                  <c:v>43378</c:v>
                </c:pt>
                <c:pt idx="152">
                  <c:v>43371</c:v>
                </c:pt>
                <c:pt idx="153">
                  <c:v>43364</c:v>
                </c:pt>
                <c:pt idx="154">
                  <c:v>43357</c:v>
                </c:pt>
                <c:pt idx="155">
                  <c:v>43350</c:v>
                </c:pt>
                <c:pt idx="156">
                  <c:v>43343</c:v>
                </c:pt>
                <c:pt idx="157">
                  <c:v>43336</c:v>
                </c:pt>
                <c:pt idx="158">
                  <c:v>43329</c:v>
                </c:pt>
                <c:pt idx="159">
                  <c:v>43322</c:v>
                </c:pt>
                <c:pt idx="160">
                  <c:v>43315</c:v>
                </c:pt>
                <c:pt idx="161">
                  <c:v>43308</c:v>
                </c:pt>
                <c:pt idx="162">
                  <c:v>43301</c:v>
                </c:pt>
                <c:pt idx="163">
                  <c:v>43294</c:v>
                </c:pt>
                <c:pt idx="164">
                  <c:v>43287</c:v>
                </c:pt>
                <c:pt idx="165">
                  <c:v>43280</c:v>
                </c:pt>
                <c:pt idx="166">
                  <c:v>43273</c:v>
                </c:pt>
                <c:pt idx="167">
                  <c:v>43266</c:v>
                </c:pt>
                <c:pt idx="168">
                  <c:v>43259</c:v>
                </c:pt>
                <c:pt idx="169">
                  <c:v>43252</c:v>
                </c:pt>
                <c:pt idx="170">
                  <c:v>43245</c:v>
                </c:pt>
                <c:pt idx="171">
                  <c:v>43238</c:v>
                </c:pt>
                <c:pt idx="172">
                  <c:v>43231</c:v>
                </c:pt>
                <c:pt idx="173">
                  <c:v>43224</c:v>
                </c:pt>
                <c:pt idx="174">
                  <c:v>43217</c:v>
                </c:pt>
                <c:pt idx="175">
                  <c:v>43210</c:v>
                </c:pt>
                <c:pt idx="176">
                  <c:v>43203</c:v>
                </c:pt>
                <c:pt idx="177">
                  <c:v>43196</c:v>
                </c:pt>
                <c:pt idx="178">
                  <c:v>43189</c:v>
                </c:pt>
                <c:pt idx="179">
                  <c:v>43182</c:v>
                </c:pt>
                <c:pt idx="180">
                  <c:v>43175</c:v>
                </c:pt>
                <c:pt idx="181">
                  <c:v>43168</c:v>
                </c:pt>
                <c:pt idx="182">
                  <c:v>43161</c:v>
                </c:pt>
                <c:pt idx="183">
                  <c:v>43154</c:v>
                </c:pt>
                <c:pt idx="184">
                  <c:v>43147</c:v>
                </c:pt>
                <c:pt idx="185">
                  <c:v>43140</c:v>
                </c:pt>
                <c:pt idx="186">
                  <c:v>43133</c:v>
                </c:pt>
                <c:pt idx="187">
                  <c:v>43126</c:v>
                </c:pt>
                <c:pt idx="188">
                  <c:v>43119</c:v>
                </c:pt>
                <c:pt idx="189">
                  <c:v>43112</c:v>
                </c:pt>
                <c:pt idx="190">
                  <c:v>43105</c:v>
                </c:pt>
                <c:pt idx="191">
                  <c:v>43098</c:v>
                </c:pt>
                <c:pt idx="192">
                  <c:v>43091</c:v>
                </c:pt>
                <c:pt idx="193">
                  <c:v>43084</c:v>
                </c:pt>
                <c:pt idx="194">
                  <c:v>43077</c:v>
                </c:pt>
                <c:pt idx="195">
                  <c:v>43070</c:v>
                </c:pt>
                <c:pt idx="196">
                  <c:v>43063</c:v>
                </c:pt>
                <c:pt idx="197">
                  <c:v>43056</c:v>
                </c:pt>
                <c:pt idx="198">
                  <c:v>43049</c:v>
                </c:pt>
                <c:pt idx="199">
                  <c:v>43042</c:v>
                </c:pt>
                <c:pt idx="200">
                  <c:v>43035</c:v>
                </c:pt>
                <c:pt idx="201">
                  <c:v>43028</c:v>
                </c:pt>
                <c:pt idx="202">
                  <c:v>43021</c:v>
                </c:pt>
                <c:pt idx="203">
                  <c:v>43014</c:v>
                </c:pt>
                <c:pt idx="204">
                  <c:v>43007</c:v>
                </c:pt>
                <c:pt idx="205">
                  <c:v>43000</c:v>
                </c:pt>
                <c:pt idx="206">
                  <c:v>42993</c:v>
                </c:pt>
                <c:pt idx="207">
                  <c:v>42986</c:v>
                </c:pt>
                <c:pt idx="208">
                  <c:v>42979</c:v>
                </c:pt>
                <c:pt idx="209">
                  <c:v>42972</c:v>
                </c:pt>
                <c:pt idx="210">
                  <c:v>42965</c:v>
                </c:pt>
                <c:pt idx="211">
                  <c:v>42958</c:v>
                </c:pt>
                <c:pt idx="212">
                  <c:v>42951</c:v>
                </c:pt>
                <c:pt idx="213">
                  <c:v>42944</c:v>
                </c:pt>
                <c:pt idx="214">
                  <c:v>42937</c:v>
                </c:pt>
                <c:pt idx="215">
                  <c:v>42930</c:v>
                </c:pt>
                <c:pt idx="216">
                  <c:v>42923</c:v>
                </c:pt>
                <c:pt idx="217">
                  <c:v>42916</c:v>
                </c:pt>
                <c:pt idx="218">
                  <c:v>42909</c:v>
                </c:pt>
                <c:pt idx="219">
                  <c:v>42902</c:v>
                </c:pt>
                <c:pt idx="220">
                  <c:v>42895</c:v>
                </c:pt>
                <c:pt idx="221">
                  <c:v>42888</c:v>
                </c:pt>
                <c:pt idx="222">
                  <c:v>42881</c:v>
                </c:pt>
                <c:pt idx="223">
                  <c:v>42874</c:v>
                </c:pt>
                <c:pt idx="224">
                  <c:v>42867</c:v>
                </c:pt>
                <c:pt idx="225">
                  <c:v>42860</c:v>
                </c:pt>
                <c:pt idx="226">
                  <c:v>42853</c:v>
                </c:pt>
                <c:pt idx="227">
                  <c:v>42846</c:v>
                </c:pt>
                <c:pt idx="228">
                  <c:v>42839</c:v>
                </c:pt>
                <c:pt idx="229">
                  <c:v>42832</c:v>
                </c:pt>
                <c:pt idx="230">
                  <c:v>42825</c:v>
                </c:pt>
                <c:pt idx="231">
                  <c:v>42818</c:v>
                </c:pt>
                <c:pt idx="232">
                  <c:v>42811</c:v>
                </c:pt>
                <c:pt idx="233">
                  <c:v>42804</c:v>
                </c:pt>
                <c:pt idx="234">
                  <c:v>42797</c:v>
                </c:pt>
                <c:pt idx="235">
                  <c:v>42790</c:v>
                </c:pt>
                <c:pt idx="236">
                  <c:v>42783</c:v>
                </c:pt>
                <c:pt idx="237">
                  <c:v>42776</c:v>
                </c:pt>
                <c:pt idx="238">
                  <c:v>42769</c:v>
                </c:pt>
                <c:pt idx="239">
                  <c:v>42762</c:v>
                </c:pt>
                <c:pt idx="240">
                  <c:v>42755</c:v>
                </c:pt>
                <c:pt idx="241">
                  <c:v>42748</c:v>
                </c:pt>
                <c:pt idx="242">
                  <c:v>42741</c:v>
                </c:pt>
                <c:pt idx="243">
                  <c:v>42734</c:v>
                </c:pt>
                <c:pt idx="244">
                  <c:v>42727</c:v>
                </c:pt>
                <c:pt idx="245">
                  <c:v>42720</c:v>
                </c:pt>
                <c:pt idx="246">
                  <c:v>42713</c:v>
                </c:pt>
                <c:pt idx="247">
                  <c:v>42706</c:v>
                </c:pt>
                <c:pt idx="248">
                  <c:v>42699</c:v>
                </c:pt>
                <c:pt idx="249">
                  <c:v>42692</c:v>
                </c:pt>
                <c:pt idx="250">
                  <c:v>42685</c:v>
                </c:pt>
                <c:pt idx="251">
                  <c:v>42678</c:v>
                </c:pt>
                <c:pt idx="252">
                  <c:v>42671</c:v>
                </c:pt>
                <c:pt idx="253">
                  <c:v>42664</c:v>
                </c:pt>
                <c:pt idx="254">
                  <c:v>42657</c:v>
                </c:pt>
                <c:pt idx="255">
                  <c:v>42650</c:v>
                </c:pt>
                <c:pt idx="256">
                  <c:v>42643</c:v>
                </c:pt>
                <c:pt idx="257">
                  <c:v>42636</c:v>
                </c:pt>
                <c:pt idx="258">
                  <c:v>42629</c:v>
                </c:pt>
                <c:pt idx="259">
                  <c:v>42622</c:v>
                </c:pt>
                <c:pt idx="260">
                  <c:v>42615</c:v>
                </c:pt>
                <c:pt idx="261">
                  <c:v>42608</c:v>
                </c:pt>
                <c:pt idx="262">
                  <c:v>42601</c:v>
                </c:pt>
                <c:pt idx="263">
                  <c:v>42594</c:v>
                </c:pt>
                <c:pt idx="264">
                  <c:v>42587</c:v>
                </c:pt>
                <c:pt idx="265">
                  <c:v>42580</c:v>
                </c:pt>
                <c:pt idx="266">
                  <c:v>42573</c:v>
                </c:pt>
                <c:pt idx="267">
                  <c:v>42566</c:v>
                </c:pt>
                <c:pt idx="268">
                  <c:v>42559</c:v>
                </c:pt>
                <c:pt idx="269">
                  <c:v>42552</c:v>
                </c:pt>
                <c:pt idx="270">
                  <c:v>42545</c:v>
                </c:pt>
                <c:pt idx="271">
                  <c:v>42538</c:v>
                </c:pt>
                <c:pt idx="272">
                  <c:v>42531</c:v>
                </c:pt>
                <c:pt idx="273">
                  <c:v>42524</c:v>
                </c:pt>
                <c:pt idx="274">
                  <c:v>42517</c:v>
                </c:pt>
                <c:pt idx="275">
                  <c:v>42510</c:v>
                </c:pt>
                <c:pt idx="276">
                  <c:v>42503</c:v>
                </c:pt>
                <c:pt idx="277">
                  <c:v>42496</c:v>
                </c:pt>
                <c:pt idx="278">
                  <c:v>42489</c:v>
                </c:pt>
                <c:pt idx="279">
                  <c:v>42482</c:v>
                </c:pt>
                <c:pt idx="280">
                  <c:v>42475</c:v>
                </c:pt>
                <c:pt idx="281">
                  <c:v>42468</c:v>
                </c:pt>
                <c:pt idx="282">
                  <c:v>42461</c:v>
                </c:pt>
                <c:pt idx="283">
                  <c:v>42454</c:v>
                </c:pt>
                <c:pt idx="284">
                  <c:v>42447</c:v>
                </c:pt>
                <c:pt idx="285">
                  <c:v>42440</c:v>
                </c:pt>
                <c:pt idx="286">
                  <c:v>42433</c:v>
                </c:pt>
                <c:pt idx="287">
                  <c:v>42426</c:v>
                </c:pt>
                <c:pt idx="288">
                  <c:v>42419</c:v>
                </c:pt>
                <c:pt idx="289">
                  <c:v>42412</c:v>
                </c:pt>
                <c:pt idx="290">
                  <c:v>42405</c:v>
                </c:pt>
                <c:pt idx="291">
                  <c:v>42398</c:v>
                </c:pt>
                <c:pt idx="292">
                  <c:v>42391</c:v>
                </c:pt>
                <c:pt idx="293">
                  <c:v>42384</c:v>
                </c:pt>
                <c:pt idx="294">
                  <c:v>42377</c:v>
                </c:pt>
                <c:pt idx="295">
                  <c:v>42370</c:v>
                </c:pt>
              </c:numCache>
            </c:numRef>
          </c:cat>
          <c:val>
            <c:numRef>
              <c:f>'Graf 7+8'!$K$11:$KT$11</c:f>
              <c:numCache>
                <c:formatCode>0.0</c:formatCode>
                <c:ptCount val="296"/>
                <c:pt idx="0">
                  <c:v>0.99518956640263212</c:v>
                </c:pt>
                <c:pt idx="1">
                  <c:v>0.96839721721007854</c:v>
                </c:pt>
                <c:pt idx="2">
                  <c:v>0.99353438167350538</c:v>
                </c:pt>
                <c:pt idx="3">
                  <c:v>0.97712635292561967</c:v>
                </c:pt>
                <c:pt idx="4">
                  <c:v>0.95992718091355578</c:v>
                </c:pt>
                <c:pt idx="5">
                  <c:v>1.003168528773033</c:v>
                </c:pt>
                <c:pt idx="6">
                  <c:v>1.0000344712422249</c:v>
                </c:pt>
                <c:pt idx="7">
                  <c:v>0.99573517270374923</c:v>
                </c:pt>
                <c:pt idx="8">
                  <c:v>0.99422974009248477</c:v>
                </c:pt>
                <c:pt idx="9">
                  <c:v>1.0193208487158898</c:v>
                </c:pt>
                <c:pt idx="10">
                  <c:v>0.99602026683001899</c:v>
                </c:pt>
                <c:pt idx="11">
                  <c:v>1.0142874822487231</c:v>
                </c:pt>
                <c:pt idx="12">
                  <c:v>1.0148799920433591</c:v>
                </c:pt>
                <c:pt idx="13">
                  <c:v>1.0174057169142474</c:v>
                </c:pt>
                <c:pt idx="14">
                  <c:v>0.98513074490094044</c:v>
                </c:pt>
                <c:pt idx="15">
                  <c:v>0.98620980780304612</c:v>
                </c:pt>
                <c:pt idx="16">
                  <c:v>0.96600683434759782</c:v>
                </c:pt>
                <c:pt idx="17">
                  <c:v>0.97391318106839386</c:v>
                </c:pt>
                <c:pt idx="18">
                  <c:v>0.98162965340578712</c:v>
                </c:pt>
                <c:pt idx="19">
                  <c:v>0.96819491057538154</c:v>
                </c:pt>
                <c:pt idx="20">
                  <c:v>0.97499280907283103</c:v>
                </c:pt>
                <c:pt idx="21">
                  <c:v>0.98451902162703131</c:v>
                </c:pt>
                <c:pt idx="22">
                  <c:v>0.96585227885991742</c:v>
                </c:pt>
                <c:pt idx="23">
                  <c:v>0.96199149973072884</c:v>
                </c:pt>
                <c:pt idx="24">
                  <c:v>0.97567121442186366</c:v>
                </c:pt>
                <c:pt idx="25">
                  <c:v>0.98949050938889271</c:v>
                </c:pt>
                <c:pt idx="26">
                  <c:v>0.99149464480775507</c:v>
                </c:pt>
                <c:pt idx="27">
                  <c:v>1.0443565773108023</c:v>
                </c:pt>
                <c:pt idx="28">
                  <c:v>1.0327493754206483</c:v>
                </c:pt>
                <c:pt idx="29">
                  <c:v>0.98789296509758473</c:v>
                </c:pt>
                <c:pt idx="30">
                  <c:v>0.98414520643470726</c:v>
                </c:pt>
                <c:pt idx="31">
                  <c:v>1.0190914171692782</c:v>
                </c:pt>
                <c:pt idx="32">
                  <c:v>1.0076842615044947</c:v>
                </c:pt>
                <c:pt idx="33">
                  <c:v>1.0087381773528461</c:v>
                </c:pt>
                <c:pt idx="34">
                  <c:v>0.98131969477692871</c:v>
                </c:pt>
                <c:pt idx="35">
                  <c:v>0.95970283528792821</c:v>
                </c:pt>
                <c:pt idx="36">
                  <c:v>0.9592318224945765</c:v>
                </c:pt>
                <c:pt idx="37">
                  <c:v>0.94575271913114389</c:v>
                </c:pt>
                <c:pt idx="38">
                  <c:v>0.9732703771662492</c:v>
                </c:pt>
                <c:pt idx="39">
                  <c:v>0.96302111617882324</c:v>
                </c:pt>
                <c:pt idx="40">
                  <c:v>0.95438070152933641</c:v>
                </c:pt>
                <c:pt idx="41">
                  <c:v>0.93527374404594055</c:v>
                </c:pt>
                <c:pt idx="42">
                  <c:v>0.93585438669161414</c:v>
                </c:pt>
                <c:pt idx="43">
                  <c:v>0.91109527568799809</c:v>
                </c:pt>
                <c:pt idx="44">
                  <c:v>0.92620187376631102</c:v>
                </c:pt>
                <c:pt idx="45">
                  <c:v>0.94269184235227244</c:v>
                </c:pt>
                <c:pt idx="46">
                  <c:v>0.92452888831374036</c:v>
                </c:pt>
                <c:pt idx="47">
                  <c:v>0.90926434413375756</c:v>
                </c:pt>
                <c:pt idx="48">
                  <c:v>0.90965030902621014</c:v>
                </c:pt>
                <c:pt idx="49">
                  <c:v>0.94318122097139967</c:v>
                </c:pt>
                <c:pt idx="50">
                  <c:v>0.92121456313916616</c:v>
                </c:pt>
                <c:pt idx="51">
                  <c:v>0.94806285746254371</c:v>
                </c:pt>
                <c:pt idx="52">
                  <c:v>0.96174963593282292</c:v>
                </c:pt>
                <c:pt idx="53">
                  <c:v>0.95521592277537581</c:v>
                </c:pt>
                <c:pt idx="54">
                  <c:v>0.94939988957900456</c:v>
                </c:pt>
                <c:pt idx="55">
                  <c:v>0.94768649930972748</c:v>
                </c:pt>
                <c:pt idx="56">
                  <c:v>0.93524633658286016</c:v>
                </c:pt>
                <c:pt idx="57">
                  <c:v>0.90325052512134163</c:v>
                </c:pt>
                <c:pt idx="58">
                  <c:v>0.90815589591041102</c:v>
                </c:pt>
                <c:pt idx="59">
                  <c:v>0.95596157530186365</c:v>
                </c:pt>
                <c:pt idx="60">
                  <c:v>0.8908309886295761</c:v>
                </c:pt>
                <c:pt idx="61">
                  <c:v>0.84187560854457333</c:v>
                </c:pt>
                <c:pt idx="62">
                  <c:v>0.83850844630199861</c:v>
                </c:pt>
                <c:pt idx="63">
                  <c:v>0.82497622331939979</c:v>
                </c:pt>
                <c:pt idx="64">
                  <c:v>0.82810067411057131</c:v>
                </c:pt>
                <c:pt idx="65">
                  <c:v>0.80593510025763027</c:v>
                </c:pt>
                <c:pt idx="66">
                  <c:v>0.79503258097492591</c:v>
                </c:pt>
                <c:pt idx="67">
                  <c:v>0.81048643443597979</c:v>
                </c:pt>
                <c:pt idx="68">
                  <c:v>0.81808282252791753</c:v>
                </c:pt>
                <c:pt idx="69">
                  <c:v>0.80811950332025873</c:v>
                </c:pt>
                <c:pt idx="70">
                  <c:v>0.79355314307091307</c:v>
                </c:pt>
                <c:pt idx="71">
                  <c:v>0.80201978875344648</c:v>
                </c:pt>
                <c:pt idx="72">
                  <c:v>0.79019134930048807</c:v>
                </c:pt>
                <c:pt idx="73">
                  <c:v>0.7809677490448359</c:v>
                </c:pt>
                <c:pt idx="74">
                  <c:v>0.78328918942286663</c:v>
                </c:pt>
                <c:pt idx="75">
                  <c:v>0.77577756668066244</c:v>
                </c:pt>
                <c:pt idx="76">
                  <c:v>0.81584586494845424</c:v>
                </c:pt>
                <c:pt idx="77">
                  <c:v>0.8574046206157242</c:v>
                </c:pt>
                <c:pt idx="78">
                  <c:v>0.81383325299461862</c:v>
                </c:pt>
                <c:pt idx="79">
                  <c:v>0.85886201952880636</c:v>
                </c:pt>
                <c:pt idx="80">
                  <c:v>0.82420401098332896</c:v>
                </c:pt>
                <c:pt idx="81">
                  <c:v>0.81260698093514272</c:v>
                </c:pt>
                <c:pt idx="82">
                  <c:v>0.8410214563704268</c:v>
                </c:pt>
                <c:pt idx="83">
                  <c:v>0.8410214563704268</c:v>
                </c:pt>
                <c:pt idx="84">
                  <c:v>0.8689849801451297</c:v>
                </c:pt>
                <c:pt idx="85">
                  <c:v>0.87373042697436876</c:v>
                </c:pt>
                <c:pt idx="86">
                  <c:v>0.87132732930942802</c:v>
                </c:pt>
                <c:pt idx="87">
                  <c:v>0.84907614245325613</c:v>
                </c:pt>
                <c:pt idx="88">
                  <c:v>0.84904873499017575</c:v>
                </c:pt>
                <c:pt idx="89">
                  <c:v>0.83852059600212714</c:v>
                </c:pt>
                <c:pt idx="90">
                  <c:v>0.82279295046143441</c:v>
                </c:pt>
                <c:pt idx="91">
                  <c:v>0.81148157964184953</c:v>
                </c:pt>
                <c:pt idx="92">
                  <c:v>0.81524148800485541</c:v>
                </c:pt>
                <c:pt idx="93">
                  <c:v>0.81695233531364031</c:v>
                </c:pt>
                <c:pt idx="94">
                  <c:v>0.83753392733123078</c:v>
                </c:pt>
                <c:pt idx="95">
                  <c:v>0.83584257605288459</c:v>
                </c:pt>
                <c:pt idx="96">
                  <c:v>0.83491976394545409</c:v>
                </c:pt>
                <c:pt idx="97">
                  <c:v>0.83017516476971243</c:v>
                </c:pt>
                <c:pt idx="98">
                  <c:v>0.84020996942231285</c:v>
                </c:pt>
                <c:pt idx="99">
                  <c:v>0.82086453875500043</c:v>
                </c:pt>
                <c:pt idx="100">
                  <c:v>0.82848720410535548</c:v>
                </c:pt>
                <c:pt idx="101">
                  <c:v>0.84947510469933452</c:v>
                </c:pt>
                <c:pt idx="102">
                  <c:v>0.85647898299663605</c:v>
                </c:pt>
                <c:pt idx="103">
                  <c:v>0.84754075941841933</c:v>
                </c:pt>
                <c:pt idx="104">
                  <c:v>0.81550962906117863</c:v>
                </c:pt>
                <c:pt idx="105">
                  <c:v>0.81867081150390131</c:v>
                </c:pt>
                <c:pt idx="106">
                  <c:v>0.79787476315148531</c:v>
                </c:pt>
                <c:pt idx="107">
                  <c:v>0.78400969489560024</c:v>
                </c:pt>
                <c:pt idx="108">
                  <c:v>0.81031097016203191</c:v>
                </c:pt>
                <c:pt idx="109">
                  <c:v>0.83198349223069068</c:v>
                </c:pt>
                <c:pt idx="110">
                  <c:v>0.82623640151876909</c:v>
                </c:pt>
                <c:pt idx="111">
                  <c:v>0.82802918866562947</c:v>
                </c:pt>
                <c:pt idx="112">
                  <c:v>0.85077823067590208</c:v>
                </c:pt>
                <c:pt idx="113">
                  <c:v>0.84168545161000485</c:v>
                </c:pt>
                <c:pt idx="114">
                  <c:v>0.84821294864180485</c:v>
                </c:pt>
                <c:pt idx="115">
                  <c:v>0.81430511344146761</c:v>
                </c:pt>
                <c:pt idx="116">
                  <c:v>0.79899762148428644</c:v>
                </c:pt>
                <c:pt idx="117">
                  <c:v>0.81902993403560487</c:v>
                </c:pt>
                <c:pt idx="118">
                  <c:v>0.80611706320839116</c:v>
                </c:pt>
                <c:pt idx="119">
                  <c:v>0.81439609491684806</c:v>
                </c:pt>
                <c:pt idx="120">
                  <c:v>0.83047749451709463</c:v>
                </c:pt>
                <c:pt idx="121">
                  <c:v>0.86978827310943607</c:v>
                </c:pt>
                <c:pt idx="122">
                  <c:v>0.87206563550560556</c:v>
                </c:pt>
                <c:pt idx="123">
                  <c:v>0.92416750537271053</c:v>
                </c:pt>
                <c:pt idx="124">
                  <c:v>0.90094971097841259</c:v>
                </c:pt>
                <c:pt idx="125">
                  <c:v>0.91732242083057614</c:v>
                </c:pt>
                <c:pt idx="126">
                  <c:v>0.87329727603723117</c:v>
                </c:pt>
                <c:pt idx="127">
                  <c:v>0.87708091869816251</c:v>
                </c:pt>
                <c:pt idx="128">
                  <c:v>0.85379926774039883</c:v>
                </c:pt>
                <c:pt idx="129">
                  <c:v>0.83913768774818587</c:v>
                </c:pt>
                <c:pt idx="130">
                  <c:v>0.84595960309472651</c:v>
                </c:pt>
                <c:pt idx="131">
                  <c:v>0.79233732540457091</c:v>
                </c:pt>
                <c:pt idx="132">
                  <c:v>0.75791100881503137</c:v>
                </c:pt>
                <c:pt idx="133">
                  <c:v>0.73978450387688455</c:v>
                </c:pt>
                <c:pt idx="134">
                  <c:v>0.73978450387688455</c:v>
                </c:pt>
                <c:pt idx="135">
                  <c:v>0.735119866681058</c:v>
                </c:pt>
                <c:pt idx="136">
                  <c:v>0.73350452166630598</c:v>
                </c:pt>
                <c:pt idx="137">
                  <c:v>0.72158792624962498</c:v>
                </c:pt>
                <c:pt idx="138">
                  <c:v>0.7105788851774224</c:v>
                </c:pt>
                <c:pt idx="139">
                  <c:v>0.70465322212872927</c:v>
                </c:pt>
                <c:pt idx="140">
                  <c:v>0.71096937088852741</c:v>
                </c:pt>
                <c:pt idx="141">
                  <c:v>0.73286454327581918</c:v>
                </c:pt>
                <c:pt idx="142">
                  <c:v>0.73629669228652272</c:v>
                </c:pt>
                <c:pt idx="143">
                  <c:v>0.73129553665225477</c:v>
                </c:pt>
                <c:pt idx="144">
                  <c:v>0.72883592875415859</c:v>
                </c:pt>
                <c:pt idx="145">
                  <c:v>0.75698565374710891</c:v>
                </c:pt>
                <c:pt idx="146">
                  <c:v>0.73431431330742525</c:v>
                </c:pt>
                <c:pt idx="147">
                  <c:v>0.75624141397644995</c:v>
                </c:pt>
                <c:pt idx="148">
                  <c:v>0.73430724952828097</c:v>
                </c:pt>
                <c:pt idx="149">
                  <c:v>0.72063685902561669</c:v>
                </c:pt>
                <c:pt idx="150">
                  <c:v>0.73658630723144503</c:v>
                </c:pt>
                <c:pt idx="151">
                  <c:v>0.79717573156735089</c:v>
                </c:pt>
                <c:pt idx="152">
                  <c:v>0.79717573156735089</c:v>
                </c:pt>
                <c:pt idx="153">
                  <c:v>0.7904326479960625</c:v>
                </c:pt>
                <c:pt idx="154">
                  <c:v>0.75770135585002418</c:v>
                </c:pt>
                <c:pt idx="155">
                  <c:v>0.76353829783266303</c:v>
                </c:pt>
                <c:pt idx="156">
                  <c:v>0.77002256453609907</c:v>
                </c:pt>
                <c:pt idx="157">
                  <c:v>0.77120391096021634</c:v>
                </c:pt>
                <c:pt idx="158">
                  <c:v>0.75411945472145825</c:v>
                </c:pt>
                <c:pt idx="159">
                  <c:v>0.78981809921049562</c:v>
                </c:pt>
                <c:pt idx="160">
                  <c:v>0.77431536439776205</c:v>
                </c:pt>
                <c:pt idx="161">
                  <c:v>0.81193733467224916</c:v>
                </c:pt>
                <c:pt idx="162">
                  <c:v>0.79941381935147737</c:v>
                </c:pt>
                <c:pt idx="163">
                  <c:v>0.79995433973161045</c:v>
                </c:pt>
                <c:pt idx="164">
                  <c:v>0.77623275660873048</c:v>
                </c:pt>
                <c:pt idx="165">
                  <c:v>0.80454127535684805</c:v>
                </c:pt>
                <c:pt idx="166">
                  <c:v>0.81650505681821406</c:v>
                </c:pt>
                <c:pt idx="167">
                  <c:v>0.8538416504152655</c:v>
                </c:pt>
                <c:pt idx="168">
                  <c:v>0.86662624301321611</c:v>
                </c:pt>
                <c:pt idx="169">
                  <c:v>0.8688835442766154</c:v>
                </c:pt>
                <c:pt idx="170">
                  <c:v>0.88757882471147287</c:v>
                </c:pt>
                <c:pt idx="171">
                  <c:v>0.90227148533192136</c:v>
                </c:pt>
                <c:pt idx="172">
                  <c:v>0.89378364831195456</c:v>
                </c:pt>
                <c:pt idx="173">
                  <c:v>0.87337497760782012</c:v>
                </c:pt>
                <c:pt idx="174">
                  <c:v>0.87088824479780924</c:v>
                </c:pt>
                <c:pt idx="175">
                  <c:v>0.86786777283564398</c:v>
                </c:pt>
                <c:pt idx="176">
                  <c:v>0.89259382535286413</c:v>
                </c:pt>
                <c:pt idx="177">
                  <c:v>0.88469906322986502</c:v>
                </c:pt>
                <c:pt idx="178">
                  <c:v>0.89537525902878135</c:v>
                </c:pt>
                <c:pt idx="179">
                  <c:v>0.89081629596895562</c:v>
                </c:pt>
                <c:pt idx="180">
                  <c:v>0.92390897105602376</c:v>
                </c:pt>
                <c:pt idx="181">
                  <c:v>0.93444360872088528</c:v>
                </c:pt>
                <c:pt idx="182">
                  <c:v>0.91957068045667045</c:v>
                </c:pt>
                <c:pt idx="183">
                  <c:v>0.92931756547134337</c:v>
                </c:pt>
                <c:pt idx="184">
                  <c:v>0.9039261049587165</c:v>
                </c:pt>
                <c:pt idx="185">
                  <c:v>0.88434304876098502</c:v>
                </c:pt>
                <c:pt idx="186">
                  <c:v>0.9782150225673617</c:v>
                </c:pt>
                <c:pt idx="187">
                  <c:v>1.0053534969379931</c:v>
                </c:pt>
                <c:pt idx="188">
                  <c:v>0.98550003927461216</c:v>
                </c:pt>
                <c:pt idx="189">
                  <c:v>0.9688512769334835</c:v>
                </c:pt>
                <c:pt idx="190">
                  <c:v>0.9583429165270394</c:v>
                </c:pt>
                <c:pt idx="191">
                  <c:v>0.93444530402787995</c:v>
                </c:pt>
                <c:pt idx="192">
                  <c:v>0.93158899429303166</c:v>
                </c:pt>
                <c:pt idx="193">
                  <c:v>0.92285081694018567</c:v>
                </c:pt>
                <c:pt idx="194">
                  <c:v>0.92959107499981641</c:v>
                </c:pt>
                <c:pt idx="195">
                  <c:v>0.93739655095442964</c:v>
                </c:pt>
                <c:pt idx="196">
                  <c:v>0.94762603336025109</c:v>
                </c:pt>
                <c:pt idx="197">
                  <c:v>0.95584431656806579</c:v>
                </c:pt>
                <c:pt idx="198">
                  <c:v>0.96990575788416644</c:v>
                </c:pt>
                <c:pt idx="199">
                  <c:v>0.95269019790448761</c:v>
                </c:pt>
                <c:pt idx="200">
                  <c:v>0.96542449639492978</c:v>
                </c:pt>
                <c:pt idx="201">
                  <c:v>0.95464093115301796</c:v>
                </c:pt>
                <c:pt idx="202">
                  <c:v>0.95799622624662994</c:v>
                </c:pt>
                <c:pt idx="203">
                  <c:v>0.94624774877358675</c:v>
                </c:pt>
                <c:pt idx="204">
                  <c:v>0.94624774877358675</c:v>
                </c:pt>
                <c:pt idx="205">
                  <c:v>0.94726097725406611</c:v>
                </c:pt>
                <c:pt idx="206">
                  <c:v>0.94756895802476404</c:v>
                </c:pt>
                <c:pt idx="207">
                  <c:v>0.95085333277576578</c:v>
                </c:pt>
                <c:pt idx="208">
                  <c:v>0.95138339876276501</c:v>
                </c:pt>
                <c:pt idx="209">
                  <c:v>0.94132542491457072</c:v>
                </c:pt>
                <c:pt idx="210">
                  <c:v>0.92358177680605302</c:v>
                </c:pt>
                <c:pt idx="211">
                  <c:v>0.90657728254721004</c:v>
                </c:pt>
                <c:pt idx="212">
                  <c:v>0.92170478941179068</c:v>
                </c:pt>
                <c:pt idx="213">
                  <c:v>0.91920675455514866</c:v>
                </c:pt>
                <c:pt idx="214">
                  <c:v>0.91489558886771016</c:v>
                </c:pt>
                <c:pt idx="215">
                  <c:v>0.91049767997237785</c:v>
                </c:pt>
                <c:pt idx="216">
                  <c:v>0.90923750177300855</c:v>
                </c:pt>
                <c:pt idx="217">
                  <c:v>0.90202397051070005</c:v>
                </c:pt>
                <c:pt idx="218">
                  <c:v>0.89226069752841197</c:v>
                </c:pt>
                <c:pt idx="219">
                  <c:v>0.88245419421776006</c:v>
                </c:pt>
                <c:pt idx="220">
                  <c:v>0.89240960199277697</c:v>
                </c:pt>
                <c:pt idx="221">
                  <c:v>0.87747394736975948</c:v>
                </c:pt>
                <c:pt idx="222">
                  <c:v>0.87875079608790974</c:v>
                </c:pt>
                <c:pt idx="223">
                  <c:v>0.87326139203917741</c:v>
                </c:pt>
                <c:pt idx="224">
                  <c:v>0.87125019284117067</c:v>
                </c:pt>
                <c:pt idx="225">
                  <c:v>0.87676700435298327</c:v>
                </c:pt>
                <c:pt idx="226">
                  <c:v>0.89135229553043616</c:v>
                </c:pt>
                <c:pt idx="227">
                  <c:v>0.89657751423916598</c:v>
                </c:pt>
                <c:pt idx="228">
                  <c:v>0.91718001504302415</c:v>
                </c:pt>
                <c:pt idx="229">
                  <c:v>0.92863718226415037</c:v>
                </c:pt>
                <c:pt idx="230">
                  <c:v>0.91052508743545835</c:v>
                </c:pt>
                <c:pt idx="231">
                  <c:v>0.9237854961965789</c:v>
                </c:pt>
                <c:pt idx="232">
                  <c:v>0.91474442399401901</c:v>
                </c:pt>
                <c:pt idx="233">
                  <c:v>0.90776908336446116</c:v>
                </c:pt>
                <c:pt idx="234">
                  <c:v>0.90933780743685977</c:v>
                </c:pt>
                <c:pt idx="235">
                  <c:v>0.91926128693014375</c:v>
                </c:pt>
                <c:pt idx="236">
                  <c:v>0.90475002415812467</c:v>
                </c:pt>
                <c:pt idx="237">
                  <c:v>0.90323102909090303</c:v>
                </c:pt>
                <c:pt idx="238">
                  <c:v>0.88725869424064663</c:v>
                </c:pt>
                <c:pt idx="239">
                  <c:v>0.89262603618576275</c:v>
                </c:pt>
                <c:pt idx="240">
                  <c:v>0.88244656533628396</c:v>
                </c:pt>
                <c:pt idx="241">
                  <c:v>0.87951509699133879</c:v>
                </c:pt>
                <c:pt idx="242">
                  <c:v>0.89125707578756908</c:v>
                </c:pt>
                <c:pt idx="243">
                  <c:v>0.87693625250128426</c:v>
                </c:pt>
                <c:pt idx="244">
                  <c:v>0.87877763844865853</c:v>
                </c:pt>
                <c:pt idx="245">
                  <c:v>0.88240192225209113</c:v>
                </c:pt>
                <c:pt idx="246">
                  <c:v>0.91345514302457465</c:v>
                </c:pt>
                <c:pt idx="247">
                  <c:v>0.91655162125033418</c:v>
                </c:pt>
                <c:pt idx="248">
                  <c:v>0.92166438459508448</c:v>
                </c:pt>
                <c:pt idx="249">
                  <c:v>0.90214518496081875</c:v>
                </c:pt>
                <c:pt idx="250">
                  <c:v>0.90304567552615278</c:v>
                </c:pt>
                <c:pt idx="251">
                  <c:v>0.88306196177534813</c:v>
                </c:pt>
                <c:pt idx="252">
                  <c:v>0.87711538994038751</c:v>
                </c:pt>
                <c:pt idx="253">
                  <c:v>0.8733489829005685</c:v>
                </c:pt>
                <c:pt idx="254">
                  <c:v>0.86568280467068393</c:v>
                </c:pt>
                <c:pt idx="255">
                  <c:v>0.84898233546621793</c:v>
                </c:pt>
                <c:pt idx="256">
                  <c:v>0.84898233546621793</c:v>
                </c:pt>
                <c:pt idx="257">
                  <c:v>0.85723085164877089</c:v>
                </c:pt>
                <c:pt idx="258">
                  <c:v>0.84845848560486581</c:v>
                </c:pt>
                <c:pt idx="259">
                  <c:v>0.8699340695109774</c:v>
                </c:pt>
                <c:pt idx="260">
                  <c:v>0.86668388345103475</c:v>
                </c:pt>
                <c:pt idx="261">
                  <c:v>0.86751938724823996</c:v>
                </c:pt>
                <c:pt idx="262">
                  <c:v>0.87819784345648233</c:v>
                </c:pt>
                <c:pt idx="263">
                  <c:v>0.86196979980119703</c:v>
                </c:pt>
                <c:pt idx="264">
                  <c:v>0.8410689249662775</c:v>
                </c:pt>
                <c:pt idx="265">
                  <c:v>0.84181570769742842</c:v>
                </c:pt>
                <c:pt idx="266">
                  <c:v>0.85127467307417359</c:v>
                </c:pt>
                <c:pt idx="267">
                  <c:v>0.86299489543063901</c:v>
                </c:pt>
                <c:pt idx="268">
                  <c:v>0.8442894431538136</c:v>
                </c:pt>
                <c:pt idx="269">
                  <c:v>0.82857451241558089</c:v>
                </c:pt>
                <c:pt idx="270">
                  <c:v>0.80648183676341034</c:v>
                </c:pt>
                <c:pt idx="271">
                  <c:v>0.81518978114151808</c:v>
                </c:pt>
                <c:pt idx="272">
                  <c:v>0.82707218786713999</c:v>
                </c:pt>
                <c:pt idx="273">
                  <c:v>0.83032802495039815</c:v>
                </c:pt>
                <c:pt idx="274">
                  <c:v>0.79708983601295436</c:v>
                </c:pt>
                <c:pt idx="275">
                  <c:v>0.79834351553551086</c:v>
                </c:pt>
                <c:pt idx="276">
                  <c:v>0.79880294373106553</c:v>
                </c:pt>
                <c:pt idx="277">
                  <c:v>0.82314161860000423</c:v>
                </c:pt>
                <c:pt idx="278">
                  <c:v>0.83022687163304976</c:v>
                </c:pt>
                <c:pt idx="279">
                  <c:v>0.83613671181645932</c:v>
                </c:pt>
                <c:pt idx="280">
                  <c:v>0.86972526419946761</c:v>
                </c:pt>
                <c:pt idx="281">
                  <c:v>0.84340336269793426</c:v>
                </c:pt>
                <c:pt idx="282">
                  <c:v>0.85034620994342769</c:v>
                </c:pt>
                <c:pt idx="283">
                  <c:v>0.84184255005817743</c:v>
                </c:pt>
                <c:pt idx="284">
                  <c:v>0.83498107754842799</c:v>
                </c:pt>
                <c:pt idx="285">
                  <c:v>0.7940558015948318</c:v>
                </c:pt>
                <c:pt idx="286">
                  <c:v>0.81209358546692434</c:v>
                </c:pt>
                <c:pt idx="287">
                  <c:v>0.78187841145213788</c:v>
                </c:pt>
                <c:pt idx="288">
                  <c:v>0.80810226769914639</c:v>
                </c:pt>
                <c:pt idx="289">
                  <c:v>0.78082788621777588</c:v>
                </c:pt>
                <c:pt idx="290">
                  <c:v>0.78082788621777588</c:v>
                </c:pt>
                <c:pt idx="291">
                  <c:v>0.77351207143345557</c:v>
                </c:pt>
                <c:pt idx="292">
                  <c:v>0.82407827571455783</c:v>
                </c:pt>
                <c:pt idx="293">
                  <c:v>0.81967245538658362</c:v>
                </c:pt>
                <c:pt idx="294">
                  <c:v>0.90032442524854617</c:v>
                </c:pt>
                <c:pt idx="2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90-48CE-B3C2-F98EE917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026064"/>
        <c:axId val="319026456"/>
      </c:lineChart>
      <c:dateAx>
        <c:axId val="3190260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9026456"/>
        <c:crosses val="autoZero"/>
        <c:auto val="1"/>
        <c:lblOffset val="100"/>
        <c:baseTimeUnit val="days"/>
        <c:majorUnit val="12"/>
        <c:majorTimeUnit val="months"/>
      </c:dateAx>
      <c:valAx>
        <c:axId val="319026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n-US"/>
          </a:p>
        </c:txPr>
        <c:crossAx val="3190260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212301587301588"/>
          <c:y val="4.4335976347265153E-2"/>
          <c:w val="0.6800194444444444"/>
          <c:h val="0.13826457017425975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7+8'!$I$19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7+8'!$J$18:$O$18</c:f>
              <c:strCache>
                <c:ptCount val="6"/>
                <c:pt idx="0">
                  <c:v>vážená EA+V3</c:v>
                </c:pt>
                <c:pt idx="1">
                  <c:v>eurozóna</c:v>
                </c:pt>
                <c:pt idx="2">
                  <c:v>Nemecko</c:v>
                </c:pt>
                <c:pt idx="3">
                  <c:v>Česko</c:v>
                </c:pt>
                <c:pt idx="4">
                  <c:v>Poľsko</c:v>
                </c:pt>
                <c:pt idx="5">
                  <c:v>Maďarsko</c:v>
                </c:pt>
              </c:strCache>
            </c:strRef>
          </c:cat>
          <c:val>
            <c:numRef>
              <c:f>'Graf 7+8'!$J$19:$O$19</c:f>
              <c:numCache>
                <c:formatCode>0.0</c:formatCode>
                <c:ptCount val="6"/>
                <c:pt idx="0">
                  <c:v>4.6652336584090293</c:v>
                </c:pt>
                <c:pt idx="1">
                  <c:v>4.4950050425430543</c:v>
                </c:pt>
                <c:pt idx="2">
                  <c:v>3.1596413452720462</c:v>
                </c:pt>
                <c:pt idx="3">
                  <c:v>3.1462177184380824</c:v>
                </c:pt>
                <c:pt idx="4">
                  <c:v>5.4363103557902637</c:v>
                </c:pt>
                <c:pt idx="5">
                  <c:v>7.5495688737547528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B-49A4-A19B-20C811E6E24C}"/>
            </c:ext>
          </c:extLst>
        </c:ser>
        <c:ser>
          <c:idx val="2"/>
          <c:order val="1"/>
          <c:tx>
            <c:strRef>
              <c:f>'Graf 7+8'!$I$20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7+8'!$J$18:$O$18</c:f>
              <c:strCache>
                <c:ptCount val="6"/>
                <c:pt idx="0">
                  <c:v>vážená EA+V3</c:v>
                </c:pt>
                <c:pt idx="1">
                  <c:v>eurozóna</c:v>
                </c:pt>
                <c:pt idx="2">
                  <c:v>Nemecko</c:v>
                </c:pt>
                <c:pt idx="3">
                  <c:v>Česko</c:v>
                </c:pt>
                <c:pt idx="4">
                  <c:v>Poľsko</c:v>
                </c:pt>
                <c:pt idx="5">
                  <c:v>Maďarsko</c:v>
                </c:pt>
              </c:strCache>
            </c:strRef>
          </c:cat>
          <c:val>
            <c:numRef>
              <c:f>'Graf 7+8'!$J$20:$O$20</c:f>
              <c:numCache>
                <c:formatCode>0.0</c:formatCode>
                <c:ptCount val="6"/>
                <c:pt idx="0">
                  <c:v>4.7830334762805071</c:v>
                </c:pt>
                <c:pt idx="1">
                  <c:v>4.5717025538137612</c:v>
                </c:pt>
                <c:pt idx="2">
                  <c:v>4.6408084322331788</c:v>
                </c:pt>
                <c:pt idx="3">
                  <c:v>4.6471342811108318</c:v>
                </c:pt>
                <c:pt idx="4">
                  <c:v>5.6323489126972603</c:v>
                </c:pt>
                <c:pt idx="5">
                  <c:v>4.9869539253701634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B-49A4-A19B-20C811E6E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027240"/>
        <c:axId val="319027632"/>
      </c:barChart>
      <c:catAx>
        <c:axId val="31902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9027632"/>
        <c:crosses val="autoZero"/>
        <c:auto val="1"/>
        <c:lblAlgn val="ctr"/>
        <c:lblOffset val="100"/>
        <c:noMultiLvlLbl val="0"/>
      </c:catAx>
      <c:valAx>
        <c:axId val="319027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3190272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2868893776922392E-2"/>
          <c:y val="8.1445873691043613E-2"/>
          <c:w val="0.31322972222222223"/>
          <c:h val="7.58880139982502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areaChart>
        <c:grouping val="stacked"/>
        <c:varyColors val="0"/>
        <c:ser>
          <c:idx val="6"/>
          <c:order val="1"/>
          <c:tx>
            <c:strRef>
              <c:f>'[63]Zhrnutie '!$J$23</c:f>
              <c:strCache>
                <c:ptCount val="1"/>
                <c:pt idx="0">
                  <c:v>Čistý dlh VS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'!$K$23:$P$23</c:f>
              <c:numCache>
                <c:formatCode>General</c:formatCode>
                <c:ptCount val="6"/>
                <c:pt idx="0">
                  <c:v>43.250581327947607</c:v>
                </c:pt>
                <c:pt idx="1">
                  <c:v>49.661725644103569</c:v>
                </c:pt>
                <c:pt idx="2">
                  <c:v>55.534097227024418</c:v>
                </c:pt>
                <c:pt idx="3">
                  <c:v>55.621381679478233</c:v>
                </c:pt>
                <c:pt idx="4">
                  <c:v>54.020982830262199</c:v>
                </c:pt>
                <c:pt idx="5">
                  <c:v>54.753581158659571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A-4425-AE6B-5CD885083BDF}"/>
            </c:ext>
          </c:extLst>
        </c:ser>
        <c:ser>
          <c:idx val="8"/>
          <c:order val="7"/>
          <c:tx>
            <c:strRef>
              <c:f>'[63]Zhrnutie '!$J$22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'!$K$22:$P$22</c:f>
              <c:numCache>
                <c:formatCode>General</c:formatCode>
                <c:ptCount val="6"/>
                <c:pt idx="0">
                  <c:v>4.8918620126802637</c:v>
                </c:pt>
                <c:pt idx="1">
                  <c:v>10.080012269430554</c:v>
                </c:pt>
                <c:pt idx="2">
                  <c:v>6.004766082767631</c:v>
                </c:pt>
                <c:pt idx="3">
                  <c:v>5.8595971012867025</c:v>
                </c:pt>
                <c:pt idx="4">
                  <c:v>4.5852871293209461</c:v>
                </c:pt>
                <c:pt idx="5">
                  <c:v>3.9349158204018835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A-4425-AE6B-5CD88508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935312"/>
        <c:axId val="313935704"/>
      </c:areaChart>
      <c:lineChart>
        <c:grouping val="standard"/>
        <c:varyColors val="0"/>
        <c:ser>
          <c:idx val="0"/>
          <c:order val="0"/>
          <c:tx>
            <c:strRef>
              <c:f>'[63]Zhrnutie '!$J$21</c:f>
              <c:strCache>
                <c:ptCount val="1"/>
                <c:pt idx="0">
                  <c:v>Hrubý dlh VS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0A-4425-AE6B-5CD885083B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0A-4425-AE6B-5CD885083B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0A-4425-AE6B-5CD885083B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0A-4425-AE6B-5CD885083B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40A-4425-AE6B-5CD885083BD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48,1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9E-4337-8E83-1BCA51B179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59,7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A-4425-AE6B-5CD885083BD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61,5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0A-4425-AE6B-5CD885083B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61,5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0A-4425-AE6B-5CD885083BD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58,6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0A-4425-AE6B-5CD885083BD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58,7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0A-4425-AE6B-5CD885083B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'!$K$21:$P$21</c:f>
              <c:numCache>
                <c:formatCode>General</c:formatCode>
                <c:ptCount val="6"/>
                <c:pt idx="0">
                  <c:v>48.142443340627871</c:v>
                </c:pt>
                <c:pt idx="1">
                  <c:v>59.741737913534124</c:v>
                </c:pt>
                <c:pt idx="2">
                  <c:v>61.538863309792049</c:v>
                </c:pt>
                <c:pt idx="3">
                  <c:v>61.480978780764936</c:v>
                </c:pt>
                <c:pt idx="4">
                  <c:v>58.606269959583145</c:v>
                </c:pt>
                <c:pt idx="5">
                  <c:v>58.688496979061455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40A-4425-AE6B-5CD885083BDF}"/>
            </c:ext>
          </c:extLst>
        </c:ser>
        <c:ser>
          <c:idx val="1"/>
          <c:order val="2"/>
          <c:tx>
            <c:strRef>
              <c:f>'[63]Zhrnutie '!$J$25</c:f>
              <c:strCache>
                <c:ptCount val="1"/>
                <c:pt idx="0">
                  <c:v>4. sankčné pásmo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'!$K$25:$P$25</c:f>
              <c:numCache>
                <c:formatCode>General</c:formatCode>
                <c:ptCount val="6"/>
                <c:pt idx="0">
                  <c:v>55</c:v>
                </c:pt>
                <c:pt idx="1">
                  <c:v>54</c:v>
                </c:pt>
                <c:pt idx="2">
                  <c:v>53</c:v>
                </c:pt>
                <c:pt idx="3">
                  <c:v>52</c:v>
                </c:pt>
                <c:pt idx="4">
                  <c:v>51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40A-4425-AE6B-5CD885083BDF}"/>
            </c:ext>
          </c:extLst>
        </c:ser>
        <c:ser>
          <c:idx val="2"/>
          <c:order val="3"/>
          <c:tx>
            <c:strRef>
              <c:f>'[63]Zhrnutie '!$J$28</c:f>
              <c:strCache>
                <c:ptCount val="1"/>
                <c:pt idx="0">
                  <c:v>Dolné sankčné pásmo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'!$K$28:$P$28</c:f>
              <c:numCache>
                <c:formatCode>General</c:formatCode>
                <c:ptCount val="6"/>
                <c:pt idx="0">
                  <c:v>48</c:v>
                </c:pt>
                <c:pt idx="1">
                  <c:v>47</c:v>
                </c:pt>
                <c:pt idx="2">
                  <c:v>46</c:v>
                </c:pt>
                <c:pt idx="3">
                  <c:v>45</c:v>
                </c:pt>
                <c:pt idx="4">
                  <c:v>44</c:v>
                </c:pt>
                <c:pt idx="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40A-4425-AE6B-5CD885083BDF}"/>
            </c:ext>
          </c:extLst>
        </c:ser>
        <c:ser>
          <c:idx val="3"/>
          <c:order val="4"/>
          <c:tx>
            <c:strRef>
              <c:f>'[63]Zhrnutie '!$J$26</c:f>
              <c:strCache>
                <c:ptCount val="1"/>
                <c:pt idx="0">
                  <c:v>3. sankčné pásmo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'!$K$26:$P$26</c:f>
              <c:numCache>
                <c:formatCode>General</c:formatCode>
                <c:ptCount val="6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40A-4425-AE6B-5CD885083BDF}"/>
            </c:ext>
          </c:extLst>
        </c:ser>
        <c:ser>
          <c:idx val="4"/>
          <c:order val="5"/>
          <c:tx>
            <c:strRef>
              <c:f>'[63]Zhrnutie '!$J$27</c:f>
              <c:strCache>
                <c:ptCount val="1"/>
                <c:pt idx="0">
                  <c:v>2. sankčné pásmo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'!$K$27:$P$27</c:f>
              <c:numCache>
                <c:formatCode>General</c:formatCode>
                <c:ptCount val="6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40A-4425-AE6B-5CD885083BDF}"/>
            </c:ext>
          </c:extLst>
        </c:ser>
        <c:ser>
          <c:idx val="5"/>
          <c:order val="6"/>
          <c:tx>
            <c:strRef>
              <c:f>'[63]Zhrnutie '!$J$24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'!$K$24:$P$24</c:f>
              <c:numCache>
                <c:formatCode>General</c:formatCode>
                <c:ptCount val="6"/>
                <c:pt idx="0">
                  <c:v>58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40A-4425-AE6B-5CD885083BDF}"/>
            </c:ext>
          </c:extLst>
        </c:ser>
        <c:ser>
          <c:idx val="7"/>
          <c:order val="8"/>
          <c:tx>
            <c:strRef>
              <c:f>'[63]Zhrnutie '!$J$23</c:f>
              <c:strCache>
                <c:ptCount val="1"/>
                <c:pt idx="0">
                  <c:v>Čistý dlh VS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'!$K$23:$P$23</c:f>
              <c:numCache>
                <c:formatCode>General</c:formatCode>
                <c:ptCount val="6"/>
                <c:pt idx="0">
                  <c:v>43.250581327947607</c:v>
                </c:pt>
                <c:pt idx="1">
                  <c:v>49.661725644103569</c:v>
                </c:pt>
                <c:pt idx="2">
                  <c:v>55.534097227024418</c:v>
                </c:pt>
                <c:pt idx="3">
                  <c:v>55.621381679478233</c:v>
                </c:pt>
                <c:pt idx="4">
                  <c:v>54.020982830262199</c:v>
                </c:pt>
                <c:pt idx="5">
                  <c:v>54.753581158659571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40A-4425-AE6B-5CD88508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5312"/>
        <c:axId val="313935704"/>
      </c:lineChart>
      <c:catAx>
        <c:axId val="3139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3935704"/>
        <c:crosses val="autoZero"/>
        <c:auto val="1"/>
        <c:lblAlgn val="ctr"/>
        <c:lblOffset val="100"/>
        <c:noMultiLvlLbl val="0"/>
      </c:catAx>
      <c:valAx>
        <c:axId val="313935704"/>
        <c:scaling>
          <c:orientation val="minMax"/>
          <c:max val="7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39353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ayout>
        <c:manualLayout>
          <c:xMode val="edge"/>
          <c:yMode val="edge"/>
          <c:x val="3.9716728317815579E-2"/>
          <c:y val="0"/>
          <c:w val="0.9602833496488925"/>
          <c:h val="0.1820897680329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7+8'!$I$19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7+8'!$J$17:$O$17</c:f>
              <c:strCache>
                <c:ptCount val="6"/>
                <c:pt idx="0">
                  <c:v>weighted EA+V3</c:v>
                </c:pt>
                <c:pt idx="1">
                  <c:v>euro area</c:v>
                </c:pt>
                <c:pt idx="2">
                  <c:v>Germany</c:v>
                </c:pt>
                <c:pt idx="3">
                  <c:v>Czechia</c:v>
                </c:pt>
                <c:pt idx="4">
                  <c:v>Poland</c:v>
                </c:pt>
                <c:pt idx="5">
                  <c:v>Hungary</c:v>
                </c:pt>
              </c:strCache>
            </c:strRef>
          </c:cat>
          <c:val>
            <c:numRef>
              <c:f>'Graf 7+8'!$J$19:$O$19</c:f>
              <c:numCache>
                <c:formatCode>0.0</c:formatCode>
                <c:ptCount val="6"/>
                <c:pt idx="0">
                  <c:v>4.6652336584090293</c:v>
                </c:pt>
                <c:pt idx="1">
                  <c:v>4.4950050425430543</c:v>
                </c:pt>
                <c:pt idx="2">
                  <c:v>3.1596413452720462</c:v>
                </c:pt>
                <c:pt idx="3">
                  <c:v>3.1462177184380824</c:v>
                </c:pt>
                <c:pt idx="4">
                  <c:v>5.4363103557902637</c:v>
                </c:pt>
                <c:pt idx="5">
                  <c:v>7.5495688737547528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F-4FF6-8974-799A022019EF}"/>
            </c:ext>
          </c:extLst>
        </c:ser>
        <c:ser>
          <c:idx val="2"/>
          <c:order val="1"/>
          <c:tx>
            <c:strRef>
              <c:f>'Graf 7+8'!$I$20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7+8'!$J$17:$O$17</c:f>
              <c:strCache>
                <c:ptCount val="6"/>
                <c:pt idx="0">
                  <c:v>weighted EA+V3</c:v>
                </c:pt>
                <c:pt idx="1">
                  <c:v>euro area</c:v>
                </c:pt>
                <c:pt idx="2">
                  <c:v>Germany</c:v>
                </c:pt>
                <c:pt idx="3">
                  <c:v>Czechia</c:v>
                </c:pt>
                <c:pt idx="4">
                  <c:v>Poland</c:v>
                </c:pt>
                <c:pt idx="5">
                  <c:v>Hungary</c:v>
                </c:pt>
              </c:strCache>
            </c:strRef>
          </c:cat>
          <c:val>
            <c:numRef>
              <c:f>'Graf 7+8'!$J$20:$O$20</c:f>
              <c:numCache>
                <c:formatCode>0.0</c:formatCode>
                <c:ptCount val="6"/>
                <c:pt idx="0">
                  <c:v>4.7830334762805071</c:v>
                </c:pt>
                <c:pt idx="1">
                  <c:v>4.5717025538137612</c:v>
                </c:pt>
                <c:pt idx="2">
                  <c:v>4.6408084322331788</c:v>
                </c:pt>
                <c:pt idx="3">
                  <c:v>4.6471342811108318</c:v>
                </c:pt>
                <c:pt idx="4">
                  <c:v>5.6323489126972603</c:v>
                </c:pt>
                <c:pt idx="5">
                  <c:v>4.9869539253701634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F-4FF6-8974-799A0220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028416"/>
        <c:axId val="319028808"/>
      </c:barChart>
      <c:catAx>
        <c:axId val="3190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9028808"/>
        <c:crosses val="autoZero"/>
        <c:auto val="1"/>
        <c:lblAlgn val="ctr"/>
        <c:lblOffset val="100"/>
        <c:noMultiLvlLbl val="0"/>
      </c:catAx>
      <c:valAx>
        <c:axId val="319028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3190284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5482905982905954E-2"/>
          <c:y val="7.2767898324194169E-2"/>
          <c:w val="0.31322972222222223"/>
          <c:h val="7.58880139982502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8294273281182"/>
          <c:y val="6.0472787245739415E-2"/>
          <c:w val="0.77203665701626456"/>
          <c:h val="0.76686809833212854"/>
        </c:manualLayout>
      </c:layout>
      <c:lineChart>
        <c:grouping val="standard"/>
        <c:varyColors val="0"/>
        <c:ser>
          <c:idx val="0"/>
          <c:order val="0"/>
          <c:tx>
            <c:strRef>
              <c:f>'Graf 9+10'!$L$8</c:f>
              <c:strCache>
                <c:ptCount val="1"/>
                <c:pt idx="0">
                  <c:v>Prognóza MV</c:v>
                </c:pt>
              </c:strCache>
            </c:strRef>
          </c:tx>
          <c:spPr>
            <a:ln w="19050" cap="rnd">
              <a:solidFill>
                <a:srgbClr val="2C9ADC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'Graf 9+10'!$N$7:$ZE$7</c:f>
              <c:numCache>
                <c:formatCode>m/d/yyyy</c:formatCode>
                <c:ptCount val="668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  <c:pt idx="30">
                  <c:v>44105</c:v>
                </c:pt>
                <c:pt idx="31">
                  <c:v>44106</c:v>
                </c:pt>
                <c:pt idx="32">
                  <c:v>44107</c:v>
                </c:pt>
                <c:pt idx="33">
                  <c:v>44108</c:v>
                </c:pt>
                <c:pt idx="34">
                  <c:v>44109</c:v>
                </c:pt>
                <c:pt idx="35">
                  <c:v>44110</c:v>
                </c:pt>
                <c:pt idx="36">
                  <c:v>44111</c:v>
                </c:pt>
                <c:pt idx="37">
                  <c:v>44112</c:v>
                </c:pt>
                <c:pt idx="38">
                  <c:v>44113</c:v>
                </c:pt>
                <c:pt idx="39">
                  <c:v>44114</c:v>
                </c:pt>
                <c:pt idx="40">
                  <c:v>44115</c:v>
                </c:pt>
                <c:pt idx="41">
                  <c:v>44116</c:v>
                </c:pt>
                <c:pt idx="42">
                  <c:v>44117</c:v>
                </c:pt>
                <c:pt idx="43">
                  <c:v>44118</c:v>
                </c:pt>
                <c:pt idx="44">
                  <c:v>44119</c:v>
                </c:pt>
                <c:pt idx="45">
                  <c:v>44120</c:v>
                </c:pt>
                <c:pt idx="46">
                  <c:v>44121</c:v>
                </c:pt>
                <c:pt idx="47">
                  <c:v>44122</c:v>
                </c:pt>
                <c:pt idx="48">
                  <c:v>44123</c:v>
                </c:pt>
                <c:pt idx="49">
                  <c:v>44124</c:v>
                </c:pt>
                <c:pt idx="50">
                  <c:v>44125</c:v>
                </c:pt>
                <c:pt idx="51">
                  <c:v>44126</c:v>
                </c:pt>
                <c:pt idx="52">
                  <c:v>44127</c:v>
                </c:pt>
                <c:pt idx="53">
                  <c:v>44128</c:v>
                </c:pt>
                <c:pt idx="54">
                  <c:v>44129</c:v>
                </c:pt>
                <c:pt idx="55">
                  <c:v>44130</c:v>
                </c:pt>
                <c:pt idx="56">
                  <c:v>44131</c:v>
                </c:pt>
                <c:pt idx="57">
                  <c:v>44132</c:v>
                </c:pt>
                <c:pt idx="58">
                  <c:v>44133</c:v>
                </c:pt>
                <c:pt idx="59">
                  <c:v>44134</c:v>
                </c:pt>
                <c:pt idx="60">
                  <c:v>44135</c:v>
                </c:pt>
                <c:pt idx="61">
                  <c:v>44136</c:v>
                </c:pt>
                <c:pt idx="62">
                  <c:v>44137</c:v>
                </c:pt>
                <c:pt idx="63">
                  <c:v>44138</c:v>
                </c:pt>
                <c:pt idx="64">
                  <c:v>44139</c:v>
                </c:pt>
                <c:pt idx="65">
                  <c:v>44140</c:v>
                </c:pt>
                <c:pt idx="66">
                  <c:v>44141</c:v>
                </c:pt>
                <c:pt idx="67">
                  <c:v>44142</c:v>
                </c:pt>
                <c:pt idx="68">
                  <c:v>44143</c:v>
                </c:pt>
                <c:pt idx="69">
                  <c:v>44144</c:v>
                </c:pt>
                <c:pt idx="70">
                  <c:v>44145</c:v>
                </c:pt>
                <c:pt idx="71">
                  <c:v>44146</c:v>
                </c:pt>
                <c:pt idx="72">
                  <c:v>44147</c:v>
                </c:pt>
                <c:pt idx="73">
                  <c:v>44148</c:v>
                </c:pt>
                <c:pt idx="74">
                  <c:v>44149</c:v>
                </c:pt>
                <c:pt idx="75">
                  <c:v>44150</c:v>
                </c:pt>
                <c:pt idx="76">
                  <c:v>44151</c:v>
                </c:pt>
                <c:pt idx="77">
                  <c:v>44152</c:v>
                </c:pt>
                <c:pt idx="78">
                  <c:v>44153</c:v>
                </c:pt>
                <c:pt idx="79">
                  <c:v>44154</c:v>
                </c:pt>
                <c:pt idx="80">
                  <c:v>44155</c:v>
                </c:pt>
                <c:pt idx="81">
                  <c:v>44156</c:v>
                </c:pt>
                <c:pt idx="82">
                  <c:v>44157</c:v>
                </c:pt>
                <c:pt idx="83">
                  <c:v>44158</c:v>
                </c:pt>
                <c:pt idx="84">
                  <c:v>44159</c:v>
                </c:pt>
                <c:pt idx="85">
                  <c:v>44160</c:v>
                </c:pt>
                <c:pt idx="86">
                  <c:v>44161</c:v>
                </c:pt>
                <c:pt idx="87">
                  <c:v>44162</c:v>
                </c:pt>
                <c:pt idx="88">
                  <c:v>44163</c:v>
                </c:pt>
                <c:pt idx="89">
                  <c:v>44164</c:v>
                </c:pt>
                <c:pt idx="90">
                  <c:v>44165</c:v>
                </c:pt>
                <c:pt idx="91">
                  <c:v>44166</c:v>
                </c:pt>
                <c:pt idx="92">
                  <c:v>44167</c:v>
                </c:pt>
                <c:pt idx="93">
                  <c:v>44168</c:v>
                </c:pt>
                <c:pt idx="94">
                  <c:v>44169</c:v>
                </c:pt>
                <c:pt idx="95">
                  <c:v>44170</c:v>
                </c:pt>
                <c:pt idx="96">
                  <c:v>44171</c:v>
                </c:pt>
                <c:pt idx="97">
                  <c:v>44172</c:v>
                </c:pt>
                <c:pt idx="98">
                  <c:v>44173</c:v>
                </c:pt>
                <c:pt idx="99">
                  <c:v>44174</c:v>
                </c:pt>
                <c:pt idx="100">
                  <c:v>44175</c:v>
                </c:pt>
                <c:pt idx="101">
                  <c:v>44176</c:v>
                </c:pt>
                <c:pt idx="102">
                  <c:v>44177</c:v>
                </c:pt>
                <c:pt idx="103">
                  <c:v>44178</c:v>
                </c:pt>
                <c:pt idx="104">
                  <c:v>44179</c:v>
                </c:pt>
                <c:pt idx="105">
                  <c:v>44180</c:v>
                </c:pt>
                <c:pt idx="106">
                  <c:v>44181</c:v>
                </c:pt>
                <c:pt idx="107">
                  <c:v>44182</c:v>
                </c:pt>
                <c:pt idx="108">
                  <c:v>44183</c:v>
                </c:pt>
                <c:pt idx="109">
                  <c:v>44184</c:v>
                </c:pt>
                <c:pt idx="110">
                  <c:v>44185</c:v>
                </c:pt>
                <c:pt idx="111">
                  <c:v>44186</c:v>
                </c:pt>
                <c:pt idx="112">
                  <c:v>44187</c:v>
                </c:pt>
                <c:pt idx="113">
                  <c:v>44188</c:v>
                </c:pt>
                <c:pt idx="114">
                  <c:v>44189</c:v>
                </c:pt>
                <c:pt idx="115">
                  <c:v>44190</c:v>
                </c:pt>
                <c:pt idx="116">
                  <c:v>44191</c:v>
                </c:pt>
                <c:pt idx="117">
                  <c:v>44192</c:v>
                </c:pt>
                <c:pt idx="118">
                  <c:v>44193</c:v>
                </c:pt>
                <c:pt idx="119">
                  <c:v>44194</c:v>
                </c:pt>
                <c:pt idx="120">
                  <c:v>44195</c:v>
                </c:pt>
                <c:pt idx="121">
                  <c:v>44196</c:v>
                </c:pt>
                <c:pt idx="122">
                  <c:v>44197</c:v>
                </c:pt>
                <c:pt idx="123">
                  <c:v>44198</c:v>
                </c:pt>
                <c:pt idx="124">
                  <c:v>44199</c:v>
                </c:pt>
                <c:pt idx="125">
                  <c:v>44200</c:v>
                </c:pt>
                <c:pt idx="126">
                  <c:v>44201</c:v>
                </c:pt>
                <c:pt idx="127">
                  <c:v>44202</c:v>
                </c:pt>
                <c:pt idx="128">
                  <c:v>44203</c:v>
                </c:pt>
                <c:pt idx="129">
                  <c:v>44204</c:v>
                </c:pt>
                <c:pt idx="130">
                  <c:v>44205</c:v>
                </c:pt>
                <c:pt idx="131">
                  <c:v>44206</c:v>
                </c:pt>
                <c:pt idx="132">
                  <c:v>44207</c:v>
                </c:pt>
                <c:pt idx="133">
                  <c:v>44208</c:v>
                </c:pt>
                <c:pt idx="134">
                  <c:v>44209</c:v>
                </c:pt>
                <c:pt idx="135">
                  <c:v>44210</c:v>
                </c:pt>
                <c:pt idx="136">
                  <c:v>44211</c:v>
                </c:pt>
                <c:pt idx="137">
                  <c:v>44212</c:v>
                </c:pt>
                <c:pt idx="138">
                  <c:v>44213</c:v>
                </c:pt>
                <c:pt idx="139">
                  <c:v>44214</c:v>
                </c:pt>
                <c:pt idx="140">
                  <c:v>44215</c:v>
                </c:pt>
                <c:pt idx="141">
                  <c:v>44216</c:v>
                </c:pt>
                <c:pt idx="142">
                  <c:v>44217</c:v>
                </c:pt>
                <c:pt idx="143">
                  <c:v>44218</c:v>
                </c:pt>
                <c:pt idx="144">
                  <c:v>44219</c:v>
                </c:pt>
                <c:pt idx="145">
                  <c:v>44220</c:v>
                </c:pt>
                <c:pt idx="146">
                  <c:v>44221</c:v>
                </c:pt>
                <c:pt idx="147">
                  <c:v>44222</c:v>
                </c:pt>
                <c:pt idx="148">
                  <c:v>44223</c:v>
                </c:pt>
                <c:pt idx="149">
                  <c:v>44224</c:v>
                </c:pt>
                <c:pt idx="150">
                  <c:v>44225</c:v>
                </c:pt>
                <c:pt idx="151">
                  <c:v>44226</c:v>
                </c:pt>
                <c:pt idx="152">
                  <c:v>44227</c:v>
                </c:pt>
                <c:pt idx="153">
                  <c:v>44228</c:v>
                </c:pt>
                <c:pt idx="154">
                  <c:v>44229</c:v>
                </c:pt>
                <c:pt idx="155">
                  <c:v>44230</c:v>
                </c:pt>
                <c:pt idx="156">
                  <c:v>44231</c:v>
                </c:pt>
                <c:pt idx="157">
                  <c:v>44232</c:v>
                </c:pt>
                <c:pt idx="158">
                  <c:v>44233</c:v>
                </c:pt>
                <c:pt idx="159">
                  <c:v>44234</c:v>
                </c:pt>
                <c:pt idx="160">
                  <c:v>44235</c:v>
                </c:pt>
                <c:pt idx="161">
                  <c:v>44236</c:v>
                </c:pt>
                <c:pt idx="162">
                  <c:v>44237</c:v>
                </c:pt>
                <c:pt idx="163">
                  <c:v>44238</c:v>
                </c:pt>
                <c:pt idx="164">
                  <c:v>44239</c:v>
                </c:pt>
                <c:pt idx="165">
                  <c:v>44240</c:v>
                </c:pt>
                <c:pt idx="166">
                  <c:v>44241</c:v>
                </c:pt>
                <c:pt idx="167">
                  <c:v>44242</c:v>
                </c:pt>
                <c:pt idx="168">
                  <c:v>44243</c:v>
                </c:pt>
                <c:pt idx="169">
                  <c:v>44244</c:v>
                </c:pt>
                <c:pt idx="170">
                  <c:v>44245</c:v>
                </c:pt>
                <c:pt idx="171">
                  <c:v>44246</c:v>
                </c:pt>
                <c:pt idx="172">
                  <c:v>44247</c:v>
                </c:pt>
                <c:pt idx="173">
                  <c:v>44248</c:v>
                </c:pt>
                <c:pt idx="174">
                  <c:v>44249</c:v>
                </c:pt>
                <c:pt idx="175">
                  <c:v>44250</c:v>
                </c:pt>
                <c:pt idx="176">
                  <c:v>44251</c:v>
                </c:pt>
                <c:pt idx="177">
                  <c:v>44252</c:v>
                </c:pt>
                <c:pt idx="178">
                  <c:v>44253</c:v>
                </c:pt>
                <c:pt idx="179">
                  <c:v>44254</c:v>
                </c:pt>
                <c:pt idx="180">
                  <c:v>44255</c:v>
                </c:pt>
                <c:pt idx="181">
                  <c:v>44256</c:v>
                </c:pt>
                <c:pt idx="182">
                  <c:v>44257</c:v>
                </c:pt>
                <c:pt idx="183">
                  <c:v>44258</c:v>
                </c:pt>
                <c:pt idx="184">
                  <c:v>44259</c:v>
                </c:pt>
                <c:pt idx="185">
                  <c:v>44260</c:v>
                </c:pt>
                <c:pt idx="186">
                  <c:v>44261</c:v>
                </c:pt>
                <c:pt idx="187">
                  <c:v>44262</c:v>
                </c:pt>
                <c:pt idx="188">
                  <c:v>44263</c:v>
                </c:pt>
                <c:pt idx="189">
                  <c:v>44264</c:v>
                </c:pt>
                <c:pt idx="190">
                  <c:v>44265</c:v>
                </c:pt>
                <c:pt idx="191">
                  <c:v>44266</c:v>
                </c:pt>
                <c:pt idx="192">
                  <c:v>44267</c:v>
                </c:pt>
                <c:pt idx="193">
                  <c:v>44268</c:v>
                </c:pt>
                <c:pt idx="194">
                  <c:v>44269</c:v>
                </c:pt>
                <c:pt idx="195">
                  <c:v>44270</c:v>
                </c:pt>
                <c:pt idx="196">
                  <c:v>44271</c:v>
                </c:pt>
                <c:pt idx="197">
                  <c:v>44272</c:v>
                </c:pt>
                <c:pt idx="198">
                  <c:v>44273</c:v>
                </c:pt>
                <c:pt idx="199">
                  <c:v>44274</c:v>
                </c:pt>
                <c:pt idx="200">
                  <c:v>44275</c:v>
                </c:pt>
                <c:pt idx="201">
                  <c:v>44276</c:v>
                </c:pt>
                <c:pt idx="202">
                  <c:v>44277</c:v>
                </c:pt>
                <c:pt idx="203">
                  <c:v>44278</c:v>
                </c:pt>
                <c:pt idx="204">
                  <c:v>44279</c:v>
                </c:pt>
                <c:pt idx="205">
                  <c:v>44280</c:v>
                </c:pt>
                <c:pt idx="206">
                  <c:v>44281</c:v>
                </c:pt>
                <c:pt idx="207">
                  <c:v>44282</c:v>
                </c:pt>
                <c:pt idx="208">
                  <c:v>44283</c:v>
                </c:pt>
                <c:pt idx="209">
                  <c:v>44284</c:v>
                </c:pt>
                <c:pt idx="210">
                  <c:v>44285</c:v>
                </c:pt>
                <c:pt idx="211">
                  <c:v>44286</c:v>
                </c:pt>
                <c:pt idx="212">
                  <c:v>44287</c:v>
                </c:pt>
                <c:pt idx="213">
                  <c:v>44288</c:v>
                </c:pt>
                <c:pt idx="214">
                  <c:v>44289</c:v>
                </c:pt>
                <c:pt idx="215">
                  <c:v>44290</c:v>
                </c:pt>
                <c:pt idx="216">
                  <c:v>44291</c:v>
                </c:pt>
                <c:pt idx="217">
                  <c:v>44292</c:v>
                </c:pt>
                <c:pt idx="218">
                  <c:v>44293</c:v>
                </c:pt>
                <c:pt idx="219">
                  <c:v>44294</c:v>
                </c:pt>
                <c:pt idx="220">
                  <c:v>44295</c:v>
                </c:pt>
                <c:pt idx="221">
                  <c:v>44296</c:v>
                </c:pt>
                <c:pt idx="222">
                  <c:v>44297</c:v>
                </c:pt>
                <c:pt idx="223">
                  <c:v>44298</c:v>
                </c:pt>
                <c:pt idx="224">
                  <c:v>44299</c:v>
                </c:pt>
                <c:pt idx="225">
                  <c:v>44300</c:v>
                </c:pt>
                <c:pt idx="226">
                  <c:v>44301</c:v>
                </c:pt>
                <c:pt idx="227">
                  <c:v>44302</c:v>
                </c:pt>
                <c:pt idx="228">
                  <c:v>44303</c:v>
                </c:pt>
                <c:pt idx="229">
                  <c:v>44304</c:v>
                </c:pt>
                <c:pt idx="230">
                  <c:v>44305</c:v>
                </c:pt>
                <c:pt idx="231">
                  <c:v>44306</c:v>
                </c:pt>
                <c:pt idx="232">
                  <c:v>44307</c:v>
                </c:pt>
                <c:pt idx="233">
                  <c:v>44308</c:v>
                </c:pt>
                <c:pt idx="234">
                  <c:v>44309</c:v>
                </c:pt>
                <c:pt idx="235">
                  <c:v>44310</c:v>
                </c:pt>
                <c:pt idx="236">
                  <c:v>44311</c:v>
                </c:pt>
                <c:pt idx="237">
                  <c:v>44312</c:v>
                </c:pt>
                <c:pt idx="238">
                  <c:v>44313</c:v>
                </c:pt>
                <c:pt idx="239">
                  <c:v>44314</c:v>
                </c:pt>
                <c:pt idx="240">
                  <c:v>44315</c:v>
                </c:pt>
                <c:pt idx="241">
                  <c:v>44316</c:v>
                </c:pt>
                <c:pt idx="242">
                  <c:v>44317</c:v>
                </c:pt>
                <c:pt idx="243">
                  <c:v>44318</c:v>
                </c:pt>
                <c:pt idx="244">
                  <c:v>44319</c:v>
                </c:pt>
                <c:pt idx="245">
                  <c:v>44320</c:v>
                </c:pt>
                <c:pt idx="246">
                  <c:v>44321</c:v>
                </c:pt>
                <c:pt idx="247">
                  <c:v>44322</c:v>
                </c:pt>
                <c:pt idx="248">
                  <c:v>44323</c:v>
                </c:pt>
                <c:pt idx="249">
                  <c:v>44324</c:v>
                </c:pt>
                <c:pt idx="250">
                  <c:v>44325</c:v>
                </c:pt>
                <c:pt idx="251">
                  <c:v>44326</c:v>
                </c:pt>
                <c:pt idx="252">
                  <c:v>44327</c:v>
                </c:pt>
                <c:pt idx="253">
                  <c:v>44328</c:v>
                </c:pt>
                <c:pt idx="254">
                  <c:v>44329</c:v>
                </c:pt>
                <c:pt idx="255">
                  <c:v>44330</c:v>
                </c:pt>
                <c:pt idx="256">
                  <c:v>44331</c:v>
                </c:pt>
                <c:pt idx="257">
                  <c:v>44332</c:v>
                </c:pt>
                <c:pt idx="258">
                  <c:v>44333</c:v>
                </c:pt>
                <c:pt idx="259">
                  <c:v>44334</c:v>
                </c:pt>
                <c:pt idx="260">
                  <c:v>44335</c:v>
                </c:pt>
                <c:pt idx="261">
                  <c:v>44336</c:v>
                </c:pt>
                <c:pt idx="262">
                  <c:v>44337</c:v>
                </c:pt>
                <c:pt idx="263">
                  <c:v>44338</c:v>
                </c:pt>
                <c:pt idx="264">
                  <c:v>44339</c:v>
                </c:pt>
                <c:pt idx="265">
                  <c:v>44340</c:v>
                </c:pt>
                <c:pt idx="266">
                  <c:v>44341</c:v>
                </c:pt>
                <c:pt idx="267">
                  <c:v>44342</c:v>
                </c:pt>
                <c:pt idx="268">
                  <c:v>44343</c:v>
                </c:pt>
                <c:pt idx="269">
                  <c:v>44344</c:v>
                </c:pt>
                <c:pt idx="270">
                  <c:v>44345</c:v>
                </c:pt>
                <c:pt idx="271">
                  <c:v>44346</c:v>
                </c:pt>
                <c:pt idx="272">
                  <c:v>44347</c:v>
                </c:pt>
                <c:pt idx="273">
                  <c:v>44348</c:v>
                </c:pt>
                <c:pt idx="274">
                  <c:v>44349</c:v>
                </c:pt>
                <c:pt idx="275">
                  <c:v>44350</c:v>
                </c:pt>
                <c:pt idx="276">
                  <c:v>44351</c:v>
                </c:pt>
                <c:pt idx="277">
                  <c:v>44352</c:v>
                </c:pt>
                <c:pt idx="278">
                  <c:v>44353</c:v>
                </c:pt>
                <c:pt idx="279">
                  <c:v>44354</c:v>
                </c:pt>
                <c:pt idx="280">
                  <c:v>44355</c:v>
                </c:pt>
                <c:pt idx="281">
                  <c:v>44356</c:v>
                </c:pt>
                <c:pt idx="282">
                  <c:v>44357</c:v>
                </c:pt>
                <c:pt idx="283">
                  <c:v>44358</c:v>
                </c:pt>
                <c:pt idx="284">
                  <c:v>44359</c:v>
                </c:pt>
                <c:pt idx="285">
                  <c:v>44360</c:v>
                </c:pt>
                <c:pt idx="286">
                  <c:v>44361</c:v>
                </c:pt>
                <c:pt idx="287">
                  <c:v>44362</c:v>
                </c:pt>
                <c:pt idx="288">
                  <c:v>44363</c:v>
                </c:pt>
                <c:pt idx="289">
                  <c:v>44364</c:v>
                </c:pt>
                <c:pt idx="290">
                  <c:v>44365</c:v>
                </c:pt>
                <c:pt idx="291">
                  <c:v>44366</c:v>
                </c:pt>
                <c:pt idx="292">
                  <c:v>44367</c:v>
                </c:pt>
                <c:pt idx="293">
                  <c:v>44368</c:v>
                </c:pt>
                <c:pt idx="294">
                  <c:v>44369</c:v>
                </c:pt>
                <c:pt idx="295">
                  <c:v>44370</c:v>
                </c:pt>
                <c:pt idx="296">
                  <c:v>44371</c:v>
                </c:pt>
                <c:pt idx="297">
                  <c:v>44372</c:v>
                </c:pt>
                <c:pt idx="298">
                  <c:v>44373</c:v>
                </c:pt>
                <c:pt idx="299">
                  <c:v>44374</c:v>
                </c:pt>
                <c:pt idx="300">
                  <c:v>44375</c:v>
                </c:pt>
                <c:pt idx="301">
                  <c:v>44376</c:v>
                </c:pt>
                <c:pt idx="302">
                  <c:v>44377</c:v>
                </c:pt>
                <c:pt idx="303">
                  <c:v>44378</c:v>
                </c:pt>
                <c:pt idx="304">
                  <c:v>44379</c:v>
                </c:pt>
                <c:pt idx="305">
                  <c:v>44380</c:v>
                </c:pt>
                <c:pt idx="306">
                  <c:v>44381</c:v>
                </c:pt>
                <c:pt idx="307">
                  <c:v>44382</c:v>
                </c:pt>
                <c:pt idx="308">
                  <c:v>44383</c:v>
                </c:pt>
                <c:pt idx="309">
                  <c:v>44384</c:v>
                </c:pt>
                <c:pt idx="310">
                  <c:v>44385</c:v>
                </c:pt>
                <c:pt idx="311">
                  <c:v>44386</c:v>
                </c:pt>
                <c:pt idx="312">
                  <c:v>44387</c:v>
                </c:pt>
                <c:pt idx="313">
                  <c:v>44388</c:v>
                </c:pt>
                <c:pt idx="314">
                  <c:v>44389</c:v>
                </c:pt>
                <c:pt idx="315">
                  <c:v>44390</c:v>
                </c:pt>
                <c:pt idx="316">
                  <c:v>44391</c:v>
                </c:pt>
                <c:pt idx="317">
                  <c:v>44392</c:v>
                </c:pt>
                <c:pt idx="318">
                  <c:v>44393</c:v>
                </c:pt>
                <c:pt idx="319">
                  <c:v>44394</c:v>
                </c:pt>
                <c:pt idx="320">
                  <c:v>44395</c:v>
                </c:pt>
                <c:pt idx="321">
                  <c:v>44396</c:v>
                </c:pt>
                <c:pt idx="322">
                  <c:v>44397</c:v>
                </c:pt>
                <c:pt idx="323">
                  <c:v>44398</c:v>
                </c:pt>
                <c:pt idx="324">
                  <c:v>44399</c:v>
                </c:pt>
                <c:pt idx="325">
                  <c:v>44400</c:v>
                </c:pt>
                <c:pt idx="326">
                  <c:v>44401</c:v>
                </c:pt>
                <c:pt idx="327">
                  <c:v>44402</c:v>
                </c:pt>
                <c:pt idx="328">
                  <c:v>44403</c:v>
                </c:pt>
                <c:pt idx="329">
                  <c:v>44404</c:v>
                </c:pt>
                <c:pt idx="330">
                  <c:v>44405</c:v>
                </c:pt>
                <c:pt idx="331">
                  <c:v>44406</c:v>
                </c:pt>
                <c:pt idx="332">
                  <c:v>44407</c:v>
                </c:pt>
                <c:pt idx="333">
                  <c:v>44408</c:v>
                </c:pt>
                <c:pt idx="334">
                  <c:v>44409</c:v>
                </c:pt>
                <c:pt idx="335">
                  <c:v>44410</c:v>
                </c:pt>
                <c:pt idx="336">
                  <c:v>44411</c:v>
                </c:pt>
                <c:pt idx="337">
                  <c:v>44412</c:v>
                </c:pt>
                <c:pt idx="338">
                  <c:v>44413</c:v>
                </c:pt>
                <c:pt idx="339">
                  <c:v>44414</c:v>
                </c:pt>
                <c:pt idx="340">
                  <c:v>44415</c:v>
                </c:pt>
                <c:pt idx="341">
                  <c:v>44416</c:v>
                </c:pt>
                <c:pt idx="342">
                  <c:v>44417</c:v>
                </c:pt>
                <c:pt idx="343">
                  <c:v>44418</c:v>
                </c:pt>
                <c:pt idx="344">
                  <c:v>44419</c:v>
                </c:pt>
                <c:pt idx="345">
                  <c:v>44420</c:v>
                </c:pt>
                <c:pt idx="346">
                  <c:v>44421</c:v>
                </c:pt>
                <c:pt idx="347">
                  <c:v>44422</c:v>
                </c:pt>
                <c:pt idx="348">
                  <c:v>44423</c:v>
                </c:pt>
                <c:pt idx="349">
                  <c:v>44424</c:v>
                </c:pt>
                <c:pt idx="350">
                  <c:v>44425</c:v>
                </c:pt>
                <c:pt idx="351">
                  <c:v>44426</c:v>
                </c:pt>
                <c:pt idx="352">
                  <c:v>44427</c:v>
                </c:pt>
                <c:pt idx="353">
                  <c:v>44428</c:v>
                </c:pt>
                <c:pt idx="354">
                  <c:v>44429</c:v>
                </c:pt>
                <c:pt idx="355">
                  <c:v>44430</c:v>
                </c:pt>
                <c:pt idx="356">
                  <c:v>44431</c:v>
                </c:pt>
                <c:pt idx="357">
                  <c:v>44432</c:v>
                </c:pt>
                <c:pt idx="358">
                  <c:v>44433</c:v>
                </c:pt>
                <c:pt idx="359">
                  <c:v>44434</c:v>
                </c:pt>
                <c:pt idx="360">
                  <c:v>44435</c:v>
                </c:pt>
                <c:pt idx="361">
                  <c:v>44436</c:v>
                </c:pt>
                <c:pt idx="362">
                  <c:v>44437</c:v>
                </c:pt>
                <c:pt idx="363">
                  <c:v>44438</c:v>
                </c:pt>
                <c:pt idx="364">
                  <c:v>44439</c:v>
                </c:pt>
                <c:pt idx="365">
                  <c:v>44440</c:v>
                </c:pt>
                <c:pt idx="366">
                  <c:v>44441</c:v>
                </c:pt>
                <c:pt idx="367">
                  <c:v>44442</c:v>
                </c:pt>
                <c:pt idx="368">
                  <c:v>44443</c:v>
                </c:pt>
                <c:pt idx="369">
                  <c:v>44444</c:v>
                </c:pt>
                <c:pt idx="370">
                  <c:v>44445</c:v>
                </c:pt>
                <c:pt idx="371">
                  <c:v>44446</c:v>
                </c:pt>
                <c:pt idx="372">
                  <c:v>44447</c:v>
                </c:pt>
                <c:pt idx="373">
                  <c:v>44448</c:v>
                </c:pt>
                <c:pt idx="374">
                  <c:v>44449</c:v>
                </c:pt>
                <c:pt idx="375">
                  <c:v>44450</c:v>
                </c:pt>
                <c:pt idx="376">
                  <c:v>44451</c:v>
                </c:pt>
                <c:pt idx="377">
                  <c:v>44452</c:v>
                </c:pt>
                <c:pt idx="378">
                  <c:v>44453</c:v>
                </c:pt>
                <c:pt idx="379">
                  <c:v>44454</c:v>
                </c:pt>
                <c:pt idx="380">
                  <c:v>44455</c:v>
                </c:pt>
                <c:pt idx="381">
                  <c:v>44456</c:v>
                </c:pt>
                <c:pt idx="382">
                  <c:v>44457</c:v>
                </c:pt>
                <c:pt idx="383">
                  <c:v>44458</c:v>
                </c:pt>
                <c:pt idx="384">
                  <c:v>44459</c:v>
                </c:pt>
                <c:pt idx="385">
                  <c:v>44460</c:v>
                </c:pt>
                <c:pt idx="386">
                  <c:v>44461</c:v>
                </c:pt>
                <c:pt idx="387">
                  <c:v>44462</c:v>
                </c:pt>
                <c:pt idx="388">
                  <c:v>44463</c:v>
                </c:pt>
                <c:pt idx="389">
                  <c:v>44464</c:v>
                </c:pt>
                <c:pt idx="390">
                  <c:v>44465</c:v>
                </c:pt>
                <c:pt idx="391">
                  <c:v>44466</c:v>
                </c:pt>
                <c:pt idx="392">
                  <c:v>44467</c:v>
                </c:pt>
                <c:pt idx="393">
                  <c:v>44468</c:v>
                </c:pt>
                <c:pt idx="394">
                  <c:v>44469</c:v>
                </c:pt>
                <c:pt idx="395">
                  <c:v>44470</c:v>
                </c:pt>
                <c:pt idx="396">
                  <c:v>44471</c:v>
                </c:pt>
                <c:pt idx="397">
                  <c:v>44472</c:v>
                </c:pt>
                <c:pt idx="398">
                  <c:v>44473</c:v>
                </c:pt>
                <c:pt idx="399">
                  <c:v>44474</c:v>
                </c:pt>
                <c:pt idx="400">
                  <c:v>44475</c:v>
                </c:pt>
                <c:pt idx="401">
                  <c:v>44476</c:v>
                </c:pt>
                <c:pt idx="402">
                  <c:v>44477</c:v>
                </c:pt>
                <c:pt idx="403">
                  <c:v>44478</c:v>
                </c:pt>
                <c:pt idx="404">
                  <c:v>44479</c:v>
                </c:pt>
                <c:pt idx="405">
                  <c:v>44480</c:v>
                </c:pt>
                <c:pt idx="406">
                  <c:v>44481</c:v>
                </c:pt>
                <c:pt idx="407">
                  <c:v>44482</c:v>
                </c:pt>
                <c:pt idx="408">
                  <c:v>44483</c:v>
                </c:pt>
                <c:pt idx="409">
                  <c:v>44484</c:v>
                </c:pt>
                <c:pt idx="410">
                  <c:v>44485</c:v>
                </c:pt>
                <c:pt idx="411">
                  <c:v>44486</c:v>
                </c:pt>
                <c:pt idx="412">
                  <c:v>44487</c:v>
                </c:pt>
                <c:pt idx="413">
                  <c:v>44488</c:v>
                </c:pt>
                <c:pt idx="414">
                  <c:v>44489</c:v>
                </c:pt>
                <c:pt idx="415">
                  <c:v>44490</c:v>
                </c:pt>
                <c:pt idx="416">
                  <c:v>44491</c:v>
                </c:pt>
                <c:pt idx="417">
                  <c:v>44492</c:v>
                </c:pt>
                <c:pt idx="418">
                  <c:v>44493</c:v>
                </c:pt>
                <c:pt idx="419">
                  <c:v>44494</c:v>
                </c:pt>
                <c:pt idx="420">
                  <c:v>44495</c:v>
                </c:pt>
                <c:pt idx="421">
                  <c:v>44496</c:v>
                </c:pt>
                <c:pt idx="422">
                  <c:v>44497</c:v>
                </c:pt>
                <c:pt idx="423">
                  <c:v>44498</c:v>
                </c:pt>
                <c:pt idx="424">
                  <c:v>44499</c:v>
                </c:pt>
                <c:pt idx="425">
                  <c:v>44500</c:v>
                </c:pt>
                <c:pt idx="426">
                  <c:v>44501</c:v>
                </c:pt>
                <c:pt idx="427">
                  <c:v>44502</c:v>
                </c:pt>
                <c:pt idx="428">
                  <c:v>44503</c:v>
                </c:pt>
                <c:pt idx="429">
                  <c:v>44504</c:v>
                </c:pt>
                <c:pt idx="430">
                  <c:v>44505</c:v>
                </c:pt>
                <c:pt idx="431">
                  <c:v>44506</c:v>
                </c:pt>
                <c:pt idx="432">
                  <c:v>44507</c:v>
                </c:pt>
                <c:pt idx="433">
                  <c:v>44508</c:v>
                </c:pt>
                <c:pt idx="434">
                  <c:v>44509</c:v>
                </c:pt>
                <c:pt idx="435">
                  <c:v>44510</c:v>
                </c:pt>
                <c:pt idx="436">
                  <c:v>44511</c:v>
                </c:pt>
                <c:pt idx="437">
                  <c:v>44512</c:v>
                </c:pt>
                <c:pt idx="438">
                  <c:v>44513</c:v>
                </c:pt>
                <c:pt idx="439">
                  <c:v>44514</c:v>
                </c:pt>
                <c:pt idx="440">
                  <c:v>44515</c:v>
                </c:pt>
                <c:pt idx="441">
                  <c:v>44516</c:v>
                </c:pt>
                <c:pt idx="442">
                  <c:v>44517</c:v>
                </c:pt>
                <c:pt idx="443">
                  <c:v>44518</c:v>
                </c:pt>
                <c:pt idx="444">
                  <c:v>44519</c:v>
                </c:pt>
                <c:pt idx="445">
                  <c:v>44520</c:v>
                </c:pt>
                <c:pt idx="446">
                  <c:v>44521</c:v>
                </c:pt>
                <c:pt idx="447">
                  <c:v>44522</c:v>
                </c:pt>
                <c:pt idx="448">
                  <c:v>44523</c:v>
                </c:pt>
                <c:pt idx="449">
                  <c:v>44524</c:v>
                </c:pt>
                <c:pt idx="450">
                  <c:v>44525</c:v>
                </c:pt>
                <c:pt idx="451">
                  <c:v>44526</c:v>
                </c:pt>
                <c:pt idx="452">
                  <c:v>44527</c:v>
                </c:pt>
                <c:pt idx="453">
                  <c:v>44528</c:v>
                </c:pt>
                <c:pt idx="454">
                  <c:v>44529</c:v>
                </c:pt>
                <c:pt idx="455">
                  <c:v>44530</c:v>
                </c:pt>
                <c:pt idx="456">
                  <c:v>44531</c:v>
                </c:pt>
                <c:pt idx="457">
                  <c:v>44532</c:v>
                </c:pt>
                <c:pt idx="458">
                  <c:v>44533</c:v>
                </c:pt>
                <c:pt idx="459">
                  <c:v>44534</c:v>
                </c:pt>
                <c:pt idx="460">
                  <c:v>44535</c:v>
                </c:pt>
                <c:pt idx="461">
                  <c:v>44536</c:v>
                </c:pt>
                <c:pt idx="462">
                  <c:v>44537</c:v>
                </c:pt>
                <c:pt idx="463">
                  <c:v>44538</c:v>
                </c:pt>
                <c:pt idx="464">
                  <c:v>44539</c:v>
                </c:pt>
                <c:pt idx="465">
                  <c:v>44540</c:v>
                </c:pt>
                <c:pt idx="466">
                  <c:v>44541</c:v>
                </c:pt>
                <c:pt idx="467">
                  <c:v>44542</c:v>
                </c:pt>
                <c:pt idx="468">
                  <c:v>44543</c:v>
                </c:pt>
                <c:pt idx="469">
                  <c:v>44544</c:v>
                </c:pt>
                <c:pt idx="470">
                  <c:v>44545</c:v>
                </c:pt>
                <c:pt idx="471">
                  <c:v>44546</c:v>
                </c:pt>
                <c:pt idx="472">
                  <c:v>44547</c:v>
                </c:pt>
                <c:pt idx="473">
                  <c:v>44548</c:v>
                </c:pt>
                <c:pt idx="474">
                  <c:v>44549</c:v>
                </c:pt>
                <c:pt idx="475">
                  <c:v>44550</c:v>
                </c:pt>
                <c:pt idx="476">
                  <c:v>44551</c:v>
                </c:pt>
                <c:pt idx="477">
                  <c:v>44552</c:v>
                </c:pt>
                <c:pt idx="478">
                  <c:v>44553</c:v>
                </c:pt>
                <c:pt idx="479">
                  <c:v>44554</c:v>
                </c:pt>
                <c:pt idx="480">
                  <c:v>44555</c:v>
                </c:pt>
                <c:pt idx="481">
                  <c:v>44556</c:v>
                </c:pt>
                <c:pt idx="482">
                  <c:v>44557</c:v>
                </c:pt>
                <c:pt idx="483">
                  <c:v>44558</c:v>
                </c:pt>
                <c:pt idx="484">
                  <c:v>44559</c:v>
                </c:pt>
                <c:pt idx="485">
                  <c:v>44560</c:v>
                </c:pt>
                <c:pt idx="486">
                  <c:v>44561</c:v>
                </c:pt>
                <c:pt idx="487">
                  <c:v>44562</c:v>
                </c:pt>
                <c:pt idx="488">
                  <c:v>44563</c:v>
                </c:pt>
                <c:pt idx="489">
                  <c:v>44564</c:v>
                </c:pt>
                <c:pt idx="490">
                  <c:v>44565</c:v>
                </c:pt>
                <c:pt idx="491">
                  <c:v>44566</c:v>
                </c:pt>
                <c:pt idx="492">
                  <c:v>44567</c:v>
                </c:pt>
                <c:pt idx="493">
                  <c:v>44568</c:v>
                </c:pt>
                <c:pt idx="494">
                  <c:v>44569</c:v>
                </c:pt>
                <c:pt idx="495">
                  <c:v>44570</c:v>
                </c:pt>
                <c:pt idx="496">
                  <c:v>44571</c:v>
                </c:pt>
                <c:pt idx="497">
                  <c:v>44572</c:v>
                </c:pt>
                <c:pt idx="498">
                  <c:v>44573</c:v>
                </c:pt>
                <c:pt idx="499">
                  <c:v>44574</c:v>
                </c:pt>
                <c:pt idx="500">
                  <c:v>44575</c:v>
                </c:pt>
                <c:pt idx="501">
                  <c:v>44576</c:v>
                </c:pt>
                <c:pt idx="502">
                  <c:v>44577</c:v>
                </c:pt>
                <c:pt idx="503">
                  <c:v>44578</c:v>
                </c:pt>
                <c:pt idx="504">
                  <c:v>44579</c:v>
                </c:pt>
                <c:pt idx="505">
                  <c:v>44580</c:v>
                </c:pt>
                <c:pt idx="506">
                  <c:v>44581</c:v>
                </c:pt>
                <c:pt idx="507">
                  <c:v>44582</c:v>
                </c:pt>
                <c:pt idx="508">
                  <c:v>44583</c:v>
                </c:pt>
                <c:pt idx="509">
                  <c:v>44584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44590</c:v>
                </c:pt>
                <c:pt idx="516">
                  <c:v>44591</c:v>
                </c:pt>
                <c:pt idx="517">
                  <c:v>44592</c:v>
                </c:pt>
                <c:pt idx="518">
                  <c:v>44593</c:v>
                </c:pt>
                <c:pt idx="519">
                  <c:v>44594</c:v>
                </c:pt>
                <c:pt idx="520">
                  <c:v>44595</c:v>
                </c:pt>
                <c:pt idx="521">
                  <c:v>44596</c:v>
                </c:pt>
                <c:pt idx="522">
                  <c:v>44597</c:v>
                </c:pt>
                <c:pt idx="523">
                  <c:v>44598</c:v>
                </c:pt>
                <c:pt idx="524">
                  <c:v>44599</c:v>
                </c:pt>
                <c:pt idx="525">
                  <c:v>44600</c:v>
                </c:pt>
                <c:pt idx="526">
                  <c:v>44601</c:v>
                </c:pt>
                <c:pt idx="527">
                  <c:v>44602</c:v>
                </c:pt>
                <c:pt idx="528">
                  <c:v>44603</c:v>
                </c:pt>
                <c:pt idx="529">
                  <c:v>44604</c:v>
                </c:pt>
                <c:pt idx="530">
                  <c:v>44605</c:v>
                </c:pt>
                <c:pt idx="531">
                  <c:v>44606</c:v>
                </c:pt>
                <c:pt idx="532">
                  <c:v>44607</c:v>
                </c:pt>
                <c:pt idx="533">
                  <c:v>44608</c:v>
                </c:pt>
                <c:pt idx="534">
                  <c:v>44609</c:v>
                </c:pt>
                <c:pt idx="535">
                  <c:v>44610</c:v>
                </c:pt>
                <c:pt idx="536">
                  <c:v>44611</c:v>
                </c:pt>
                <c:pt idx="537">
                  <c:v>44612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44618</c:v>
                </c:pt>
                <c:pt idx="544">
                  <c:v>44619</c:v>
                </c:pt>
                <c:pt idx="545">
                  <c:v>44620</c:v>
                </c:pt>
                <c:pt idx="546">
                  <c:v>44621</c:v>
                </c:pt>
                <c:pt idx="547">
                  <c:v>44622</c:v>
                </c:pt>
                <c:pt idx="548">
                  <c:v>44623</c:v>
                </c:pt>
                <c:pt idx="549">
                  <c:v>44624</c:v>
                </c:pt>
                <c:pt idx="550">
                  <c:v>44625</c:v>
                </c:pt>
                <c:pt idx="551">
                  <c:v>44626</c:v>
                </c:pt>
                <c:pt idx="552">
                  <c:v>44627</c:v>
                </c:pt>
                <c:pt idx="553">
                  <c:v>44628</c:v>
                </c:pt>
                <c:pt idx="554">
                  <c:v>44629</c:v>
                </c:pt>
                <c:pt idx="555">
                  <c:v>44630</c:v>
                </c:pt>
                <c:pt idx="556">
                  <c:v>44631</c:v>
                </c:pt>
                <c:pt idx="557">
                  <c:v>44632</c:v>
                </c:pt>
                <c:pt idx="558">
                  <c:v>44633</c:v>
                </c:pt>
                <c:pt idx="559">
                  <c:v>44634</c:v>
                </c:pt>
                <c:pt idx="560">
                  <c:v>44635</c:v>
                </c:pt>
                <c:pt idx="561">
                  <c:v>44636</c:v>
                </c:pt>
                <c:pt idx="562">
                  <c:v>44637</c:v>
                </c:pt>
                <c:pt idx="563">
                  <c:v>44638</c:v>
                </c:pt>
                <c:pt idx="564">
                  <c:v>44639</c:v>
                </c:pt>
                <c:pt idx="565">
                  <c:v>44640</c:v>
                </c:pt>
                <c:pt idx="566">
                  <c:v>44641</c:v>
                </c:pt>
                <c:pt idx="567">
                  <c:v>44642</c:v>
                </c:pt>
                <c:pt idx="568">
                  <c:v>44643</c:v>
                </c:pt>
                <c:pt idx="569">
                  <c:v>44644</c:v>
                </c:pt>
                <c:pt idx="570">
                  <c:v>44645</c:v>
                </c:pt>
                <c:pt idx="571">
                  <c:v>44646</c:v>
                </c:pt>
                <c:pt idx="572">
                  <c:v>44647</c:v>
                </c:pt>
                <c:pt idx="573">
                  <c:v>44648</c:v>
                </c:pt>
                <c:pt idx="574">
                  <c:v>44649</c:v>
                </c:pt>
                <c:pt idx="575">
                  <c:v>44650</c:v>
                </c:pt>
                <c:pt idx="576">
                  <c:v>44651</c:v>
                </c:pt>
                <c:pt idx="577">
                  <c:v>44652</c:v>
                </c:pt>
                <c:pt idx="578">
                  <c:v>44653</c:v>
                </c:pt>
                <c:pt idx="579">
                  <c:v>44654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44660</c:v>
                </c:pt>
                <c:pt idx="586">
                  <c:v>44661</c:v>
                </c:pt>
                <c:pt idx="587">
                  <c:v>44662</c:v>
                </c:pt>
                <c:pt idx="588">
                  <c:v>44663</c:v>
                </c:pt>
                <c:pt idx="589">
                  <c:v>44664</c:v>
                </c:pt>
                <c:pt idx="590">
                  <c:v>44665</c:v>
                </c:pt>
                <c:pt idx="591">
                  <c:v>44666</c:v>
                </c:pt>
                <c:pt idx="592">
                  <c:v>44667</c:v>
                </c:pt>
                <c:pt idx="593">
                  <c:v>44668</c:v>
                </c:pt>
                <c:pt idx="594">
                  <c:v>44669</c:v>
                </c:pt>
                <c:pt idx="595">
                  <c:v>44670</c:v>
                </c:pt>
                <c:pt idx="596">
                  <c:v>44671</c:v>
                </c:pt>
                <c:pt idx="597">
                  <c:v>44672</c:v>
                </c:pt>
                <c:pt idx="598">
                  <c:v>44673</c:v>
                </c:pt>
                <c:pt idx="599">
                  <c:v>44674</c:v>
                </c:pt>
                <c:pt idx="600">
                  <c:v>44675</c:v>
                </c:pt>
                <c:pt idx="601">
                  <c:v>44676</c:v>
                </c:pt>
                <c:pt idx="602">
                  <c:v>44677</c:v>
                </c:pt>
                <c:pt idx="603">
                  <c:v>44678</c:v>
                </c:pt>
                <c:pt idx="604">
                  <c:v>44679</c:v>
                </c:pt>
                <c:pt idx="605">
                  <c:v>44680</c:v>
                </c:pt>
                <c:pt idx="606">
                  <c:v>44681</c:v>
                </c:pt>
                <c:pt idx="607">
                  <c:v>44682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44688</c:v>
                </c:pt>
                <c:pt idx="614">
                  <c:v>44689</c:v>
                </c:pt>
                <c:pt idx="615">
                  <c:v>44690</c:v>
                </c:pt>
                <c:pt idx="616">
                  <c:v>44691</c:v>
                </c:pt>
                <c:pt idx="617">
                  <c:v>44692</c:v>
                </c:pt>
                <c:pt idx="618">
                  <c:v>44693</c:v>
                </c:pt>
                <c:pt idx="619">
                  <c:v>44694</c:v>
                </c:pt>
                <c:pt idx="620">
                  <c:v>44695</c:v>
                </c:pt>
                <c:pt idx="621">
                  <c:v>44696</c:v>
                </c:pt>
                <c:pt idx="622">
                  <c:v>44697</c:v>
                </c:pt>
                <c:pt idx="623">
                  <c:v>44698</c:v>
                </c:pt>
                <c:pt idx="624">
                  <c:v>44699</c:v>
                </c:pt>
                <c:pt idx="625">
                  <c:v>44700</c:v>
                </c:pt>
                <c:pt idx="626">
                  <c:v>44701</c:v>
                </c:pt>
                <c:pt idx="627">
                  <c:v>44702</c:v>
                </c:pt>
                <c:pt idx="628">
                  <c:v>44703</c:v>
                </c:pt>
                <c:pt idx="629">
                  <c:v>44704</c:v>
                </c:pt>
                <c:pt idx="630">
                  <c:v>44705</c:v>
                </c:pt>
                <c:pt idx="631">
                  <c:v>44706</c:v>
                </c:pt>
                <c:pt idx="632">
                  <c:v>44707</c:v>
                </c:pt>
                <c:pt idx="633">
                  <c:v>44708</c:v>
                </c:pt>
                <c:pt idx="634">
                  <c:v>44709</c:v>
                </c:pt>
                <c:pt idx="635">
                  <c:v>44710</c:v>
                </c:pt>
                <c:pt idx="636">
                  <c:v>44711</c:v>
                </c:pt>
                <c:pt idx="637">
                  <c:v>44712</c:v>
                </c:pt>
                <c:pt idx="638">
                  <c:v>44713</c:v>
                </c:pt>
                <c:pt idx="639">
                  <c:v>44714</c:v>
                </c:pt>
                <c:pt idx="640">
                  <c:v>44715</c:v>
                </c:pt>
                <c:pt idx="641">
                  <c:v>44716</c:v>
                </c:pt>
                <c:pt idx="642">
                  <c:v>44717</c:v>
                </c:pt>
                <c:pt idx="643">
                  <c:v>44718</c:v>
                </c:pt>
                <c:pt idx="644">
                  <c:v>44719</c:v>
                </c:pt>
                <c:pt idx="645">
                  <c:v>44720</c:v>
                </c:pt>
                <c:pt idx="646">
                  <c:v>44721</c:v>
                </c:pt>
                <c:pt idx="647">
                  <c:v>44722</c:v>
                </c:pt>
                <c:pt idx="648">
                  <c:v>44723</c:v>
                </c:pt>
                <c:pt idx="649">
                  <c:v>44724</c:v>
                </c:pt>
                <c:pt idx="650">
                  <c:v>44725</c:v>
                </c:pt>
                <c:pt idx="651">
                  <c:v>44726</c:v>
                </c:pt>
                <c:pt idx="652">
                  <c:v>44727</c:v>
                </c:pt>
                <c:pt idx="653">
                  <c:v>44728</c:v>
                </c:pt>
                <c:pt idx="654">
                  <c:v>44729</c:v>
                </c:pt>
                <c:pt idx="655">
                  <c:v>44730</c:v>
                </c:pt>
                <c:pt idx="656">
                  <c:v>44731</c:v>
                </c:pt>
                <c:pt idx="657">
                  <c:v>44732</c:v>
                </c:pt>
                <c:pt idx="658">
                  <c:v>44733</c:v>
                </c:pt>
                <c:pt idx="659">
                  <c:v>44734</c:v>
                </c:pt>
                <c:pt idx="660">
                  <c:v>44735</c:v>
                </c:pt>
                <c:pt idx="661">
                  <c:v>44736</c:v>
                </c:pt>
                <c:pt idx="662">
                  <c:v>44737</c:v>
                </c:pt>
                <c:pt idx="663">
                  <c:v>44738</c:v>
                </c:pt>
                <c:pt idx="664">
                  <c:v>44739</c:v>
                </c:pt>
                <c:pt idx="665">
                  <c:v>44740</c:v>
                </c:pt>
                <c:pt idx="666">
                  <c:v>44741</c:v>
                </c:pt>
                <c:pt idx="667">
                  <c:v>44742</c:v>
                </c:pt>
              </c:numCache>
            </c:numRef>
          </c:cat>
          <c:val>
            <c:numRef>
              <c:f>'Graf 9+10'!$N$8:$ZE$8</c:f>
              <c:numCache>
                <c:formatCode>0</c:formatCode>
                <c:ptCount val="668"/>
                <c:pt idx="0">
                  <c:v>76.561599999999999</c:v>
                </c:pt>
                <c:pt idx="1">
                  <c:v>72.141649999999998</c:v>
                </c:pt>
                <c:pt idx="2">
                  <c:v>76.561599999999999</c:v>
                </c:pt>
                <c:pt idx="3">
                  <c:v>81.55380000000001</c:v>
                </c:pt>
                <c:pt idx="4">
                  <c:v>97.522299999999987</c:v>
                </c:pt>
                <c:pt idx="5">
                  <c:v>105.22314999999999</c:v>
                </c:pt>
                <c:pt idx="6">
                  <c:v>102.5145</c:v>
                </c:pt>
                <c:pt idx="7">
                  <c:v>105.22314999999999</c:v>
                </c:pt>
                <c:pt idx="8">
                  <c:v>120.61940000000001</c:v>
                </c:pt>
                <c:pt idx="9">
                  <c:v>128.74535</c:v>
                </c:pt>
                <c:pt idx="10">
                  <c:v>135.73225000000002</c:v>
                </c:pt>
                <c:pt idx="11">
                  <c:v>132.16795000000002</c:v>
                </c:pt>
                <c:pt idx="12">
                  <c:v>130.88720000000001</c:v>
                </c:pt>
                <c:pt idx="13">
                  <c:v>134.59320000000002</c:v>
                </c:pt>
                <c:pt idx="14">
                  <c:v>148.41985</c:v>
                </c:pt>
                <c:pt idx="15">
                  <c:v>138.58260000000001</c:v>
                </c:pt>
                <c:pt idx="16">
                  <c:v>136.1628</c:v>
                </c:pt>
                <c:pt idx="17">
                  <c:v>143.14425</c:v>
                </c:pt>
                <c:pt idx="18">
                  <c:v>155.8373</c:v>
                </c:pt>
                <c:pt idx="19">
                  <c:v>163.24930000000001</c:v>
                </c:pt>
                <c:pt idx="20">
                  <c:v>167.66925000000001</c:v>
                </c:pt>
                <c:pt idx="21">
                  <c:v>165.81625</c:v>
                </c:pt>
                <c:pt idx="22">
                  <c:v>200.89245</c:v>
                </c:pt>
                <c:pt idx="23">
                  <c:v>229.26515000000001</c:v>
                </c:pt>
                <c:pt idx="24">
                  <c:v>255.49600000000001</c:v>
                </c:pt>
                <c:pt idx="25">
                  <c:v>292.8503</c:v>
                </c:pt>
                <c:pt idx="26">
                  <c:v>342.3254</c:v>
                </c:pt>
                <c:pt idx="27">
                  <c:v>368.8451</c:v>
                </c:pt>
                <c:pt idx="28">
                  <c:v>376.82935000000003</c:v>
                </c:pt>
                <c:pt idx="29">
                  <c:v>409.4803</c:v>
                </c:pt>
                <c:pt idx="30">
                  <c:v>471.78470000000004</c:v>
                </c:pt>
                <c:pt idx="31">
                  <c:v>508.85559999999998</c:v>
                </c:pt>
                <c:pt idx="32">
                  <c:v>530.52480000000003</c:v>
                </c:pt>
                <c:pt idx="33">
                  <c:v>579.00255000000004</c:v>
                </c:pt>
                <c:pt idx="34">
                  <c:v>591.54845</c:v>
                </c:pt>
                <c:pt idx="35">
                  <c:v>604.24150000000009</c:v>
                </c:pt>
                <c:pt idx="36">
                  <c:v>648.43555000000003</c:v>
                </c:pt>
                <c:pt idx="37">
                  <c:v>682.65610000000004</c:v>
                </c:pt>
                <c:pt idx="38">
                  <c:v>754.65604999999994</c:v>
                </c:pt>
                <c:pt idx="39">
                  <c:v>923.32810000000006</c:v>
                </c:pt>
                <c:pt idx="40">
                  <c:v>956.97640000000013</c:v>
                </c:pt>
                <c:pt idx="41">
                  <c:v>978.50390000000004</c:v>
                </c:pt>
                <c:pt idx="42">
                  <c:v>1008.5879000000001</c:v>
                </c:pt>
                <c:pt idx="43">
                  <c:v>1084.57725</c:v>
                </c:pt>
                <c:pt idx="44">
                  <c:v>1211.75845</c:v>
                </c:pt>
                <c:pt idx="45">
                  <c:v>1338.7925</c:v>
                </c:pt>
                <c:pt idx="46">
                  <c:v>1350.34105</c:v>
                </c:pt>
                <c:pt idx="47">
                  <c:v>1423.4855</c:v>
                </c:pt>
                <c:pt idx="48">
                  <c:v>1474.24135</c:v>
                </c:pt>
                <c:pt idx="49">
                  <c:v>1499.0497500000001</c:v>
                </c:pt>
                <c:pt idx="50">
                  <c:v>1611.9683</c:v>
                </c:pt>
                <c:pt idx="51">
                  <c:v>1583.3122000000001</c:v>
                </c:pt>
                <c:pt idx="52">
                  <c:v>1655.4538499999999</c:v>
                </c:pt>
                <c:pt idx="53">
                  <c:v>1786.9133000000002</c:v>
                </c:pt>
                <c:pt idx="54">
                  <c:v>1997.2124500000002</c:v>
                </c:pt>
                <c:pt idx="55">
                  <c:v>2061.6587</c:v>
                </c:pt>
                <c:pt idx="56">
                  <c:v>2089.6008500000003</c:v>
                </c:pt>
                <c:pt idx="57">
                  <c:v>2187.26485</c:v>
                </c:pt>
                <c:pt idx="58">
                  <c:v>2337.9682500000004</c:v>
                </c:pt>
                <c:pt idx="59">
                  <c:v>2449.4643500000002</c:v>
                </c:pt>
                <c:pt idx="60">
                  <c:v>2404.2674999999999</c:v>
                </c:pt>
                <c:pt idx="61">
                  <c:v>2295.9105999999997</c:v>
                </c:pt>
                <c:pt idx="62">
                  <c:v>2377.3227000000002</c:v>
                </c:pt>
                <c:pt idx="63">
                  <c:v>2495.09175</c:v>
                </c:pt>
                <c:pt idx="64">
                  <c:v>2541.9944500000001</c:v>
                </c:pt>
                <c:pt idx="65">
                  <c:v>2424.6559500000003</c:v>
                </c:pt>
                <c:pt idx="66">
                  <c:v>2280.7977500000002</c:v>
                </c:pt>
                <c:pt idx="67">
                  <c:v>2281.6534000000001</c:v>
                </c:pt>
                <c:pt idx="68">
                  <c:v>2216.9237499999999</c:v>
                </c:pt>
                <c:pt idx="69">
                  <c:v>2030.7190499999999</c:v>
                </c:pt>
                <c:pt idx="70">
                  <c:v>1934.3357999999998</c:v>
                </c:pt>
                <c:pt idx="71">
                  <c:v>1769.2335</c:v>
                </c:pt>
                <c:pt idx="72">
                  <c:v>1858.9132500000001</c:v>
                </c:pt>
                <c:pt idx="73">
                  <c:v>1811.8634</c:v>
                </c:pt>
                <c:pt idx="74">
                  <c:v>1696.6613000000002</c:v>
                </c:pt>
                <c:pt idx="75">
                  <c:v>1607.1232500000001</c:v>
                </c:pt>
                <c:pt idx="76">
                  <c:v>1597.4277</c:v>
                </c:pt>
                <c:pt idx="77">
                  <c:v>1636.6350000000002</c:v>
                </c:pt>
                <c:pt idx="78">
                  <c:v>1530.1311000000001</c:v>
                </c:pt>
                <c:pt idx="79">
                  <c:v>1398.1048500000002</c:v>
                </c:pt>
                <c:pt idx="80">
                  <c:v>1368.7348000000002</c:v>
                </c:pt>
                <c:pt idx="81">
                  <c:v>1381.5641000000001</c:v>
                </c:pt>
                <c:pt idx="82">
                  <c:v>1350.7716</c:v>
                </c:pt>
                <c:pt idx="83">
                  <c:v>1311.13375</c:v>
                </c:pt>
                <c:pt idx="84">
                  <c:v>1267.6482000000001</c:v>
                </c:pt>
                <c:pt idx="85">
                  <c:v>1338.9341999999999</c:v>
                </c:pt>
                <c:pt idx="86">
                  <c:v>1379.9999500000001</c:v>
                </c:pt>
                <c:pt idx="87">
                  <c:v>1384.4199000000001</c:v>
                </c:pt>
                <c:pt idx="88">
                  <c:v>1336.6561000000002</c:v>
                </c:pt>
                <c:pt idx="89">
                  <c:v>1353.3385499999999</c:v>
                </c:pt>
                <c:pt idx="90">
                  <c:v>1348.34635</c:v>
                </c:pt>
                <c:pt idx="91">
                  <c:v>1381.5641000000001</c:v>
                </c:pt>
                <c:pt idx="92">
                  <c:v>1414.6456000000001</c:v>
                </c:pt>
                <c:pt idx="93">
                  <c:v>1418.7767000000001</c:v>
                </c:pt>
                <c:pt idx="94">
                  <c:v>1466.5404999999998</c:v>
                </c:pt>
                <c:pt idx="95">
                  <c:v>1544.1049</c:v>
                </c:pt>
                <c:pt idx="96">
                  <c:v>1568.05765</c:v>
                </c:pt>
                <c:pt idx="97">
                  <c:v>1618.8135</c:v>
                </c:pt>
                <c:pt idx="98">
                  <c:v>1717.9054000000001</c:v>
                </c:pt>
                <c:pt idx="99">
                  <c:v>1792.1888999999999</c:v>
                </c:pt>
                <c:pt idx="100">
                  <c:v>1955.1548000000003</c:v>
                </c:pt>
                <c:pt idx="101">
                  <c:v>1952.5878500000001</c:v>
                </c:pt>
                <c:pt idx="102">
                  <c:v>2185.9841000000001</c:v>
                </c:pt>
                <c:pt idx="103">
                  <c:v>2317.2964000000002</c:v>
                </c:pt>
                <c:pt idx="104">
                  <c:v>2310.5929000000001</c:v>
                </c:pt>
                <c:pt idx="105">
                  <c:v>2322.7136999999998</c:v>
                </c:pt>
                <c:pt idx="106">
                  <c:v>2465.4328500000001</c:v>
                </c:pt>
                <c:pt idx="107">
                  <c:v>2454.0259999999998</c:v>
                </c:pt>
                <c:pt idx="108">
                  <c:v>2714.2308000000003</c:v>
                </c:pt>
                <c:pt idx="109">
                  <c:v>2634.9551000000001</c:v>
                </c:pt>
                <c:pt idx="110">
                  <c:v>2616.5668000000001</c:v>
                </c:pt>
                <c:pt idx="111">
                  <c:v>2718.3618999999999</c:v>
                </c:pt>
                <c:pt idx="112">
                  <c:v>2808.0471000000002</c:v>
                </c:pt>
                <c:pt idx="113">
                  <c:v>2825.4380499999997</c:v>
                </c:pt>
                <c:pt idx="114">
                  <c:v>2770.1205500000001</c:v>
                </c:pt>
                <c:pt idx="115">
                  <c:v>2777.9631000000004</c:v>
                </c:pt>
                <c:pt idx="116">
                  <c:v>2477.1230999999998</c:v>
                </c:pt>
                <c:pt idx="117">
                  <c:v>2307.8842500000001</c:v>
                </c:pt>
                <c:pt idx="118">
                  <c:v>2215.21245</c:v>
                </c:pt>
                <c:pt idx="119">
                  <c:v>2134.2309</c:v>
                </c:pt>
                <c:pt idx="120">
                  <c:v>2042.1259</c:v>
                </c:pt>
                <c:pt idx="121">
                  <c:v>2563.6691000000001</c:v>
                </c:pt>
                <c:pt idx="122">
                  <c:v>2694.6979999999999</c:v>
                </c:pt>
                <c:pt idx="123">
                  <c:v>2793.7898999999998</c:v>
                </c:pt>
                <c:pt idx="124">
                  <c:v>2842.9761500000004</c:v>
                </c:pt>
                <c:pt idx="125">
                  <c:v>2852.5299999999997</c:v>
                </c:pt>
                <c:pt idx="126">
                  <c:v>2979.9946</c:v>
                </c:pt>
                <c:pt idx="127">
                  <c:v>3253.4538000000002</c:v>
                </c:pt>
                <c:pt idx="128">
                  <c:v>2657.7687999999998</c:v>
                </c:pt>
                <c:pt idx="129">
                  <c:v>2374.7557500000003</c:v>
                </c:pt>
                <c:pt idx="130">
                  <c:v>2707.8161500000001</c:v>
                </c:pt>
                <c:pt idx="131">
                  <c:v>2957.8948499999997</c:v>
                </c:pt>
                <c:pt idx="132">
                  <c:v>2989.83185</c:v>
                </c:pt>
                <c:pt idx="133">
                  <c:v>2907.2807000000003</c:v>
                </c:pt>
                <c:pt idx="134">
                  <c:v>2710.0942500000001</c:v>
                </c:pt>
                <c:pt idx="135">
                  <c:v>2822.1626000000001</c:v>
                </c:pt>
                <c:pt idx="136">
                  <c:v>2786.3724500000003</c:v>
                </c:pt>
                <c:pt idx="137">
                  <c:v>2497.36985</c:v>
                </c:pt>
                <c:pt idx="138">
                  <c:v>2155.18615</c:v>
                </c:pt>
                <c:pt idx="139">
                  <c:v>2183.70055</c:v>
                </c:pt>
                <c:pt idx="140">
                  <c:v>2112.2728499999998</c:v>
                </c:pt>
                <c:pt idx="141">
                  <c:v>1956.57725</c:v>
                </c:pt>
                <c:pt idx="142">
                  <c:v>1891.1336500000002</c:v>
                </c:pt>
                <c:pt idx="143">
                  <c:v>1756.54045</c:v>
                </c:pt>
                <c:pt idx="144">
                  <c:v>1685.11275</c:v>
                </c:pt>
                <c:pt idx="145">
                  <c:v>1875.0234500000001</c:v>
                </c:pt>
                <c:pt idx="146">
                  <c:v>1802.4512500000001</c:v>
                </c:pt>
                <c:pt idx="147">
                  <c:v>1756.971</c:v>
                </c:pt>
                <c:pt idx="148">
                  <c:v>1798.4618500000001</c:v>
                </c:pt>
                <c:pt idx="149">
                  <c:v>1737.2964999999999</c:v>
                </c:pt>
                <c:pt idx="150">
                  <c:v>1850.7873</c:v>
                </c:pt>
                <c:pt idx="151">
                  <c:v>1941.7478000000001</c:v>
                </c:pt>
                <c:pt idx="152">
                  <c:v>1915.8003500000002</c:v>
                </c:pt>
                <c:pt idx="153">
                  <c:v>1900.5458000000001</c:v>
                </c:pt>
                <c:pt idx="154">
                  <c:v>1921.5065</c:v>
                </c:pt>
                <c:pt idx="155">
                  <c:v>1915.3752500000001</c:v>
                </c:pt>
                <c:pt idx="156">
                  <c:v>1921.3593500000002</c:v>
                </c:pt>
                <c:pt idx="157">
                  <c:v>1928.3462500000001</c:v>
                </c:pt>
                <c:pt idx="158">
                  <c:v>1936.7610500000003</c:v>
                </c:pt>
                <c:pt idx="159">
                  <c:v>1912.3777499999999</c:v>
                </c:pt>
                <c:pt idx="160">
                  <c:v>1957.0078000000001</c:v>
                </c:pt>
                <c:pt idx="161">
                  <c:v>1955.1548000000003</c:v>
                </c:pt>
                <c:pt idx="162">
                  <c:v>2018.88165</c:v>
                </c:pt>
                <c:pt idx="163">
                  <c:v>2077.33835</c:v>
                </c:pt>
                <c:pt idx="164">
                  <c:v>2048.9656500000001</c:v>
                </c:pt>
                <c:pt idx="165">
                  <c:v>2061.6587</c:v>
                </c:pt>
                <c:pt idx="166">
                  <c:v>2046.82925</c:v>
                </c:pt>
                <c:pt idx="167">
                  <c:v>2020.4512500000003</c:v>
                </c:pt>
                <c:pt idx="168">
                  <c:v>1980.2466000000002</c:v>
                </c:pt>
                <c:pt idx="169">
                  <c:v>1978.6770000000001</c:v>
                </c:pt>
                <c:pt idx="170">
                  <c:v>1988.37255</c:v>
                </c:pt>
                <c:pt idx="171">
                  <c:v>1974.3987499999998</c:v>
                </c:pt>
                <c:pt idx="172">
                  <c:v>2027.8687000000002</c:v>
                </c:pt>
                <c:pt idx="173">
                  <c:v>2061.8004000000001</c:v>
                </c:pt>
                <c:pt idx="174">
                  <c:v>2072.7767000000003</c:v>
                </c:pt>
                <c:pt idx="175">
                  <c:v>2152.0524</c:v>
                </c:pt>
                <c:pt idx="176">
                  <c:v>2206.0891499999998</c:v>
                </c:pt>
                <c:pt idx="177">
                  <c:v>2189.4067</c:v>
                </c:pt>
                <c:pt idx="178">
                  <c:v>2233.8896</c:v>
                </c:pt>
                <c:pt idx="179">
                  <c:v>2254.2780500000003</c:v>
                </c:pt>
                <c:pt idx="180">
                  <c:v>2272.6718000000001</c:v>
                </c:pt>
                <c:pt idx="181">
                  <c:v>2300.18885</c:v>
                </c:pt>
                <c:pt idx="182">
                  <c:v>2311.4485500000001</c:v>
                </c:pt>
                <c:pt idx="183">
                  <c:v>2284.3620500000002</c:v>
                </c:pt>
                <c:pt idx="184">
                  <c:v>2335.9735500000002</c:v>
                </c:pt>
                <c:pt idx="185">
                  <c:v>2304.3199500000001</c:v>
                </c:pt>
                <c:pt idx="186">
                  <c:v>2257.8423500000004</c:v>
                </c:pt>
                <c:pt idx="187">
                  <c:v>2182.4198000000001</c:v>
                </c:pt>
                <c:pt idx="188">
                  <c:v>2118.8292000000001</c:v>
                </c:pt>
                <c:pt idx="189">
                  <c:v>2137.36465</c:v>
                </c:pt>
                <c:pt idx="190">
                  <c:v>2172.0102999999999</c:v>
                </c:pt>
                <c:pt idx="191">
                  <c:v>2054.8134999999997</c:v>
                </c:pt>
                <c:pt idx="192">
                  <c:v>2037.4171000000001</c:v>
                </c:pt>
                <c:pt idx="193">
                  <c:v>2014.75055</c:v>
                </c:pt>
                <c:pt idx="194">
                  <c:v>2012.1836000000003</c:v>
                </c:pt>
                <c:pt idx="195">
                  <c:v>2020.8817999999999</c:v>
                </c:pt>
                <c:pt idx="196">
                  <c:v>1931.1966000000002</c:v>
                </c:pt>
                <c:pt idx="197">
                  <c:v>1830.2571500000001</c:v>
                </c:pt>
                <c:pt idx="198">
                  <c:v>1839.0970500000001</c:v>
                </c:pt>
                <c:pt idx="199">
                  <c:v>1750.4146500000002</c:v>
                </c:pt>
                <c:pt idx="200">
                  <c:v>1669.4276500000001</c:v>
                </c:pt>
                <c:pt idx="201">
                  <c:v>1620.5247999999999</c:v>
                </c:pt>
                <c:pt idx="202">
                  <c:v>1612.5405500000002</c:v>
                </c:pt>
                <c:pt idx="203">
                  <c:v>1570.1940499999998</c:v>
                </c:pt>
                <c:pt idx="204">
                  <c:v>1439.7374000000002</c:v>
                </c:pt>
                <c:pt idx="205">
                  <c:v>1384.7033000000001</c:v>
                </c:pt>
                <c:pt idx="206">
                  <c:v>1326.67715</c:v>
                </c:pt>
                <c:pt idx="207">
                  <c:v>1289.0340000000001</c:v>
                </c:pt>
                <c:pt idx="208">
                  <c:v>1289.0340000000001</c:v>
                </c:pt>
                <c:pt idx="209">
                  <c:v>1261.09185</c:v>
                </c:pt>
                <c:pt idx="210">
                  <c:v>1251.6796999999999</c:v>
                </c:pt>
                <c:pt idx="211">
                  <c:v>1234.2833000000001</c:v>
                </c:pt>
                <c:pt idx="212">
                  <c:v>1184.3831</c:v>
                </c:pt>
                <c:pt idx="213">
                  <c:v>1200.4933000000001</c:v>
                </c:pt>
                <c:pt idx="214">
                  <c:v>1088.8554999999999</c:v>
                </c:pt>
                <c:pt idx="215">
                  <c:v>1045.36995</c:v>
                </c:pt>
                <c:pt idx="216">
                  <c:v>1038.6719000000001</c:v>
                </c:pt>
                <c:pt idx="217">
                  <c:v>912.91860000000008</c:v>
                </c:pt>
                <c:pt idx="218">
                  <c:v>813.96840000000009</c:v>
                </c:pt>
                <c:pt idx="219">
                  <c:v>852.75059999999996</c:v>
                </c:pt>
                <c:pt idx="220">
                  <c:v>786.88190000000009</c:v>
                </c:pt>
                <c:pt idx="221">
                  <c:v>834.21515000000011</c:v>
                </c:pt>
                <c:pt idx="222">
                  <c:v>829.79520000000002</c:v>
                </c:pt>
                <c:pt idx="223">
                  <c:v>822.38319999999999</c:v>
                </c:pt>
                <c:pt idx="224">
                  <c:v>898.94479999999999</c:v>
                </c:pt>
                <c:pt idx="225">
                  <c:v>885.82665000000009</c:v>
                </c:pt>
                <c:pt idx="226">
                  <c:v>781.31745000000001</c:v>
                </c:pt>
                <c:pt idx="227">
                  <c:v>740.39885000000004</c:v>
                </c:pt>
                <c:pt idx="228">
                  <c:v>693.34900000000005</c:v>
                </c:pt>
                <c:pt idx="229">
                  <c:v>700.33590000000004</c:v>
                </c:pt>
                <c:pt idx="230">
                  <c:v>698.48290000000009</c:v>
                </c:pt>
                <c:pt idx="231">
                  <c:v>665.97365000000002</c:v>
                </c:pt>
                <c:pt idx="232">
                  <c:v>622.48810000000003</c:v>
                </c:pt>
                <c:pt idx="233">
                  <c:v>598.82420000000002</c:v>
                </c:pt>
                <c:pt idx="234">
                  <c:v>577.29124999999999</c:v>
                </c:pt>
                <c:pt idx="235">
                  <c:v>590.26769999999999</c:v>
                </c:pt>
                <c:pt idx="236">
                  <c:v>561.32275000000004</c:v>
                </c:pt>
                <c:pt idx="237">
                  <c:v>562.17840000000001</c:v>
                </c:pt>
                <c:pt idx="238">
                  <c:v>540.22035000000005</c:v>
                </c:pt>
                <c:pt idx="239">
                  <c:v>528.53009999999995</c:v>
                </c:pt>
                <c:pt idx="240">
                  <c:v>512.4199000000001</c:v>
                </c:pt>
                <c:pt idx="241">
                  <c:v>509.85295000000002</c:v>
                </c:pt>
                <c:pt idx="242">
                  <c:v>462.5197</c:v>
                </c:pt>
                <c:pt idx="243">
                  <c:v>454.39375000000001</c:v>
                </c:pt>
                <c:pt idx="244">
                  <c:v>458.81370000000004</c:v>
                </c:pt>
                <c:pt idx="245">
                  <c:v>443.55369999999999</c:v>
                </c:pt>
                <c:pt idx="246">
                  <c:v>447.26514999999995</c:v>
                </c:pt>
                <c:pt idx="247">
                  <c:v>415.75324999999998</c:v>
                </c:pt>
                <c:pt idx="248">
                  <c:v>400.78210000000001</c:v>
                </c:pt>
                <c:pt idx="249">
                  <c:v>381.39100000000002</c:v>
                </c:pt>
                <c:pt idx="250">
                  <c:v>338.90280000000001</c:v>
                </c:pt>
                <c:pt idx="251">
                  <c:v>364.70855</c:v>
                </c:pt>
                <c:pt idx="252">
                  <c:v>360.28860000000003</c:v>
                </c:pt>
                <c:pt idx="253">
                  <c:v>316.9502</c:v>
                </c:pt>
                <c:pt idx="254">
                  <c:v>314.80835000000002</c:v>
                </c:pt>
                <c:pt idx="255">
                  <c:v>305.11279999999999</c:v>
                </c:pt>
                <c:pt idx="256">
                  <c:v>288.7192</c:v>
                </c:pt>
                <c:pt idx="257">
                  <c:v>291.99464999999998</c:v>
                </c:pt>
                <c:pt idx="258">
                  <c:v>267.04455000000002</c:v>
                </c:pt>
                <c:pt idx="259">
                  <c:v>250.36210000000003</c:v>
                </c:pt>
                <c:pt idx="260">
                  <c:v>227.83725000000001</c:v>
                </c:pt>
                <c:pt idx="261">
                  <c:v>217.14435000000003</c:v>
                </c:pt>
                <c:pt idx="262">
                  <c:v>194.90290000000002</c:v>
                </c:pt>
                <c:pt idx="263">
                  <c:v>185.20734999999999</c:v>
                </c:pt>
                <c:pt idx="264">
                  <c:v>187.06035</c:v>
                </c:pt>
                <c:pt idx="265">
                  <c:v>170.37790000000001</c:v>
                </c:pt>
                <c:pt idx="266">
                  <c:v>155.97900000000001</c:v>
                </c:pt>
                <c:pt idx="267">
                  <c:v>147.99475000000001</c:v>
                </c:pt>
                <c:pt idx="268">
                  <c:v>135.87395000000001</c:v>
                </c:pt>
                <c:pt idx="269">
                  <c:v>129.88985</c:v>
                </c:pt>
                <c:pt idx="270">
                  <c:v>102.7979</c:v>
                </c:pt>
                <c:pt idx="271">
                  <c:v>121.90559999999999</c:v>
                </c:pt>
                <c:pt idx="272">
                  <c:v>123.61145</c:v>
                </c:pt>
                <c:pt idx="273">
                  <c:v>125.4699</c:v>
                </c:pt>
                <c:pt idx="274">
                  <c:v>116.05775000000001</c:v>
                </c:pt>
                <c:pt idx="275">
                  <c:v>111.92120000000001</c:v>
                </c:pt>
                <c:pt idx="276">
                  <c:v>111.63780000000001</c:v>
                </c:pt>
                <c:pt idx="277">
                  <c:v>128.32025000000002</c:v>
                </c:pt>
                <c:pt idx="278">
                  <c:v>106.36219999999999</c:v>
                </c:pt>
                <c:pt idx="279">
                  <c:v>104.07865000000001</c:v>
                </c:pt>
                <c:pt idx="280">
                  <c:v>96.950050000000005</c:v>
                </c:pt>
                <c:pt idx="281">
                  <c:v>100.23094999999999</c:v>
                </c:pt>
                <c:pt idx="282">
                  <c:v>96.950050000000005</c:v>
                </c:pt>
                <c:pt idx="283">
                  <c:v>95.527599999999993</c:v>
                </c:pt>
                <c:pt idx="284">
                  <c:v>91.821600000000004</c:v>
                </c:pt>
                <c:pt idx="285">
                  <c:v>84.120750000000001</c:v>
                </c:pt>
                <c:pt idx="286">
                  <c:v>83.690200000000004</c:v>
                </c:pt>
                <c:pt idx="287">
                  <c:v>77.13385000000001</c:v>
                </c:pt>
                <c:pt idx="288">
                  <c:v>65.013050000000007</c:v>
                </c:pt>
                <c:pt idx="289">
                  <c:v>57.170500000000004</c:v>
                </c:pt>
                <c:pt idx="290">
                  <c:v>50.614150000000009</c:v>
                </c:pt>
                <c:pt idx="291">
                  <c:v>37.637700000000002</c:v>
                </c:pt>
                <c:pt idx="292">
                  <c:v>31.653600000000001</c:v>
                </c:pt>
                <c:pt idx="293">
                  <c:v>41.060299999999998</c:v>
                </c:pt>
                <c:pt idx="294">
                  <c:v>42.488200000000006</c:v>
                </c:pt>
                <c:pt idx="295">
                  <c:v>38.640500000000003</c:v>
                </c:pt>
                <c:pt idx="296">
                  <c:v>35.0762</c:v>
                </c:pt>
                <c:pt idx="297">
                  <c:v>34.503950000000003</c:v>
                </c:pt>
                <c:pt idx="298">
                  <c:v>40.351800000000004</c:v>
                </c:pt>
                <c:pt idx="299">
                  <c:v>43.202149999999996</c:v>
                </c:pt>
                <c:pt idx="300">
                  <c:v>34.220550000000003</c:v>
                </c:pt>
                <c:pt idx="301">
                  <c:v>31.937000000000001</c:v>
                </c:pt>
                <c:pt idx="302">
                  <c:v>31.653600000000001</c:v>
                </c:pt>
                <c:pt idx="303">
                  <c:v>28.944950000000002</c:v>
                </c:pt>
                <c:pt idx="304">
                  <c:v>26.5197</c:v>
                </c:pt>
                <c:pt idx="305">
                  <c:v>23.527650000000001</c:v>
                </c:pt>
                <c:pt idx="306">
                  <c:v>23.669350000000001</c:v>
                </c:pt>
                <c:pt idx="307">
                  <c:v>21.95805</c:v>
                </c:pt>
                <c:pt idx="308">
                  <c:v>17.963200000000001</c:v>
                </c:pt>
                <c:pt idx="309">
                  <c:v>19.674499999999998</c:v>
                </c:pt>
                <c:pt idx="310">
                  <c:v>21.95805</c:v>
                </c:pt>
                <c:pt idx="311">
                  <c:v>25.091800000000003</c:v>
                </c:pt>
                <c:pt idx="312">
                  <c:v>28.089300000000001</c:v>
                </c:pt>
                <c:pt idx="313">
                  <c:v>28.656100000000002</c:v>
                </c:pt>
                <c:pt idx="314">
                  <c:v>29.228350000000002</c:v>
                </c:pt>
                <c:pt idx="315">
                  <c:v>31.081350000000004</c:v>
                </c:pt>
                <c:pt idx="316">
                  <c:v>27.233650000000001</c:v>
                </c:pt>
                <c:pt idx="317">
                  <c:v>26.661400000000004</c:v>
                </c:pt>
                <c:pt idx="318">
                  <c:v>25.94745</c:v>
                </c:pt>
                <c:pt idx="319">
                  <c:v>20.105050000000002</c:v>
                </c:pt>
                <c:pt idx="320">
                  <c:v>25.94745</c:v>
                </c:pt>
                <c:pt idx="321">
                  <c:v>25.522349999999999</c:v>
                </c:pt>
                <c:pt idx="322">
                  <c:v>26.5197</c:v>
                </c:pt>
                <c:pt idx="323">
                  <c:v>30.5091</c:v>
                </c:pt>
                <c:pt idx="324">
                  <c:v>31.223050000000001</c:v>
                </c:pt>
                <c:pt idx="325">
                  <c:v>32.078700000000005</c:v>
                </c:pt>
                <c:pt idx="326">
                  <c:v>32.078700000000005</c:v>
                </c:pt>
                <c:pt idx="327">
                  <c:v>35.3596</c:v>
                </c:pt>
                <c:pt idx="328">
                  <c:v>35.784700000000001</c:v>
                </c:pt>
                <c:pt idx="329">
                  <c:v>38.068250000000006</c:v>
                </c:pt>
                <c:pt idx="330">
                  <c:v>43.202149999999996</c:v>
                </c:pt>
                <c:pt idx="331">
                  <c:v>45.338550000000005</c:v>
                </c:pt>
                <c:pt idx="332">
                  <c:v>45.910800000000002</c:v>
                </c:pt>
                <c:pt idx="333">
                  <c:v>55.317500000000003</c:v>
                </c:pt>
                <c:pt idx="334">
                  <c:v>50.755850000000002</c:v>
                </c:pt>
                <c:pt idx="335">
                  <c:v>50.614150000000009</c:v>
                </c:pt>
                <c:pt idx="336">
                  <c:v>49.186250000000001</c:v>
                </c:pt>
                <c:pt idx="337">
                  <c:v>50.897550000000003</c:v>
                </c:pt>
                <c:pt idx="338">
                  <c:v>51.469800000000006</c:v>
                </c:pt>
                <c:pt idx="339">
                  <c:v>45.196849999999998</c:v>
                </c:pt>
                <c:pt idx="340">
                  <c:v>51.328099999999999</c:v>
                </c:pt>
                <c:pt idx="341">
                  <c:v>47.905499999999996</c:v>
                </c:pt>
                <c:pt idx="342">
                  <c:v>49.758500000000005</c:v>
                </c:pt>
                <c:pt idx="343">
                  <c:v>58.314999999999998</c:v>
                </c:pt>
                <c:pt idx="344">
                  <c:v>54.609000000000002</c:v>
                </c:pt>
                <c:pt idx="345">
                  <c:v>57.601050000000008</c:v>
                </c:pt>
                <c:pt idx="346">
                  <c:v>66.010400000000004</c:v>
                </c:pt>
                <c:pt idx="347">
                  <c:v>63.874000000000002</c:v>
                </c:pt>
                <c:pt idx="348">
                  <c:v>69.721850000000003</c:v>
                </c:pt>
                <c:pt idx="349">
                  <c:v>68.010549999999995</c:v>
                </c:pt>
                <c:pt idx="350">
                  <c:v>64.15740000000001</c:v>
                </c:pt>
                <c:pt idx="351">
                  <c:v>70.430350000000004</c:v>
                </c:pt>
                <c:pt idx="352">
                  <c:v>70.860900000000001</c:v>
                </c:pt>
                <c:pt idx="353">
                  <c:v>74.425200000000004</c:v>
                </c:pt>
                <c:pt idx="354">
                  <c:v>74.425200000000004</c:v>
                </c:pt>
                <c:pt idx="355">
                  <c:v>78.845150000000004</c:v>
                </c:pt>
                <c:pt idx="356">
                  <c:v>79.417400000000001</c:v>
                </c:pt>
                <c:pt idx="357">
                  <c:v>84.692999999999998</c:v>
                </c:pt>
                <c:pt idx="358">
                  <c:v>80.273049999999998</c:v>
                </c:pt>
                <c:pt idx="359">
                  <c:v>92.24669999999999</c:v>
                </c:pt>
                <c:pt idx="360">
                  <c:v>92.960650000000001</c:v>
                </c:pt>
                <c:pt idx="361">
                  <c:v>96.950050000000005</c:v>
                </c:pt>
                <c:pt idx="362">
                  <c:v>94.099699999999999</c:v>
                </c:pt>
                <c:pt idx="363">
                  <c:v>99.51700000000001</c:v>
                </c:pt>
                <c:pt idx="364">
                  <c:v>102.5145</c:v>
                </c:pt>
                <c:pt idx="365">
                  <c:v>270.71428571428578</c:v>
                </c:pt>
                <c:pt idx="366">
                  <c:v>300.35714285714289</c:v>
                </c:pt>
                <c:pt idx="367">
                  <c:v>310.35714285714295</c:v>
                </c:pt>
                <c:pt idx="368">
                  <c:v>341.07142857142838</c:v>
                </c:pt>
                <c:pt idx="369">
                  <c:v>362.5</c:v>
                </c:pt>
                <c:pt idx="370">
                  <c:v>359.64285714285722</c:v>
                </c:pt>
                <c:pt idx="371">
                  <c:v>393.21428571428567</c:v>
                </c:pt>
                <c:pt idx="372">
                  <c:v>441.07142857142856</c:v>
                </c:pt>
                <c:pt idx="373">
                  <c:v>455.71428571428567</c:v>
                </c:pt>
                <c:pt idx="374">
                  <c:v>494.28571428571445</c:v>
                </c:pt>
                <c:pt idx="375">
                  <c:v>516.78571428571433</c:v>
                </c:pt>
                <c:pt idx="376">
                  <c:v>561.07142857142867</c:v>
                </c:pt>
                <c:pt idx="377">
                  <c:v>601.78571428571422</c:v>
                </c:pt>
                <c:pt idx="378">
                  <c:v>628.21428571428578</c:v>
                </c:pt>
                <c:pt idx="379">
                  <c:v>676.07142857142856</c:v>
                </c:pt>
                <c:pt idx="380">
                  <c:v>722.14285714285757</c:v>
                </c:pt>
                <c:pt idx="381">
                  <c:v>763.21428571428567</c:v>
                </c:pt>
                <c:pt idx="382">
                  <c:v>788.21428571428578</c:v>
                </c:pt>
                <c:pt idx="383">
                  <c:v>856.78571428571433</c:v>
                </c:pt>
                <c:pt idx="384">
                  <c:v>931.07142857142844</c:v>
                </c:pt>
                <c:pt idx="385">
                  <c:v>916.4285714285711</c:v>
                </c:pt>
                <c:pt idx="386">
                  <c:v>993.57142857142856</c:v>
                </c:pt>
                <c:pt idx="387">
                  <c:v>1054.2857142857144</c:v>
                </c:pt>
                <c:pt idx="388">
                  <c:v>1121.7857142857142</c:v>
                </c:pt>
                <c:pt idx="389">
                  <c:v>1146.785714285714</c:v>
                </c:pt>
                <c:pt idx="390">
                  <c:v>1214.2857142857144</c:v>
                </c:pt>
                <c:pt idx="391">
                  <c:v>1244.2857142857138</c:v>
                </c:pt>
                <c:pt idx="392">
                  <c:v>1249.9999999999998</c:v>
                </c:pt>
                <c:pt idx="393">
                  <c:v>1295.3571428571429</c:v>
                </c:pt>
                <c:pt idx="394">
                  <c:v>1336.7857142857147</c:v>
                </c:pt>
                <c:pt idx="395">
                  <c:v>1352.8571428571431</c:v>
                </c:pt>
                <c:pt idx="396">
                  <c:v>1392.8571428571424</c:v>
                </c:pt>
                <c:pt idx="397">
                  <c:v>1465.0000000000002</c:v>
                </c:pt>
                <c:pt idx="398">
                  <c:v>1515.7142857142856</c:v>
                </c:pt>
                <c:pt idx="399">
                  <c:v>1536.0714285714282</c:v>
                </c:pt>
                <c:pt idx="400">
                  <c:v>1559.2857142857144</c:v>
                </c:pt>
                <c:pt idx="401">
                  <c:v>1676.4285714285713</c:v>
                </c:pt>
                <c:pt idx="402">
                  <c:v>1643.571428571428</c:v>
                </c:pt>
                <c:pt idx="403">
                  <c:v>1650</c:v>
                </c:pt>
                <c:pt idx="404">
                  <c:v>1742.1428571428571</c:v>
                </c:pt>
                <c:pt idx="405">
                  <c:v>1775.3571428571429</c:v>
                </c:pt>
                <c:pt idx="406">
                  <c:v>1708.5714285714282</c:v>
                </c:pt>
                <c:pt idx="407">
                  <c:v>1760.3571428571429</c:v>
                </c:pt>
                <c:pt idx="408">
                  <c:v>1814.6428571428587</c:v>
                </c:pt>
                <c:pt idx="409">
                  <c:v>1744.285714285714</c:v>
                </c:pt>
                <c:pt idx="410">
                  <c:v>1799.6428571428567</c:v>
                </c:pt>
                <c:pt idx="411">
                  <c:v>1770.3571428571429</c:v>
                </c:pt>
                <c:pt idx="412">
                  <c:v>1807.8571428571431</c:v>
                </c:pt>
                <c:pt idx="413">
                  <c:v>1717.8571428571438</c:v>
                </c:pt>
                <c:pt idx="414">
                  <c:v>1695.3571428571433</c:v>
                </c:pt>
                <c:pt idx="415">
                  <c:v>1707.8571428571424</c:v>
                </c:pt>
                <c:pt idx="416">
                  <c:v>1716.785714285714</c:v>
                </c:pt>
                <c:pt idx="417">
                  <c:v>1680.3571428571433</c:v>
                </c:pt>
                <c:pt idx="418">
                  <c:v>1682.4999999999993</c:v>
                </c:pt>
                <c:pt idx="419">
                  <c:v>1681.7857142857149</c:v>
                </c:pt>
                <c:pt idx="420">
                  <c:v>1614.2857142857144</c:v>
                </c:pt>
                <c:pt idx="421">
                  <c:v>1591.4285714285713</c:v>
                </c:pt>
                <c:pt idx="422">
                  <c:v>1656.4285714285713</c:v>
                </c:pt>
                <c:pt idx="423">
                  <c:v>1561.0714285714282</c:v>
                </c:pt>
                <c:pt idx="424">
                  <c:v>1549.2857142857142</c:v>
                </c:pt>
                <c:pt idx="425">
                  <c:v>1517.5000000000009</c:v>
                </c:pt>
                <c:pt idx="426">
                  <c:v>1464.2857142857138</c:v>
                </c:pt>
                <c:pt idx="427">
                  <c:v>1412.8571428571424</c:v>
                </c:pt>
                <c:pt idx="428">
                  <c:v>1447.8571428571431</c:v>
                </c:pt>
                <c:pt idx="429">
                  <c:v>1380.7142857142862</c:v>
                </c:pt>
                <c:pt idx="430">
                  <c:v>1347.8571428571431</c:v>
                </c:pt>
                <c:pt idx="431">
                  <c:v>1286.0714285714289</c:v>
                </c:pt>
                <c:pt idx="432">
                  <c:v>1258.9285714285718</c:v>
                </c:pt>
                <c:pt idx="433">
                  <c:v>1271.4285714285716</c:v>
                </c:pt>
                <c:pt idx="434">
                  <c:v>1237.8571428571431</c:v>
                </c:pt>
                <c:pt idx="435">
                  <c:v>1223.9285714285713</c:v>
                </c:pt>
                <c:pt idx="436">
                  <c:v>1215.3571428571429</c:v>
                </c:pt>
                <c:pt idx="437">
                  <c:v>1157.5</c:v>
                </c:pt>
                <c:pt idx="438">
                  <c:v>1118.214285714286</c:v>
                </c:pt>
                <c:pt idx="439">
                  <c:v>1140.3571428571433</c:v>
                </c:pt>
                <c:pt idx="440">
                  <c:v>1083.5714285714287</c:v>
                </c:pt>
                <c:pt idx="441">
                  <c:v>1147.5000000000002</c:v>
                </c:pt>
                <c:pt idx="442">
                  <c:v>1131.4285714285713</c:v>
                </c:pt>
                <c:pt idx="443">
                  <c:v>1108.5714285714284</c:v>
                </c:pt>
                <c:pt idx="444">
                  <c:v>1109.6428571428571</c:v>
                </c:pt>
                <c:pt idx="445">
                  <c:v>1081.0714285714278</c:v>
                </c:pt>
                <c:pt idx="446">
                  <c:v>1096.0714285714284</c:v>
                </c:pt>
                <c:pt idx="447">
                  <c:v>1055.3571428571429</c:v>
                </c:pt>
                <c:pt idx="448">
                  <c:v>1119.2857142857144</c:v>
                </c:pt>
                <c:pt idx="449">
                  <c:v>1098.5714285714284</c:v>
                </c:pt>
                <c:pt idx="450">
                  <c:v>1084.6428571428573</c:v>
                </c:pt>
                <c:pt idx="451">
                  <c:v>1094.6428571428573</c:v>
                </c:pt>
                <c:pt idx="452">
                  <c:v>1078.5714285714289</c:v>
                </c:pt>
                <c:pt idx="453">
                  <c:v>1122.1428571428573</c:v>
                </c:pt>
                <c:pt idx="454">
                  <c:v>1055.7142857142858</c:v>
                </c:pt>
                <c:pt idx="455">
                  <c:v>1099.2857142857142</c:v>
                </c:pt>
                <c:pt idx="456">
                  <c:v>1139.6428571428571</c:v>
                </c:pt>
                <c:pt idx="457">
                  <c:v>1132.8571428571431</c:v>
                </c:pt>
                <c:pt idx="458">
                  <c:v>1108.5714285714289</c:v>
                </c:pt>
                <c:pt idx="459">
                  <c:v>1128.2142857142853</c:v>
                </c:pt>
                <c:pt idx="460">
                  <c:v>1124.6428571428571</c:v>
                </c:pt>
                <c:pt idx="461">
                  <c:v>1138.5714285714291</c:v>
                </c:pt>
                <c:pt idx="462">
                  <c:v>1125.7142857142865</c:v>
                </c:pt>
                <c:pt idx="463">
                  <c:v>1196.0714285714284</c:v>
                </c:pt>
                <c:pt idx="464">
                  <c:v>1132.8571428571433</c:v>
                </c:pt>
                <c:pt idx="465">
                  <c:v>1183.2142857142862</c:v>
                </c:pt>
                <c:pt idx="466">
                  <c:v>1201.4285714285711</c:v>
                </c:pt>
                <c:pt idx="467">
                  <c:v>1202.8571428571436</c:v>
                </c:pt>
                <c:pt idx="468">
                  <c:v>1187.1428571428564</c:v>
                </c:pt>
                <c:pt idx="469">
                  <c:v>1203.9285714285718</c:v>
                </c:pt>
                <c:pt idx="470">
                  <c:v>1120.7142857142853</c:v>
                </c:pt>
                <c:pt idx="471">
                  <c:v>1165.0000000000002</c:v>
                </c:pt>
                <c:pt idx="472">
                  <c:v>1150.0000000000002</c:v>
                </c:pt>
                <c:pt idx="473">
                  <c:v>1181.7857142857149</c:v>
                </c:pt>
                <c:pt idx="474">
                  <c:v>1129.6428571428571</c:v>
                </c:pt>
                <c:pt idx="475">
                  <c:v>1084.2857142857138</c:v>
                </c:pt>
                <c:pt idx="476">
                  <c:v>1086.428571428572</c:v>
                </c:pt>
                <c:pt idx="477">
                  <c:v>1060</c:v>
                </c:pt>
                <c:pt idx="478">
                  <c:v>1038.5714285714284</c:v>
                </c:pt>
                <c:pt idx="479">
                  <c:v>996.78571428571411</c:v>
                </c:pt>
                <c:pt idx="480">
                  <c:v>978.92857142857099</c:v>
                </c:pt>
                <c:pt idx="481">
                  <c:v>932.50000000000034</c:v>
                </c:pt>
                <c:pt idx="482">
                  <c:v>933.57142857142901</c:v>
                </c:pt>
                <c:pt idx="483">
                  <c:v>898.21428571428612</c:v>
                </c:pt>
                <c:pt idx="484">
                  <c:v>858.21428571428589</c:v>
                </c:pt>
                <c:pt idx="485">
                  <c:v>857.50000000000034</c:v>
                </c:pt>
                <c:pt idx="486">
                  <c:v>816.42857142857133</c:v>
                </c:pt>
                <c:pt idx="487">
                  <c:v>820</c:v>
                </c:pt>
                <c:pt idx="488">
                  <c:v>823</c:v>
                </c:pt>
                <c:pt idx="489">
                  <c:v>840</c:v>
                </c:pt>
                <c:pt idx="490">
                  <c:v>872.2</c:v>
                </c:pt>
                <c:pt idx="491">
                  <c:v>850</c:v>
                </c:pt>
                <c:pt idx="492">
                  <c:v>886.6</c:v>
                </c:pt>
                <c:pt idx="493">
                  <c:v>893.8</c:v>
                </c:pt>
                <c:pt idx="494">
                  <c:v>901</c:v>
                </c:pt>
                <c:pt idx="495">
                  <c:v>908.2</c:v>
                </c:pt>
                <c:pt idx="496">
                  <c:v>915.4</c:v>
                </c:pt>
                <c:pt idx="497">
                  <c:v>922.6</c:v>
                </c:pt>
                <c:pt idx="498">
                  <c:v>929.8</c:v>
                </c:pt>
                <c:pt idx="499">
                  <c:v>937</c:v>
                </c:pt>
                <c:pt idx="500">
                  <c:v>944.2</c:v>
                </c:pt>
                <c:pt idx="501">
                  <c:v>951.4</c:v>
                </c:pt>
                <c:pt idx="502">
                  <c:v>958.6</c:v>
                </c:pt>
                <c:pt idx="503">
                  <c:v>965.8</c:v>
                </c:pt>
                <c:pt idx="504">
                  <c:v>973</c:v>
                </c:pt>
                <c:pt idx="505">
                  <c:v>1058.2149999999999</c:v>
                </c:pt>
                <c:pt idx="506">
                  <c:v>980.21500000000003</c:v>
                </c:pt>
                <c:pt idx="507">
                  <c:v>947.43</c:v>
                </c:pt>
                <c:pt idx="508">
                  <c:v>880</c:v>
                </c:pt>
                <c:pt idx="509">
                  <c:v>844.21500000000003</c:v>
                </c:pt>
                <c:pt idx="510">
                  <c:v>939.35500000000002</c:v>
                </c:pt>
                <c:pt idx="511">
                  <c:v>903</c:v>
                </c:pt>
                <c:pt idx="512">
                  <c:v>880.21500000000003</c:v>
                </c:pt>
                <c:pt idx="513">
                  <c:v>901</c:v>
                </c:pt>
                <c:pt idx="514">
                  <c:v>870.35500000000002</c:v>
                </c:pt>
                <c:pt idx="515">
                  <c:v>927.21500000000003</c:v>
                </c:pt>
                <c:pt idx="516">
                  <c:v>972.78499999999997</c:v>
                </c:pt>
                <c:pt idx="517">
                  <c:v>959.78499999999997</c:v>
                </c:pt>
                <c:pt idx="518">
                  <c:v>952.14499999999998</c:v>
                </c:pt>
                <c:pt idx="519">
                  <c:v>962.64499999999998</c:v>
                </c:pt>
                <c:pt idx="520">
                  <c:v>959.57</c:v>
                </c:pt>
                <c:pt idx="521">
                  <c:v>962.57</c:v>
                </c:pt>
                <c:pt idx="522">
                  <c:v>966.07</c:v>
                </c:pt>
                <c:pt idx="523">
                  <c:v>970.28499999999997</c:v>
                </c:pt>
                <c:pt idx="524">
                  <c:v>958.07</c:v>
                </c:pt>
                <c:pt idx="525">
                  <c:v>980.43</c:v>
                </c:pt>
                <c:pt idx="526">
                  <c:v>979.5</c:v>
                </c:pt>
                <c:pt idx="527">
                  <c:v>1011.43</c:v>
                </c:pt>
                <c:pt idx="528">
                  <c:v>1040.7149999999999</c:v>
                </c:pt>
                <c:pt idx="529">
                  <c:v>1026.5</c:v>
                </c:pt>
                <c:pt idx="530">
                  <c:v>1032.855</c:v>
                </c:pt>
                <c:pt idx="531">
                  <c:v>1025.43</c:v>
                </c:pt>
                <c:pt idx="532">
                  <c:v>1012.215</c:v>
                </c:pt>
                <c:pt idx="533">
                  <c:v>992.07</c:v>
                </c:pt>
                <c:pt idx="534">
                  <c:v>991.28499999999997</c:v>
                </c:pt>
                <c:pt idx="535">
                  <c:v>996.14499999999998</c:v>
                </c:pt>
                <c:pt idx="536">
                  <c:v>989.14499999999998</c:v>
                </c:pt>
                <c:pt idx="537">
                  <c:v>1015.93</c:v>
                </c:pt>
                <c:pt idx="538">
                  <c:v>1032.93</c:v>
                </c:pt>
                <c:pt idx="539">
                  <c:v>1038.43</c:v>
                </c:pt>
                <c:pt idx="540">
                  <c:v>1078.145</c:v>
                </c:pt>
                <c:pt idx="541">
                  <c:v>1105.2149999999999</c:v>
                </c:pt>
                <c:pt idx="542">
                  <c:v>1096.855</c:v>
                </c:pt>
                <c:pt idx="543">
                  <c:v>1119.145</c:v>
                </c:pt>
                <c:pt idx="544">
                  <c:v>1129.355</c:v>
                </c:pt>
                <c:pt idx="545">
                  <c:v>1138.57</c:v>
                </c:pt>
                <c:pt idx="546">
                  <c:v>1152.355</c:v>
                </c:pt>
                <c:pt idx="547">
                  <c:v>1158</c:v>
                </c:pt>
                <c:pt idx="548">
                  <c:v>1144.43</c:v>
                </c:pt>
                <c:pt idx="549">
                  <c:v>1170.2850000000001</c:v>
                </c:pt>
                <c:pt idx="550">
                  <c:v>1154.43</c:v>
                </c:pt>
                <c:pt idx="551">
                  <c:v>1131.145</c:v>
                </c:pt>
                <c:pt idx="552">
                  <c:v>1093.355</c:v>
                </c:pt>
                <c:pt idx="553">
                  <c:v>1061.5</c:v>
                </c:pt>
                <c:pt idx="554">
                  <c:v>1070.7850000000001</c:v>
                </c:pt>
                <c:pt idx="555">
                  <c:v>1088.145</c:v>
                </c:pt>
                <c:pt idx="556">
                  <c:v>1029.43</c:v>
                </c:pt>
                <c:pt idx="557">
                  <c:v>1020.715</c:v>
                </c:pt>
                <c:pt idx="558">
                  <c:v>1009.355</c:v>
                </c:pt>
                <c:pt idx="559">
                  <c:v>1008.07</c:v>
                </c:pt>
                <c:pt idx="560">
                  <c:v>1012.43</c:v>
                </c:pt>
                <c:pt idx="561">
                  <c:v>967.5</c:v>
                </c:pt>
                <c:pt idx="562">
                  <c:v>916.93</c:v>
                </c:pt>
                <c:pt idx="563">
                  <c:v>921.35500000000002</c:v>
                </c:pt>
                <c:pt idx="564">
                  <c:v>876.93</c:v>
                </c:pt>
                <c:pt idx="565">
                  <c:v>836.35500000000002</c:v>
                </c:pt>
                <c:pt idx="566">
                  <c:v>811.85500000000002</c:v>
                </c:pt>
                <c:pt idx="567">
                  <c:v>807.85500000000002</c:v>
                </c:pt>
                <c:pt idx="568">
                  <c:v>786.64499999999998</c:v>
                </c:pt>
                <c:pt idx="569">
                  <c:v>721.28499999999997</c:v>
                </c:pt>
                <c:pt idx="570">
                  <c:v>693.71500000000003</c:v>
                </c:pt>
                <c:pt idx="571">
                  <c:v>664.64499999999998</c:v>
                </c:pt>
                <c:pt idx="572">
                  <c:v>645.78499999999997</c:v>
                </c:pt>
                <c:pt idx="573">
                  <c:v>645.78499999999997</c:v>
                </c:pt>
                <c:pt idx="574">
                  <c:v>631.78499999999997</c:v>
                </c:pt>
                <c:pt idx="575">
                  <c:v>627.07000000000005</c:v>
                </c:pt>
                <c:pt idx="576">
                  <c:v>618.35500000000002</c:v>
                </c:pt>
                <c:pt idx="577">
                  <c:v>593.35500000000002</c:v>
                </c:pt>
                <c:pt idx="578">
                  <c:v>601.42999999999995</c:v>
                </c:pt>
                <c:pt idx="579">
                  <c:v>545.5</c:v>
                </c:pt>
                <c:pt idx="580">
                  <c:v>523.71500000000003</c:v>
                </c:pt>
                <c:pt idx="581">
                  <c:v>520.35500000000002</c:v>
                </c:pt>
                <c:pt idx="582">
                  <c:v>457.35500000000002</c:v>
                </c:pt>
                <c:pt idx="583">
                  <c:v>407.78500000000003</c:v>
                </c:pt>
                <c:pt idx="584">
                  <c:v>427.21499999999997</c:v>
                </c:pt>
                <c:pt idx="585">
                  <c:v>394.21499999999997</c:v>
                </c:pt>
                <c:pt idx="586">
                  <c:v>417.93</c:v>
                </c:pt>
                <c:pt idx="587">
                  <c:v>415.71499999999997</c:v>
                </c:pt>
                <c:pt idx="588">
                  <c:v>412</c:v>
                </c:pt>
                <c:pt idx="589">
                  <c:v>450.35500000000002</c:v>
                </c:pt>
                <c:pt idx="590">
                  <c:v>443.78500000000003</c:v>
                </c:pt>
                <c:pt idx="591">
                  <c:v>391.43</c:v>
                </c:pt>
                <c:pt idx="592">
                  <c:v>370.93</c:v>
                </c:pt>
                <c:pt idx="593">
                  <c:v>347.35500000000002</c:v>
                </c:pt>
                <c:pt idx="594">
                  <c:v>350.85500000000002</c:v>
                </c:pt>
                <c:pt idx="595">
                  <c:v>349.93</c:v>
                </c:pt>
                <c:pt idx="596">
                  <c:v>333.64499999999998</c:v>
                </c:pt>
                <c:pt idx="597">
                  <c:v>311.85500000000002</c:v>
                </c:pt>
                <c:pt idx="598">
                  <c:v>300</c:v>
                </c:pt>
                <c:pt idx="599">
                  <c:v>289.21499999999997</c:v>
                </c:pt>
                <c:pt idx="600">
                  <c:v>295.71499999999997</c:v>
                </c:pt>
                <c:pt idx="601">
                  <c:v>281.21499999999997</c:v>
                </c:pt>
                <c:pt idx="602">
                  <c:v>281.64499999999998</c:v>
                </c:pt>
                <c:pt idx="603">
                  <c:v>270.64499999999998</c:v>
                </c:pt>
                <c:pt idx="604">
                  <c:v>264.78500000000003</c:v>
                </c:pt>
                <c:pt idx="605">
                  <c:v>256.71499999999997</c:v>
                </c:pt>
                <c:pt idx="606">
                  <c:v>255.43</c:v>
                </c:pt>
                <c:pt idx="607">
                  <c:v>231.715</c:v>
                </c:pt>
                <c:pt idx="608">
                  <c:v>227.64500000000001</c:v>
                </c:pt>
                <c:pt idx="609">
                  <c:v>229.85499999999999</c:v>
                </c:pt>
                <c:pt idx="610">
                  <c:v>222.215</c:v>
                </c:pt>
                <c:pt idx="611">
                  <c:v>224.07</c:v>
                </c:pt>
                <c:pt idx="612">
                  <c:v>208.285</c:v>
                </c:pt>
                <c:pt idx="613">
                  <c:v>200.785</c:v>
                </c:pt>
                <c:pt idx="614">
                  <c:v>191.07</c:v>
                </c:pt>
                <c:pt idx="615">
                  <c:v>169.785</c:v>
                </c:pt>
                <c:pt idx="616">
                  <c:v>182.715</c:v>
                </c:pt>
                <c:pt idx="617">
                  <c:v>180.5</c:v>
                </c:pt>
                <c:pt idx="618">
                  <c:v>158.785</c:v>
                </c:pt>
                <c:pt idx="619">
                  <c:v>157.715</c:v>
                </c:pt>
                <c:pt idx="620">
                  <c:v>152.85499999999999</c:v>
                </c:pt>
                <c:pt idx="621">
                  <c:v>144.64500000000001</c:v>
                </c:pt>
                <c:pt idx="622">
                  <c:v>146.285</c:v>
                </c:pt>
                <c:pt idx="623">
                  <c:v>133.785</c:v>
                </c:pt>
                <c:pt idx="624">
                  <c:v>125.43</c:v>
                </c:pt>
                <c:pt idx="625">
                  <c:v>114.145</c:v>
                </c:pt>
                <c:pt idx="626">
                  <c:v>108.785</c:v>
                </c:pt>
                <c:pt idx="627">
                  <c:v>97.644999999999996</c:v>
                </c:pt>
                <c:pt idx="628">
                  <c:v>92.784999999999997</c:v>
                </c:pt>
                <c:pt idx="629">
                  <c:v>93.715000000000003</c:v>
                </c:pt>
                <c:pt idx="630">
                  <c:v>85.355000000000004</c:v>
                </c:pt>
                <c:pt idx="631">
                  <c:v>78.144999999999996</c:v>
                </c:pt>
                <c:pt idx="632">
                  <c:v>74.144999999999996</c:v>
                </c:pt>
                <c:pt idx="633">
                  <c:v>68.069999999999993</c:v>
                </c:pt>
                <c:pt idx="634">
                  <c:v>65.069999999999993</c:v>
                </c:pt>
                <c:pt idx="635">
                  <c:v>51.5</c:v>
                </c:pt>
                <c:pt idx="636">
                  <c:v>61.07</c:v>
                </c:pt>
                <c:pt idx="637">
                  <c:v>61.93</c:v>
                </c:pt>
                <c:pt idx="638">
                  <c:v>62.854999999999997</c:v>
                </c:pt>
                <c:pt idx="639">
                  <c:v>58.145000000000003</c:v>
                </c:pt>
                <c:pt idx="640">
                  <c:v>56.07</c:v>
                </c:pt>
                <c:pt idx="641">
                  <c:v>55.93</c:v>
                </c:pt>
                <c:pt idx="642">
                  <c:v>64.284999999999997</c:v>
                </c:pt>
                <c:pt idx="643">
                  <c:v>53.284999999999997</c:v>
                </c:pt>
                <c:pt idx="644">
                  <c:v>52.145000000000003</c:v>
                </c:pt>
                <c:pt idx="645">
                  <c:v>48.57</c:v>
                </c:pt>
                <c:pt idx="646">
                  <c:v>50.215000000000003</c:v>
                </c:pt>
                <c:pt idx="647">
                  <c:v>48.57</c:v>
                </c:pt>
                <c:pt idx="648">
                  <c:v>47.854999999999997</c:v>
                </c:pt>
                <c:pt idx="649">
                  <c:v>46</c:v>
                </c:pt>
                <c:pt idx="650">
                  <c:v>42.145000000000003</c:v>
                </c:pt>
                <c:pt idx="651">
                  <c:v>41.93</c:v>
                </c:pt>
                <c:pt idx="652">
                  <c:v>38.645000000000003</c:v>
                </c:pt>
                <c:pt idx="653">
                  <c:v>32.57</c:v>
                </c:pt>
                <c:pt idx="654">
                  <c:v>28.645</c:v>
                </c:pt>
                <c:pt idx="655">
                  <c:v>25.355</c:v>
                </c:pt>
                <c:pt idx="656">
                  <c:v>18.855</c:v>
                </c:pt>
                <c:pt idx="657">
                  <c:v>15.855</c:v>
                </c:pt>
                <c:pt idx="658">
                  <c:v>20.57</c:v>
                </c:pt>
                <c:pt idx="659">
                  <c:v>21.285</c:v>
                </c:pt>
                <c:pt idx="660">
                  <c:v>19.355</c:v>
                </c:pt>
                <c:pt idx="661">
                  <c:v>17.57</c:v>
                </c:pt>
                <c:pt idx="662">
                  <c:v>17.285</c:v>
                </c:pt>
                <c:pt idx="663">
                  <c:v>20.215</c:v>
                </c:pt>
                <c:pt idx="664">
                  <c:v>21.645</c:v>
                </c:pt>
                <c:pt idx="665">
                  <c:v>17.145</c:v>
                </c:pt>
                <c:pt idx="666">
                  <c:v>16</c:v>
                </c:pt>
                <c:pt idx="667">
                  <c:v>15.855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F-4B96-857F-40F36829250F}"/>
            </c:ext>
          </c:extLst>
        </c:ser>
        <c:ser>
          <c:idx val="1"/>
          <c:order val="1"/>
          <c:tx>
            <c:strRef>
              <c:f>'Graf 9+10'!$L$9</c:f>
              <c:strCache>
                <c:ptCount val="1"/>
                <c:pt idx="0">
                  <c:v>Skutočnosť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val>
            <c:numRef>
              <c:f>'Graf 9+10'!$N$9:$OU$9</c:f>
              <c:numCache>
                <c:formatCode>0</c:formatCode>
                <c:ptCount val="398"/>
                <c:pt idx="0">
                  <c:v>76.561599999999999</c:v>
                </c:pt>
                <c:pt idx="1">
                  <c:v>72.141649999999998</c:v>
                </c:pt>
                <c:pt idx="2">
                  <c:v>76.561599999999999</c:v>
                </c:pt>
                <c:pt idx="3">
                  <c:v>81.55380000000001</c:v>
                </c:pt>
                <c:pt idx="4">
                  <c:v>97.522299999999987</c:v>
                </c:pt>
                <c:pt idx="5">
                  <c:v>105.22314999999999</c:v>
                </c:pt>
                <c:pt idx="6">
                  <c:v>102.5145</c:v>
                </c:pt>
                <c:pt idx="7">
                  <c:v>105.22314999999999</c:v>
                </c:pt>
                <c:pt idx="8">
                  <c:v>120.61940000000001</c:v>
                </c:pt>
                <c:pt idx="9">
                  <c:v>128.74535</c:v>
                </c:pt>
                <c:pt idx="10">
                  <c:v>135.73225000000002</c:v>
                </c:pt>
                <c:pt idx="11">
                  <c:v>132.16795000000002</c:v>
                </c:pt>
                <c:pt idx="12">
                  <c:v>130.88720000000001</c:v>
                </c:pt>
                <c:pt idx="13">
                  <c:v>134.59320000000002</c:v>
                </c:pt>
                <c:pt idx="14">
                  <c:v>148.41985</c:v>
                </c:pt>
                <c:pt idx="15">
                  <c:v>138.58260000000001</c:v>
                </c:pt>
                <c:pt idx="16">
                  <c:v>136.1628</c:v>
                </c:pt>
                <c:pt idx="17">
                  <c:v>143.14425</c:v>
                </c:pt>
                <c:pt idx="18">
                  <c:v>155.8373</c:v>
                </c:pt>
                <c:pt idx="19">
                  <c:v>163.24930000000001</c:v>
                </c:pt>
                <c:pt idx="20">
                  <c:v>167.66925000000001</c:v>
                </c:pt>
                <c:pt idx="21">
                  <c:v>165.81625</c:v>
                </c:pt>
                <c:pt idx="22">
                  <c:v>200.89245</c:v>
                </c:pt>
                <c:pt idx="23">
                  <c:v>229.26515000000001</c:v>
                </c:pt>
                <c:pt idx="24">
                  <c:v>255.49600000000001</c:v>
                </c:pt>
                <c:pt idx="25">
                  <c:v>292.8503</c:v>
                </c:pt>
                <c:pt idx="26">
                  <c:v>342.3254</c:v>
                </c:pt>
                <c:pt idx="27">
                  <c:v>368.8451</c:v>
                </c:pt>
                <c:pt idx="28">
                  <c:v>376.82935000000003</c:v>
                </c:pt>
                <c:pt idx="29">
                  <c:v>409.4803</c:v>
                </c:pt>
                <c:pt idx="30">
                  <c:v>471.78470000000004</c:v>
                </c:pt>
                <c:pt idx="31">
                  <c:v>508.85559999999998</c:v>
                </c:pt>
                <c:pt idx="32">
                  <c:v>530.52480000000003</c:v>
                </c:pt>
                <c:pt idx="33">
                  <c:v>579.00255000000004</c:v>
                </c:pt>
                <c:pt idx="34">
                  <c:v>591.54845</c:v>
                </c:pt>
                <c:pt idx="35">
                  <c:v>604.24150000000009</c:v>
                </c:pt>
                <c:pt idx="36">
                  <c:v>648.43555000000003</c:v>
                </c:pt>
                <c:pt idx="37">
                  <c:v>682.65610000000004</c:v>
                </c:pt>
                <c:pt idx="38">
                  <c:v>754.65604999999994</c:v>
                </c:pt>
                <c:pt idx="39">
                  <c:v>923.32810000000006</c:v>
                </c:pt>
                <c:pt idx="40">
                  <c:v>956.97640000000013</c:v>
                </c:pt>
                <c:pt idx="41">
                  <c:v>978.50390000000004</c:v>
                </c:pt>
                <c:pt idx="42">
                  <c:v>1008.5879000000001</c:v>
                </c:pt>
                <c:pt idx="43">
                  <c:v>1084.57725</c:v>
                </c:pt>
                <c:pt idx="44">
                  <c:v>1211.75845</c:v>
                </c:pt>
                <c:pt idx="45">
                  <c:v>1338.7925</c:v>
                </c:pt>
                <c:pt idx="46">
                  <c:v>1350.34105</c:v>
                </c:pt>
                <c:pt idx="47">
                  <c:v>1423.4855</c:v>
                </c:pt>
                <c:pt idx="48">
                  <c:v>1474.24135</c:v>
                </c:pt>
                <c:pt idx="49">
                  <c:v>1499.0497500000001</c:v>
                </c:pt>
                <c:pt idx="50">
                  <c:v>1611.9683</c:v>
                </c:pt>
                <c:pt idx="51">
                  <c:v>1583.3122000000001</c:v>
                </c:pt>
                <c:pt idx="52">
                  <c:v>1655.4538499999999</c:v>
                </c:pt>
                <c:pt idx="53">
                  <c:v>1786.9133000000002</c:v>
                </c:pt>
                <c:pt idx="54">
                  <c:v>1997.2124500000002</c:v>
                </c:pt>
                <c:pt idx="55">
                  <c:v>2061.6587</c:v>
                </c:pt>
                <c:pt idx="56">
                  <c:v>2089.6008500000003</c:v>
                </c:pt>
                <c:pt idx="57">
                  <c:v>2187.26485</c:v>
                </c:pt>
                <c:pt idx="58">
                  <c:v>2337.9682500000004</c:v>
                </c:pt>
                <c:pt idx="59">
                  <c:v>2449.4643500000002</c:v>
                </c:pt>
                <c:pt idx="60">
                  <c:v>2404.2674999999999</c:v>
                </c:pt>
                <c:pt idx="61">
                  <c:v>2295.9105999999997</c:v>
                </c:pt>
                <c:pt idx="62">
                  <c:v>2377.3227000000002</c:v>
                </c:pt>
                <c:pt idx="63">
                  <c:v>2495.09175</c:v>
                </c:pt>
                <c:pt idx="64">
                  <c:v>2541.9944500000001</c:v>
                </c:pt>
                <c:pt idx="65">
                  <c:v>2424.6559500000003</c:v>
                </c:pt>
                <c:pt idx="66">
                  <c:v>2280.7977500000002</c:v>
                </c:pt>
                <c:pt idx="67">
                  <c:v>2281.6534000000001</c:v>
                </c:pt>
                <c:pt idx="68">
                  <c:v>2216.9237499999999</c:v>
                </c:pt>
                <c:pt idx="69">
                  <c:v>2030.7190499999999</c:v>
                </c:pt>
                <c:pt idx="70">
                  <c:v>1934.3357999999998</c:v>
                </c:pt>
                <c:pt idx="71">
                  <c:v>1769.2335</c:v>
                </c:pt>
                <c:pt idx="72">
                  <c:v>1858.9132500000001</c:v>
                </c:pt>
                <c:pt idx="73">
                  <c:v>1811.8634</c:v>
                </c:pt>
                <c:pt idx="74">
                  <c:v>1696.6613000000002</c:v>
                </c:pt>
                <c:pt idx="75">
                  <c:v>1607.1232500000001</c:v>
                </c:pt>
                <c:pt idx="76">
                  <c:v>1597.4277</c:v>
                </c:pt>
                <c:pt idx="77">
                  <c:v>1636.6350000000002</c:v>
                </c:pt>
                <c:pt idx="78">
                  <c:v>1530.1311000000001</c:v>
                </c:pt>
                <c:pt idx="79">
                  <c:v>1398.1048500000002</c:v>
                </c:pt>
                <c:pt idx="80">
                  <c:v>1368.7348000000002</c:v>
                </c:pt>
                <c:pt idx="81">
                  <c:v>1381.5641000000001</c:v>
                </c:pt>
                <c:pt idx="82">
                  <c:v>1350.7716</c:v>
                </c:pt>
                <c:pt idx="83">
                  <c:v>1311.13375</c:v>
                </c:pt>
                <c:pt idx="84">
                  <c:v>1267.6482000000001</c:v>
                </c:pt>
                <c:pt idx="85">
                  <c:v>1338.9341999999999</c:v>
                </c:pt>
                <c:pt idx="86">
                  <c:v>1379.9999500000001</c:v>
                </c:pt>
                <c:pt idx="87">
                  <c:v>1384.4199000000001</c:v>
                </c:pt>
                <c:pt idx="88">
                  <c:v>1336.6561000000002</c:v>
                </c:pt>
                <c:pt idx="89">
                  <c:v>1353.3385499999999</c:v>
                </c:pt>
                <c:pt idx="90">
                  <c:v>1348.34635</c:v>
                </c:pt>
                <c:pt idx="91">
                  <c:v>1381.5641000000001</c:v>
                </c:pt>
                <c:pt idx="92">
                  <c:v>1414.6456000000001</c:v>
                </c:pt>
                <c:pt idx="93">
                  <c:v>1418.7767000000001</c:v>
                </c:pt>
                <c:pt idx="94">
                  <c:v>1466.5404999999998</c:v>
                </c:pt>
                <c:pt idx="95">
                  <c:v>1544.1049</c:v>
                </c:pt>
                <c:pt idx="96">
                  <c:v>1568.05765</c:v>
                </c:pt>
                <c:pt idx="97">
                  <c:v>1618.8135</c:v>
                </c:pt>
                <c:pt idx="98">
                  <c:v>1717.9054000000001</c:v>
                </c:pt>
                <c:pt idx="99">
                  <c:v>1792.1888999999999</c:v>
                </c:pt>
                <c:pt idx="100">
                  <c:v>1955.1548000000003</c:v>
                </c:pt>
                <c:pt idx="101">
                  <c:v>1952.5878500000001</c:v>
                </c:pt>
                <c:pt idx="102">
                  <c:v>2185.9841000000001</c:v>
                </c:pt>
                <c:pt idx="103">
                  <c:v>2317.2964000000002</c:v>
                </c:pt>
                <c:pt idx="104">
                  <c:v>2310.5929000000001</c:v>
                </c:pt>
                <c:pt idx="105">
                  <c:v>2322.7136999999998</c:v>
                </c:pt>
                <c:pt idx="106">
                  <c:v>2465.4328500000001</c:v>
                </c:pt>
                <c:pt idx="107">
                  <c:v>2454.0259999999998</c:v>
                </c:pt>
                <c:pt idx="108">
                  <c:v>2714.2308000000003</c:v>
                </c:pt>
                <c:pt idx="109">
                  <c:v>2634.9551000000001</c:v>
                </c:pt>
                <c:pt idx="110">
                  <c:v>2616.5668000000001</c:v>
                </c:pt>
                <c:pt idx="111">
                  <c:v>2718.3618999999999</c:v>
                </c:pt>
                <c:pt idx="112">
                  <c:v>2808.0471000000002</c:v>
                </c:pt>
                <c:pt idx="113">
                  <c:v>2825.4380499999997</c:v>
                </c:pt>
                <c:pt idx="114">
                  <c:v>2770.1205500000001</c:v>
                </c:pt>
                <c:pt idx="115">
                  <c:v>2777.9631000000004</c:v>
                </c:pt>
                <c:pt idx="116">
                  <c:v>2477.1230999999998</c:v>
                </c:pt>
                <c:pt idx="117">
                  <c:v>2307.8842500000001</c:v>
                </c:pt>
                <c:pt idx="118">
                  <c:v>2215.21245</c:v>
                </c:pt>
                <c:pt idx="119">
                  <c:v>2134.2309</c:v>
                </c:pt>
                <c:pt idx="120">
                  <c:v>2042.1259</c:v>
                </c:pt>
                <c:pt idx="121">
                  <c:v>2563.6691000000001</c:v>
                </c:pt>
                <c:pt idx="122">
                  <c:v>2694.6979999999999</c:v>
                </c:pt>
                <c:pt idx="123">
                  <c:v>2793.7898999999998</c:v>
                </c:pt>
                <c:pt idx="124">
                  <c:v>2842.9761500000004</c:v>
                </c:pt>
                <c:pt idx="125">
                  <c:v>2852.5299999999997</c:v>
                </c:pt>
                <c:pt idx="126">
                  <c:v>2979.9946</c:v>
                </c:pt>
                <c:pt idx="127">
                  <c:v>3253.4538000000002</c:v>
                </c:pt>
                <c:pt idx="128">
                  <c:v>2657.7687999999998</c:v>
                </c:pt>
                <c:pt idx="129">
                  <c:v>2374.7557500000003</c:v>
                </c:pt>
                <c:pt idx="130">
                  <c:v>2707.8161500000001</c:v>
                </c:pt>
                <c:pt idx="131">
                  <c:v>2957.8948499999997</c:v>
                </c:pt>
                <c:pt idx="132">
                  <c:v>2989.83185</c:v>
                </c:pt>
                <c:pt idx="133">
                  <c:v>2907.2807000000003</c:v>
                </c:pt>
                <c:pt idx="134">
                  <c:v>2710.0942500000001</c:v>
                </c:pt>
                <c:pt idx="135">
                  <c:v>2822.1626000000001</c:v>
                </c:pt>
                <c:pt idx="136">
                  <c:v>2786.3724500000003</c:v>
                </c:pt>
                <c:pt idx="137">
                  <c:v>2497.36985</c:v>
                </c:pt>
                <c:pt idx="138">
                  <c:v>2155.18615</c:v>
                </c:pt>
                <c:pt idx="139">
                  <c:v>2183.70055</c:v>
                </c:pt>
                <c:pt idx="140">
                  <c:v>2112.2728499999998</c:v>
                </c:pt>
                <c:pt idx="141">
                  <c:v>1956.57725</c:v>
                </c:pt>
                <c:pt idx="142">
                  <c:v>1891.1336500000002</c:v>
                </c:pt>
                <c:pt idx="143">
                  <c:v>1756.54045</c:v>
                </c:pt>
                <c:pt idx="144">
                  <c:v>1685.11275</c:v>
                </c:pt>
                <c:pt idx="145">
                  <c:v>1875.0234500000001</c:v>
                </c:pt>
                <c:pt idx="146">
                  <c:v>1802.4512500000001</c:v>
                </c:pt>
                <c:pt idx="147">
                  <c:v>1756.971</c:v>
                </c:pt>
                <c:pt idx="148">
                  <c:v>1798.4618500000001</c:v>
                </c:pt>
                <c:pt idx="149">
                  <c:v>1737.2964999999999</c:v>
                </c:pt>
                <c:pt idx="150">
                  <c:v>1850.7873</c:v>
                </c:pt>
                <c:pt idx="151">
                  <c:v>1941.7478000000001</c:v>
                </c:pt>
                <c:pt idx="152">
                  <c:v>1915.8003500000002</c:v>
                </c:pt>
                <c:pt idx="153">
                  <c:v>1900.5458000000001</c:v>
                </c:pt>
                <c:pt idx="154">
                  <c:v>1921.5065</c:v>
                </c:pt>
                <c:pt idx="155">
                  <c:v>1915.3752500000001</c:v>
                </c:pt>
                <c:pt idx="156">
                  <c:v>1921.3593500000002</c:v>
                </c:pt>
                <c:pt idx="157">
                  <c:v>1928.3462500000001</c:v>
                </c:pt>
                <c:pt idx="158">
                  <c:v>1936.7610500000003</c:v>
                </c:pt>
                <c:pt idx="159">
                  <c:v>1912.3777499999999</c:v>
                </c:pt>
                <c:pt idx="160">
                  <c:v>1957.0078000000001</c:v>
                </c:pt>
                <c:pt idx="161">
                  <c:v>1955.1548000000003</c:v>
                </c:pt>
                <c:pt idx="162">
                  <c:v>2018.88165</c:v>
                </c:pt>
                <c:pt idx="163">
                  <c:v>2077.33835</c:v>
                </c:pt>
                <c:pt idx="164">
                  <c:v>2048.9656500000001</c:v>
                </c:pt>
                <c:pt idx="165">
                  <c:v>2061.6587</c:v>
                </c:pt>
                <c:pt idx="166">
                  <c:v>2046.82925</c:v>
                </c:pt>
                <c:pt idx="167">
                  <c:v>2020.4512500000003</c:v>
                </c:pt>
                <c:pt idx="168">
                  <c:v>1980.2466000000002</c:v>
                </c:pt>
                <c:pt idx="169">
                  <c:v>1978.6770000000001</c:v>
                </c:pt>
                <c:pt idx="170">
                  <c:v>1988.37255</c:v>
                </c:pt>
                <c:pt idx="171">
                  <c:v>1974.3987499999998</c:v>
                </c:pt>
                <c:pt idx="172">
                  <c:v>2027.8687000000002</c:v>
                </c:pt>
                <c:pt idx="173">
                  <c:v>2061.8004000000001</c:v>
                </c:pt>
                <c:pt idx="174">
                  <c:v>2072.7767000000003</c:v>
                </c:pt>
                <c:pt idx="175">
                  <c:v>2152.0524</c:v>
                </c:pt>
                <c:pt idx="176">
                  <c:v>2206.0891499999998</c:v>
                </c:pt>
                <c:pt idx="177">
                  <c:v>2189.4067</c:v>
                </c:pt>
                <c:pt idx="178">
                  <c:v>2233.8896</c:v>
                </c:pt>
                <c:pt idx="179">
                  <c:v>2254.2780500000003</c:v>
                </c:pt>
                <c:pt idx="180">
                  <c:v>2272.6718000000001</c:v>
                </c:pt>
                <c:pt idx="181">
                  <c:v>2300.18885</c:v>
                </c:pt>
                <c:pt idx="182">
                  <c:v>2311.4485500000001</c:v>
                </c:pt>
                <c:pt idx="183">
                  <c:v>2284.3620500000002</c:v>
                </c:pt>
                <c:pt idx="184">
                  <c:v>2335.9735500000002</c:v>
                </c:pt>
                <c:pt idx="185">
                  <c:v>2304.3199500000001</c:v>
                </c:pt>
                <c:pt idx="186">
                  <c:v>2257.8423500000004</c:v>
                </c:pt>
                <c:pt idx="187">
                  <c:v>2182.4198000000001</c:v>
                </c:pt>
                <c:pt idx="188">
                  <c:v>2118.8292000000001</c:v>
                </c:pt>
                <c:pt idx="189">
                  <c:v>2137.36465</c:v>
                </c:pt>
                <c:pt idx="190">
                  <c:v>2172.0102999999999</c:v>
                </c:pt>
                <c:pt idx="191">
                  <c:v>2054.8134999999997</c:v>
                </c:pt>
                <c:pt idx="192">
                  <c:v>2037.4171000000001</c:v>
                </c:pt>
                <c:pt idx="193">
                  <c:v>2014.75055</c:v>
                </c:pt>
                <c:pt idx="194">
                  <c:v>2012.1836000000003</c:v>
                </c:pt>
                <c:pt idx="195">
                  <c:v>2020.8817999999999</c:v>
                </c:pt>
                <c:pt idx="196">
                  <c:v>1931.1966000000002</c:v>
                </c:pt>
                <c:pt idx="197">
                  <c:v>1830.2571500000001</c:v>
                </c:pt>
                <c:pt idx="198">
                  <c:v>1839.0970500000001</c:v>
                </c:pt>
                <c:pt idx="199">
                  <c:v>1750.4146500000002</c:v>
                </c:pt>
                <c:pt idx="200">
                  <c:v>1669.4276500000001</c:v>
                </c:pt>
                <c:pt idx="201">
                  <c:v>1620.5247999999999</c:v>
                </c:pt>
                <c:pt idx="202">
                  <c:v>1612.5405500000002</c:v>
                </c:pt>
                <c:pt idx="203">
                  <c:v>1570.1940499999998</c:v>
                </c:pt>
                <c:pt idx="204">
                  <c:v>1439.7374000000002</c:v>
                </c:pt>
                <c:pt idx="205">
                  <c:v>1384.7033000000001</c:v>
                </c:pt>
                <c:pt idx="206">
                  <c:v>1326.67715</c:v>
                </c:pt>
                <c:pt idx="207">
                  <c:v>1289.0340000000001</c:v>
                </c:pt>
                <c:pt idx="208">
                  <c:v>1289.0340000000001</c:v>
                </c:pt>
                <c:pt idx="209">
                  <c:v>1261.09185</c:v>
                </c:pt>
                <c:pt idx="210">
                  <c:v>1251.6796999999999</c:v>
                </c:pt>
                <c:pt idx="211">
                  <c:v>1234.2833000000001</c:v>
                </c:pt>
                <c:pt idx="212">
                  <c:v>1184.3831</c:v>
                </c:pt>
                <c:pt idx="213">
                  <c:v>1200.4933000000001</c:v>
                </c:pt>
                <c:pt idx="214">
                  <c:v>1088.8554999999999</c:v>
                </c:pt>
                <c:pt idx="215">
                  <c:v>1045.36995</c:v>
                </c:pt>
                <c:pt idx="216">
                  <c:v>1038.6719000000001</c:v>
                </c:pt>
                <c:pt idx="217">
                  <c:v>912.91860000000008</c:v>
                </c:pt>
                <c:pt idx="218">
                  <c:v>813.96840000000009</c:v>
                </c:pt>
                <c:pt idx="219">
                  <c:v>852.75059999999996</c:v>
                </c:pt>
                <c:pt idx="220">
                  <c:v>786.88190000000009</c:v>
                </c:pt>
                <c:pt idx="221">
                  <c:v>834.21515000000011</c:v>
                </c:pt>
                <c:pt idx="222">
                  <c:v>829.79520000000002</c:v>
                </c:pt>
                <c:pt idx="223">
                  <c:v>822.38319999999999</c:v>
                </c:pt>
                <c:pt idx="224">
                  <c:v>898.94479999999999</c:v>
                </c:pt>
                <c:pt idx="225">
                  <c:v>885.82665000000009</c:v>
                </c:pt>
                <c:pt idx="226">
                  <c:v>781.31745000000001</c:v>
                </c:pt>
                <c:pt idx="227">
                  <c:v>740.39885000000004</c:v>
                </c:pt>
                <c:pt idx="228">
                  <c:v>693.34900000000005</c:v>
                </c:pt>
                <c:pt idx="229">
                  <c:v>700.33590000000004</c:v>
                </c:pt>
                <c:pt idx="230">
                  <c:v>698.48290000000009</c:v>
                </c:pt>
                <c:pt idx="231">
                  <c:v>665.97365000000002</c:v>
                </c:pt>
                <c:pt idx="232">
                  <c:v>622.48810000000003</c:v>
                </c:pt>
                <c:pt idx="233">
                  <c:v>598.82420000000002</c:v>
                </c:pt>
                <c:pt idx="234">
                  <c:v>577.29124999999999</c:v>
                </c:pt>
                <c:pt idx="235">
                  <c:v>590.26769999999999</c:v>
                </c:pt>
                <c:pt idx="236">
                  <c:v>561.32275000000004</c:v>
                </c:pt>
                <c:pt idx="237">
                  <c:v>562.17840000000001</c:v>
                </c:pt>
                <c:pt idx="238">
                  <c:v>540.22035000000005</c:v>
                </c:pt>
                <c:pt idx="239">
                  <c:v>528.53009999999995</c:v>
                </c:pt>
                <c:pt idx="240">
                  <c:v>512.4199000000001</c:v>
                </c:pt>
                <c:pt idx="241">
                  <c:v>509.85295000000002</c:v>
                </c:pt>
                <c:pt idx="242">
                  <c:v>462.5197</c:v>
                </c:pt>
                <c:pt idx="243">
                  <c:v>454.39375000000001</c:v>
                </c:pt>
                <c:pt idx="244">
                  <c:v>458.81370000000004</c:v>
                </c:pt>
                <c:pt idx="245">
                  <c:v>443.55369999999999</c:v>
                </c:pt>
                <c:pt idx="246">
                  <c:v>447.26514999999995</c:v>
                </c:pt>
                <c:pt idx="247">
                  <c:v>415.75324999999998</c:v>
                </c:pt>
                <c:pt idx="248">
                  <c:v>400.78210000000001</c:v>
                </c:pt>
                <c:pt idx="249">
                  <c:v>381.39100000000002</c:v>
                </c:pt>
                <c:pt idx="250">
                  <c:v>338.90280000000001</c:v>
                </c:pt>
                <c:pt idx="251">
                  <c:v>364.70855</c:v>
                </c:pt>
                <c:pt idx="252">
                  <c:v>360.28860000000003</c:v>
                </c:pt>
                <c:pt idx="253">
                  <c:v>316.9502</c:v>
                </c:pt>
                <c:pt idx="254">
                  <c:v>314.80835000000002</c:v>
                </c:pt>
                <c:pt idx="255">
                  <c:v>305.11279999999999</c:v>
                </c:pt>
                <c:pt idx="256">
                  <c:v>288.7192</c:v>
                </c:pt>
                <c:pt idx="257">
                  <c:v>291.99464999999998</c:v>
                </c:pt>
                <c:pt idx="258">
                  <c:v>267.04455000000002</c:v>
                </c:pt>
                <c:pt idx="259">
                  <c:v>250.36210000000003</c:v>
                </c:pt>
                <c:pt idx="260">
                  <c:v>227.83725000000001</c:v>
                </c:pt>
                <c:pt idx="261">
                  <c:v>217.14435000000003</c:v>
                </c:pt>
                <c:pt idx="262">
                  <c:v>194.90290000000002</c:v>
                </c:pt>
                <c:pt idx="263">
                  <c:v>185.20734999999999</c:v>
                </c:pt>
                <c:pt idx="264">
                  <c:v>187.06035</c:v>
                </c:pt>
                <c:pt idx="265">
                  <c:v>170.37790000000001</c:v>
                </c:pt>
                <c:pt idx="266">
                  <c:v>155.97900000000001</c:v>
                </c:pt>
                <c:pt idx="267">
                  <c:v>147.99475000000001</c:v>
                </c:pt>
                <c:pt idx="268">
                  <c:v>135.87395000000001</c:v>
                </c:pt>
                <c:pt idx="269">
                  <c:v>129.88985</c:v>
                </c:pt>
                <c:pt idx="270">
                  <c:v>102.7979</c:v>
                </c:pt>
                <c:pt idx="271">
                  <c:v>121.90559999999999</c:v>
                </c:pt>
                <c:pt idx="272">
                  <c:v>123.61145</c:v>
                </c:pt>
                <c:pt idx="273">
                  <c:v>125.4699</c:v>
                </c:pt>
                <c:pt idx="274">
                  <c:v>116.05775000000001</c:v>
                </c:pt>
                <c:pt idx="275">
                  <c:v>111.92120000000001</c:v>
                </c:pt>
                <c:pt idx="276">
                  <c:v>111.63780000000001</c:v>
                </c:pt>
                <c:pt idx="277">
                  <c:v>128.32025000000002</c:v>
                </c:pt>
                <c:pt idx="278">
                  <c:v>106.36219999999999</c:v>
                </c:pt>
                <c:pt idx="279">
                  <c:v>104.07865000000001</c:v>
                </c:pt>
                <c:pt idx="280">
                  <c:v>96.950050000000005</c:v>
                </c:pt>
                <c:pt idx="281">
                  <c:v>100.23094999999999</c:v>
                </c:pt>
                <c:pt idx="282">
                  <c:v>96.950050000000005</c:v>
                </c:pt>
                <c:pt idx="283">
                  <c:v>95.527599999999993</c:v>
                </c:pt>
                <c:pt idx="284">
                  <c:v>91.821600000000004</c:v>
                </c:pt>
                <c:pt idx="285">
                  <c:v>84.120750000000001</c:v>
                </c:pt>
                <c:pt idx="286">
                  <c:v>83.690200000000004</c:v>
                </c:pt>
                <c:pt idx="287">
                  <c:v>77.13385000000001</c:v>
                </c:pt>
                <c:pt idx="288">
                  <c:v>65.013050000000007</c:v>
                </c:pt>
                <c:pt idx="289">
                  <c:v>57.170500000000004</c:v>
                </c:pt>
                <c:pt idx="290">
                  <c:v>50.614150000000009</c:v>
                </c:pt>
                <c:pt idx="291">
                  <c:v>37.637700000000002</c:v>
                </c:pt>
                <c:pt idx="292">
                  <c:v>31.653600000000001</c:v>
                </c:pt>
                <c:pt idx="293">
                  <c:v>41.060299999999998</c:v>
                </c:pt>
                <c:pt idx="294">
                  <c:v>42.488200000000006</c:v>
                </c:pt>
                <c:pt idx="295">
                  <c:v>38.640500000000003</c:v>
                </c:pt>
                <c:pt idx="296">
                  <c:v>35.0762</c:v>
                </c:pt>
                <c:pt idx="297">
                  <c:v>34.503950000000003</c:v>
                </c:pt>
                <c:pt idx="298">
                  <c:v>40.351800000000004</c:v>
                </c:pt>
                <c:pt idx="299">
                  <c:v>43.202149999999996</c:v>
                </c:pt>
                <c:pt idx="300">
                  <c:v>34.220550000000003</c:v>
                </c:pt>
                <c:pt idx="301">
                  <c:v>31.937000000000001</c:v>
                </c:pt>
                <c:pt idx="302">
                  <c:v>31.653600000000001</c:v>
                </c:pt>
                <c:pt idx="303">
                  <c:v>28.944950000000002</c:v>
                </c:pt>
                <c:pt idx="304">
                  <c:v>26.5197</c:v>
                </c:pt>
                <c:pt idx="305">
                  <c:v>23.527650000000001</c:v>
                </c:pt>
                <c:pt idx="306">
                  <c:v>23.669350000000001</c:v>
                </c:pt>
                <c:pt idx="307">
                  <c:v>21.95805</c:v>
                </c:pt>
                <c:pt idx="308">
                  <c:v>17.963200000000001</c:v>
                </c:pt>
                <c:pt idx="309">
                  <c:v>19.674499999999998</c:v>
                </c:pt>
                <c:pt idx="310">
                  <c:v>21.95805</c:v>
                </c:pt>
                <c:pt idx="311">
                  <c:v>25.091800000000003</c:v>
                </c:pt>
                <c:pt idx="312">
                  <c:v>28.089300000000001</c:v>
                </c:pt>
                <c:pt idx="313">
                  <c:v>28.656100000000002</c:v>
                </c:pt>
                <c:pt idx="314">
                  <c:v>29.228350000000002</c:v>
                </c:pt>
                <c:pt idx="315">
                  <c:v>31.081350000000004</c:v>
                </c:pt>
                <c:pt idx="316">
                  <c:v>27.233650000000001</c:v>
                </c:pt>
                <c:pt idx="317">
                  <c:v>26.661400000000004</c:v>
                </c:pt>
                <c:pt idx="318">
                  <c:v>25.94745</c:v>
                </c:pt>
                <c:pt idx="319">
                  <c:v>20.105050000000002</c:v>
                </c:pt>
                <c:pt idx="320">
                  <c:v>25.94745</c:v>
                </c:pt>
                <c:pt idx="321">
                  <c:v>25.522349999999999</c:v>
                </c:pt>
                <c:pt idx="322">
                  <c:v>26.5197</c:v>
                </c:pt>
                <c:pt idx="323">
                  <c:v>30.5091</c:v>
                </c:pt>
                <c:pt idx="324">
                  <c:v>31.223050000000001</c:v>
                </c:pt>
                <c:pt idx="325">
                  <c:v>32.078700000000005</c:v>
                </c:pt>
                <c:pt idx="326">
                  <c:v>32.078700000000005</c:v>
                </c:pt>
                <c:pt idx="327">
                  <c:v>35.3596</c:v>
                </c:pt>
                <c:pt idx="328">
                  <c:v>35.784700000000001</c:v>
                </c:pt>
                <c:pt idx="329">
                  <c:v>38.068250000000006</c:v>
                </c:pt>
                <c:pt idx="330">
                  <c:v>43.202149999999996</c:v>
                </c:pt>
                <c:pt idx="331">
                  <c:v>45.338550000000005</c:v>
                </c:pt>
                <c:pt idx="332">
                  <c:v>45.910800000000002</c:v>
                </c:pt>
                <c:pt idx="333">
                  <c:v>55.317500000000003</c:v>
                </c:pt>
                <c:pt idx="334">
                  <c:v>50.755850000000002</c:v>
                </c:pt>
                <c:pt idx="335">
                  <c:v>50.614150000000009</c:v>
                </c:pt>
                <c:pt idx="336">
                  <c:v>49.186250000000001</c:v>
                </c:pt>
                <c:pt idx="337">
                  <c:v>50.897550000000003</c:v>
                </c:pt>
                <c:pt idx="338">
                  <c:v>51.469800000000006</c:v>
                </c:pt>
                <c:pt idx="339">
                  <c:v>45.196849999999998</c:v>
                </c:pt>
                <c:pt idx="340">
                  <c:v>51.328099999999999</c:v>
                </c:pt>
                <c:pt idx="341">
                  <c:v>47.905499999999996</c:v>
                </c:pt>
                <c:pt idx="342">
                  <c:v>49.758500000000005</c:v>
                </c:pt>
                <c:pt idx="343">
                  <c:v>58.314999999999998</c:v>
                </c:pt>
                <c:pt idx="344">
                  <c:v>54.609000000000002</c:v>
                </c:pt>
                <c:pt idx="345">
                  <c:v>57.601050000000008</c:v>
                </c:pt>
                <c:pt idx="346">
                  <c:v>66.010400000000004</c:v>
                </c:pt>
                <c:pt idx="347">
                  <c:v>63.874000000000002</c:v>
                </c:pt>
                <c:pt idx="348">
                  <c:v>69.721850000000003</c:v>
                </c:pt>
                <c:pt idx="349">
                  <c:v>68.010549999999995</c:v>
                </c:pt>
                <c:pt idx="350">
                  <c:v>64.15740000000001</c:v>
                </c:pt>
                <c:pt idx="351">
                  <c:v>70.430350000000004</c:v>
                </c:pt>
                <c:pt idx="352">
                  <c:v>70.860900000000001</c:v>
                </c:pt>
                <c:pt idx="353">
                  <c:v>74.425200000000004</c:v>
                </c:pt>
                <c:pt idx="354">
                  <c:v>74.425200000000004</c:v>
                </c:pt>
                <c:pt idx="355">
                  <c:v>78.845150000000004</c:v>
                </c:pt>
                <c:pt idx="356">
                  <c:v>79.417400000000001</c:v>
                </c:pt>
                <c:pt idx="357">
                  <c:v>84.692999999999998</c:v>
                </c:pt>
                <c:pt idx="358">
                  <c:v>80.273049999999998</c:v>
                </c:pt>
                <c:pt idx="359">
                  <c:v>92.24669999999999</c:v>
                </c:pt>
                <c:pt idx="360">
                  <c:v>92.960650000000001</c:v>
                </c:pt>
                <c:pt idx="361">
                  <c:v>96.950050000000005</c:v>
                </c:pt>
                <c:pt idx="362">
                  <c:v>94.099699999999999</c:v>
                </c:pt>
                <c:pt idx="363">
                  <c:v>99.51700000000001</c:v>
                </c:pt>
                <c:pt idx="364">
                  <c:v>102.5145</c:v>
                </c:pt>
                <c:pt idx="365">
                  <c:v>119.33865</c:v>
                </c:pt>
                <c:pt idx="366">
                  <c:v>121.75845000000001</c:v>
                </c:pt>
                <c:pt idx="367">
                  <c:v>142.14690000000002</c:v>
                </c:pt>
                <c:pt idx="368">
                  <c:v>171.66410000000002</c:v>
                </c:pt>
                <c:pt idx="369">
                  <c:v>190.76635000000002</c:v>
                </c:pt>
                <c:pt idx="370">
                  <c:v>198.18379999999999</c:v>
                </c:pt>
                <c:pt idx="371">
                  <c:v>222.9922</c:v>
                </c:pt>
                <c:pt idx="372">
                  <c:v>254.07355000000001</c:v>
                </c:pt>
                <c:pt idx="373">
                  <c:v>296.84514999999999</c:v>
                </c:pt>
                <c:pt idx="374">
                  <c:v>317.517</c:v>
                </c:pt>
                <c:pt idx="375">
                  <c:v>344.60894999999999</c:v>
                </c:pt>
                <c:pt idx="376">
                  <c:v>372.12600000000003</c:v>
                </c:pt>
                <c:pt idx="377">
                  <c:v>365.42250000000001</c:v>
                </c:pt>
                <c:pt idx="378">
                  <c:v>389.37524999999999</c:v>
                </c:pt>
                <c:pt idx="379">
                  <c:v>438.27810000000005</c:v>
                </c:pt>
                <c:pt idx="380">
                  <c:v>422.88185000000004</c:v>
                </c:pt>
                <c:pt idx="381">
                  <c:v>497.73214999999999</c:v>
                </c:pt>
                <c:pt idx="382">
                  <c:v>540.07865000000004</c:v>
                </c:pt>
                <c:pt idx="383">
                  <c:v>587.12850000000003</c:v>
                </c:pt>
                <c:pt idx="384">
                  <c:v>595.68500000000006</c:v>
                </c:pt>
                <c:pt idx="385">
                  <c:v>653.56945000000007</c:v>
                </c:pt>
                <c:pt idx="386">
                  <c:v>713.45404999999994</c:v>
                </c:pt>
                <c:pt idx="387">
                  <c:v>796.00520000000006</c:v>
                </c:pt>
                <c:pt idx="388">
                  <c:v>785.59569999999997</c:v>
                </c:pt>
                <c:pt idx="389">
                  <c:v>817.39099999999996</c:v>
                </c:pt>
                <c:pt idx="390">
                  <c:v>809.83730000000003</c:v>
                </c:pt>
                <c:pt idx="391">
                  <c:v>810.83465000000001</c:v>
                </c:pt>
                <c:pt idx="392">
                  <c:v>829.65350000000001</c:v>
                </c:pt>
                <c:pt idx="393">
                  <c:v>871.14</c:v>
                </c:pt>
                <c:pt idx="394">
                  <c:v>939.43</c:v>
                </c:pt>
                <c:pt idx="395">
                  <c:v>994.71</c:v>
                </c:pt>
                <c:pt idx="396">
                  <c:v>846.29</c:v>
                </c:pt>
                <c:pt idx="397">
                  <c:v>1072.1400000000001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0F-4B96-857F-40F36829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029592"/>
        <c:axId val="319029984"/>
      </c:lineChart>
      <c:catAx>
        <c:axId val="319029592"/>
        <c:scaling>
          <c:orientation val="minMax"/>
        </c:scaling>
        <c:delete val="0"/>
        <c:axPos val="b"/>
        <c:numFmt formatCode="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9029984"/>
        <c:crosses val="autoZero"/>
        <c:auto val="0"/>
        <c:lblAlgn val="ctr"/>
        <c:lblOffset val="100"/>
        <c:noMultiLvlLbl val="0"/>
      </c:catAx>
      <c:valAx>
        <c:axId val="31902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902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743555239812165"/>
          <c:y val="8.2081527879383415E-2"/>
          <c:w val="0.38662232438336519"/>
          <c:h val="0.200323403630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6.3882327209098852E-2"/>
          <c:w val="0.93616132135261021"/>
          <c:h val="0.79464004499437568"/>
        </c:manualLayout>
      </c:layout>
      <c:lineChart>
        <c:grouping val="standard"/>
        <c:varyColors val="0"/>
        <c:ser>
          <c:idx val="0"/>
          <c:order val="0"/>
          <c:tx>
            <c:strRef>
              <c:f>'Graf 9+10'!$L$13</c:f>
              <c:strCache>
                <c:ptCount val="1"/>
                <c:pt idx="0">
                  <c:v>Spotreba domácností</c:v>
                </c:pt>
              </c:strCache>
            </c:strRef>
          </c:tx>
          <c:spPr>
            <a:ln>
              <a:solidFill>
                <a:srgbClr val="2C9ADC"/>
              </a:solidFill>
            </a:ln>
          </c:spPr>
          <c:marker>
            <c:spPr>
              <a:solidFill>
                <a:srgbClr val="2C9ADC"/>
              </a:solidFill>
              <a:ln>
                <a:solidFill>
                  <a:srgbClr val="2C9ADC"/>
                </a:solidFill>
              </a:ln>
            </c:spPr>
          </c:marker>
          <c:cat>
            <c:strRef>
              <c:f>'Graf 9+10'!$N$12:$Z$12</c:f>
              <c:strCache>
                <c:ptCount val="13"/>
                <c:pt idx="0">
                  <c:v>4Q19</c:v>
                </c:pt>
                <c:pt idx="1">
                  <c:v>1Q20</c:v>
                </c:pt>
                <c:pt idx="2">
                  <c:v>2Q20</c:v>
                </c:pt>
                <c:pt idx="3">
                  <c:v>3Q20</c:v>
                </c:pt>
                <c:pt idx="4">
                  <c:v>4Q20</c:v>
                </c:pt>
                <c:pt idx="5">
                  <c:v>1Q21</c:v>
                </c:pt>
                <c:pt idx="6">
                  <c:v>2Q21</c:v>
                </c:pt>
                <c:pt idx="7">
                  <c:v>3Q21</c:v>
                </c:pt>
                <c:pt idx="8">
                  <c:v>4Q21</c:v>
                </c:pt>
                <c:pt idx="9">
                  <c:v>1Q22</c:v>
                </c:pt>
                <c:pt idx="10">
                  <c:v>2Q22</c:v>
                </c:pt>
                <c:pt idx="11">
                  <c:v>3Q22</c:v>
                </c:pt>
                <c:pt idx="12">
                  <c:v>4Q22</c:v>
                </c:pt>
              </c:strCache>
            </c:strRef>
          </c:cat>
          <c:val>
            <c:numRef>
              <c:f>'Graf 9+10'!$N$13:$Z$13</c:f>
              <c:numCache>
                <c:formatCode>0.0</c:formatCode>
                <c:ptCount val="13"/>
                <c:pt idx="0">
                  <c:v>100</c:v>
                </c:pt>
                <c:pt idx="1">
                  <c:v>99.761705535593705</c:v>
                </c:pt>
                <c:pt idx="2">
                  <c:v>95.296430455812114</c:v>
                </c:pt>
                <c:pt idx="3">
                  <c:v>100.10301507508817</c:v>
                </c:pt>
                <c:pt idx="4">
                  <c:v>97.005202233976547</c:v>
                </c:pt>
                <c:pt idx="5">
                  <c:v>94.89255132509733</c:v>
                </c:pt>
                <c:pt idx="6">
                  <c:v>99.818893092761869</c:v>
                </c:pt>
                <c:pt idx="7">
                  <c:v>100.37266725151188</c:v>
                </c:pt>
                <c:pt idx="8">
                  <c:v>98.447734328983458</c:v>
                </c:pt>
                <c:pt idx="9">
                  <c:v>99.61021776297936</c:v>
                </c:pt>
                <c:pt idx="10">
                  <c:v>100.23899487090867</c:v>
                </c:pt>
                <c:pt idx="11">
                  <c:v>101.16643521413519</c:v>
                </c:pt>
                <c:pt idx="12">
                  <c:v>102.13788948225802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A95-8623-B13B3FB30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30768"/>
        <c:axId val="319031160"/>
      </c:lineChart>
      <c:catAx>
        <c:axId val="31903076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ln w="9525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319031160"/>
        <c:crosses val="autoZero"/>
        <c:auto val="1"/>
        <c:lblAlgn val="ctr"/>
        <c:lblOffset val="100"/>
        <c:noMultiLvlLbl val="0"/>
      </c:catAx>
      <c:valAx>
        <c:axId val="31903116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ysClr val="windowText" lastClr="000000">
                <a:lumMod val="50000"/>
                <a:lumOff val="50000"/>
              </a:sysClr>
            </a:solidFill>
          </a:ln>
        </c:spPr>
        <c:crossAx val="319030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8294273281182"/>
          <c:y val="6.0472787245739415E-2"/>
          <c:w val="0.77203665701626456"/>
          <c:h val="0.76686809833212854"/>
        </c:manualLayout>
      </c:layout>
      <c:lineChart>
        <c:grouping val="standard"/>
        <c:varyColors val="0"/>
        <c:ser>
          <c:idx val="0"/>
          <c:order val="0"/>
          <c:tx>
            <c:strRef>
              <c:f>'Graf 9+10'!$M$8</c:f>
              <c:strCache>
                <c:ptCount val="1"/>
                <c:pt idx="0">
                  <c:v>MFSR Forecast</c:v>
                </c:pt>
              </c:strCache>
            </c:strRef>
          </c:tx>
          <c:spPr>
            <a:ln w="19050" cap="rnd">
              <a:solidFill>
                <a:srgbClr val="2C9ADC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'Graf 9+10'!$N$7:$ZE$7</c:f>
              <c:numCache>
                <c:formatCode>m/d/yyyy</c:formatCode>
                <c:ptCount val="668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  <c:pt idx="30">
                  <c:v>44105</c:v>
                </c:pt>
                <c:pt idx="31">
                  <c:v>44106</c:v>
                </c:pt>
                <c:pt idx="32">
                  <c:v>44107</c:v>
                </c:pt>
                <c:pt idx="33">
                  <c:v>44108</c:v>
                </c:pt>
                <c:pt idx="34">
                  <c:v>44109</c:v>
                </c:pt>
                <c:pt idx="35">
                  <c:v>44110</c:v>
                </c:pt>
                <c:pt idx="36">
                  <c:v>44111</c:v>
                </c:pt>
                <c:pt idx="37">
                  <c:v>44112</c:v>
                </c:pt>
                <c:pt idx="38">
                  <c:v>44113</c:v>
                </c:pt>
                <c:pt idx="39">
                  <c:v>44114</c:v>
                </c:pt>
                <c:pt idx="40">
                  <c:v>44115</c:v>
                </c:pt>
                <c:pt idx="41">
                  <c:v>44116</c:v>
                </c:pt>
                <c:pt idx="42">
                  <c:v>44117</c:v>
                </c:pt>
                <c:pt idx="43">
                  <c:v>44118</c:v>
                </c:pt>
                <c:pt idx="44">
                  <c:v>44119</c:v>
                </c:pt>
                <c:pt idx="45">
                  <c:v>44120</c:v>
                </c:pt>
                <c:pt idx="46">
                  <c:v>44121</c:v>
                </c:pt>
                <c:pt idx="47">
                  <c:v>44122</c:v>
                </c:pt>
                <c:pt idx="48">
                  <c:v>44123</c:v>
                </c:pt>
                <c:pt idx="49">
                  <c:v>44124</c:v>
                </c:pt>
                <c:pt idx="50">
                  <c:v>44125</c:v>
                </c:pt>
                <c:pt idx="51">
                  <c:v>44126</c:v>
                </c:pt>
                <c:pt idx="52">
                  <c:v>44127</c:v>
                </c:pt>
                <c:pt idx="53">
                  <c:v>44128</c:v>
                </c:pt>
                <c:pt idx="54">
                  <c:v>44129</c:v>
                </c:pt>
                <c:pt idx="55">
                  <c:v>44130</c:v>
                </c:pt>
                <c:pt idx="56">
                  <c:v>44131</c:v>
                </c:pt>
                <c:pt idx="57">
                  <c:v>44132</c:v>
                </c:pt>
                <c:pt idx="58">
                  <c:v>44133</c:v>
                </c:pt>
                <c:pt idx="59">
                  <c:v>44134</c:v>
                </c:pt>
                <c:pt idx="60">
                  <c:v>44135</c:v>
                </c:pt>
                <c:pt idx="61">
                  <c:v>44136</c:v>
                </c:pt>
                <c:pt idx="62">
                  <c:v>44137</c:v>
                </c:pt>
                <c:pt idx="63">
                  <c:v>44138</c:v>
                </c:pt>
                <c:pt idx="64">
                  <c:v>44139</c:v>
                </c:pt>
                <c:pt idx="65">
                  <c:v>44140</c:v>
                </c:pt>
                <c:pt idx="66">
                  <c:v>44141</c:v>
                </c:pt>
                <c:pt idx="67">
                  <c:v>44142</c:v>
                </c:pt>
                <c:pt idx="68">
                  <c:v>44143</c:v>
                </c:pt>
                <c:pt idx="69">
                  <c:v>44144</c:v>
                </c:pt>
                <c:pt idx="70">
                  <c:v>44145</c:v>
                </c:pt>
                <c:pt idx="71">
                  <c:v>44146</c:v>
                </c:pt>
                <c:pt idx="72">
                  <c:v>44147</c:v>
                </c:pt>
                <c:pt idx="73">
                  <c:v>44148</c:v>
                </c:pt>
                <c:pt idx="74">
                  <c:v>44149</c:v>
                </c:pt>
                <c:pt idx="75">
                  <c:v>44150</c:v>
                </c:pt>
                <c:pt idx="76">
                  <c:v>44151</c:v>
                </c:pt>
                <c:pt idx="77">
                  <c:v>44152</c:v>
                </c:pt>
                <c:pt idx="78">
                  <c:v>44153</c:v>
                </c:pt>
                <c:pt idx="79">
                  <c:v>44154</c:v>
                </c:pt>
                <c:pt idx="80">
                  <c:v>44155</c:v>
                </c:pt>
                <c:pt idx="81">
                  <c:v>44156</c:v>
                </c:pt>
                <c:pt idx="82">
                  <c:v>44157</c:v>
                </c:pt>
                <c:pt idx="83">
                  <c:v>44158</c:v>
                </c:pt>
                <c:pt idx="84">
                  <c:v>44159</c:v>
                </c:pt>
                <c:pt idx="85">
                  <c:v>44160</c:v>
                </c:pt>
                <c:pt idx="86">
                  <c:v>44161</c:v>
                </c:pt>
                <c:pt idx="87">
                  <c:v>44162</c:v>
                </c:pt>
                <c:pt idx="88">
                  <c:v>44163</c:v>
                </c:pt>
                <c:pt idx="89">
                  <c:v>44164</c:v>
                </c:pt>
                <c:pt idx="90">
                  <c:v>44165</c:v>
                </c:pt>
                <c:pt idx="91">
                  <c:v>44166</c:v>
                </c:pt>
                <c:pt idx="92">
                  <c:v>44167</c:v>
                </c:pt>
                <c:pt idx="93">
                  <c:v>44168</c:v>
                </c:pt>
                <c:pt idx="94">
                  <c:v>44169</c:v>
                </c:pt>
                <c:pt idx="95">
                  <c:v>44170</c:v>
                </c:pt>
                <c:pt idx="96">
                  <c:v>44171</c:v>
                </c:pt>
                <c:pt idx="97">
                  <c:v>44172</c:v>
                </c:pt>
                <c:pt idx="98">
                  <c:v>44173</c:v>
                </c:pt>
                <c:pt idx="99">
                  <c:v>44174</c:v>
                </c:pt>
                <c:pt idx="100">
                  <c:v>44175</c:v>
                </c:pt>
                <c:pt idx="101">
                  <c:v>44176</c:v>
                </c:pt>
                <c:pt idx="102">
                  <c:v>44177</c:v>
                </c:pt>
                <c:pt idx="103">
                  <c:v>44178</c:v>
                </c:pt>
                <c:pt idx="104">
                  <c:v>44179</c:v>
                </c:pt>
                <c:pt idx="105">
                  <c:v>44180</c:v>
                </c:pt>
                <c:pt idx="106">
                  <c:v>44181</c:v>
                </c:pt>
                <c:pt idx="107">
                  <c:v>44182</c:v>
                </c:pt>
                <c:pt idx="108">
                  <c:v>44183</c:v>
                </c:pt>
                <c:pt idx="109">
                  <c:v>44184</c:v>
                </c:pt>
                <c:pt idx="110">
                  <c:v>44185</c:v>
                </c:pt>
                <c:pt idx="111">
                  <c:v>44186</c:v>
                </c:pt>
                <c:pt idx="112">
                  <c:v>44187</c:v>
                </c:pt>
                <c:pt idx="113">
                  <c:v>44188</c:v>
                </c:pt>
                <c:pt idx="114">
                  <c:v>44189</c:v>
                </c:pt>
                <c:pt idx="115">
                  <c:v>44190</c:v>
                </c:pt>
                <c:pt idx="116">
                  <c:v>44191</c:v>
                </c:pt>
                <c:pt idx="117">
                  <c:v>44192</c:v>
                </c:pt>
                <c:pt idx="118">
                  <c:v>44193</c:v>
                </c:pt>
                <c:pt idx="119">
                  <c:v>44194</c:v>
                </c:pt>
                <c:pt idx="120">
                  <c:v>44195</c:v>
                </c:pt>
                <c:pt idx="121">
                  <c:v>44196</c:v>
                </c:pt>
                <c:pt idx="122">
                  <c:v>44197</c:v>
                </c:pt>
                <c:pt idx="123">
                  <c:v>44198</c:v>
                </c:pt>
                <c:pt idx="124">
                  <c:v>44199</c:v>
                </c:pt>
                <c:pt idx="125">
                  <c:v>44200</c:v>
                </c:pt>
                <c:pt idx="126">
                  <c:v>44201</c:v>
                </c:pt>
                <c:pt idx="127">
                  <c:v>44202</c:v>
                </c:pt>
                <c:pt idx="128">
                  <c:v>44203</c:v>
                </c:pt>
                <c:pt idx="129">
                  <c:v>44204</c:v>
                </c:pt>
                <c:pt idx="130">
                  <c:v>44205</c:v>
                </c:pt>
                <c:pt idx="131">
                  <c:v>44206</c:v>
                </c:pt>
                <c:pt idx="132">
                  <c:v>44207</c:v>
                </c:pt>
                <c:pt idx="133">
                  <c:v>44208</c:v>
                </c:pt>
                <c:pt idx="134">
                  <c:v>44209</c:v>
                </c:pt>
                <c:pt idx="135">
                  <c:v>44210</c:v>
                </c:pt>
                <c:pt idx="136">
                  <c:v>44211</c:v>
                </c:pt>
                <c:pt idx="137">
                  <c:v>44212</c:v>
                </c:pt>
                <c:pt idx="138">
                  <c:v>44213</c:v>
                </c:pt>
                <c:pt idx="139">
                  <c:v>44214</c:v>
                </c:pt>
                <c:pt idx="140">
                  <c:v>44215</c:v>
                </c:pt>
                <c:pt idx="141">
                  <c:v>44216</c:v>
                </c:pt>
                <c:pt idx="142">
                  <c:v>44217</c:v>
                </c:pt>
                <c:pt idx="143">
                  <c:v>44218</c:v>
                </c:pt>
                <c:pt idx="144">
                  <c:v>44219</c:v>
                </c:pt>
                <c:pt idx="145">
                  <c:v>44220</c:v>
                </c:pt>
                <c:pt idx="146">
                  <c:v>44221</c:v>
                </c:pt>
                <c:pt idx="147">
                  <c:v>44222</c:v>
                </c:pt>
                <c:pt idx="148">
                  <c:v>44223</c:v>
                </c:pt>
                <c:pt idx="149">
                  <c:v>44224</c:v>
                </c:pt>
                <c:pt idx="150">
                  <c:v>44225</c:v>
                </c:pt>
                <c:pt idx="151">
                  <c:v>44226</c:v>
                </c:pt>
                <c:pt idx="152">
                  <c:v>44227</c:v>
                </c:pt>
                <c:pt idx="153">
                  <c:v>44228</c:v>
                </c:pt>
                <c:pt idx="154">
                  <c:v>44229</c:v>
                </c:pt>
                <c:pt idx="155">
                  <c:v>44230</c:v>
                </c:pt>
                <c:pt idx="156">
                  <c:v>44231</c:v>
                </c:pt>
                <c:pt idx="157">
                  <c:v>44232</c:v>
                </c:pt>
                <c:pt idx="158">
                  <c:v>44233</c:v>
                </c:pt>
                <c:pt idx="159">
                  <c:v>44234</c:v>
                </c:pt>
                <c:pt idx="160">
                  <c:v>44235</c:v>
                </c:pt>
                <c:pt idx="161">
                  <c:v>44236</c:v>
                </c:pt>
                <c:pt idx="162">
                  <c:v>44237</c:v>
                </c:pt>
                <c:pt idx="163">
                  <c:v>44238</c:v>
                </c:pt>
                <c:pt idx="164">
                  <c:v>44239</c:v>
                </c:pt>
                <c:pt idx="165">
                  <c:v>44240</c:v>
                </c:pt>
                <c:pt idx="166">
                  <c:v>44241</c:v>
                </c:pt>
                <c:pt idx="167">
                  <c:v>44242</c:v>
                </c:pt>
                <c:pt idx="168">
                  <c:v>44243</c:v>
                </c:pt>
                <c:pt idx="169">
                  <c:v>44244</c:v>
                </c:pt>
                <c:pt idx="170">
                  <c:v>44245</c:v>
                </c:pt>
                <c:pt idx="171">
                  <c:v>44246</c:v>
                </c:pt>
                <c:pt idx="172">
                  <c:v>44247</c:v>
                </c:pt>
                <c:pt idx="173">
                  <c:v>44248</c:v>
                </c:pt>
                <c:pt idx="174">
                  <c:v>44249</c:v>
                </c:pt>
                <c:pt idx="175">
                  <c:v>44250</c:v>
                </c:pt>
                <c:pt idx="176">
                  <c:v>44251</c:v>
                </c:pt>
                <c:pt idx="177">
                  <c:v>44252</c:v>
                </c:pt>
                <c:pt idx="178">
                  <c:v>44253</c:v>
                </c:pt>
                <c:pt idx="179">
                  <c:v>44254</c:v>
                </c:pt>
                <c:pt idx="180">
                  <c:v>44255</c:v>
                </c:pt>
                <c:pt idx="181">
                  <c:v>44256</c:v>
                </c:pt>
                <c:pt idx="182">
                  <c:v>44257</c:v>
                </c:pt>
                <c:pt idx="183">
                  <c:v>44258</c:v>
                </c:pt>
                <c:pt idx="184">
                  <c:v>44259</c:v>
                </c:pt>
                <c:pt idx="185">
                  <c:v>44260</c:v>
                </c:pt>
                <c:pt idx="186">
                  <c:v>44261</c:v>
                </c:pt>
                <c:pt idx="187">
                  <c:v>44262</c:v>
                </c:pt>
                <c:pt idx="188">
                  <c:v>44263</c:v>
                </c:pt>
                <c:pt idx="189">
                  <c:v>44264</c:v>
                </c:pt>
                <c:pt idx="190">
                  <c:v>44265</c:v>
                </c:pt>
                <c:pt idx="191">
                  <c:v>44266</c:v>
                </c:pt>
                <c:pt idx="192">
                  <c:v>44267</c:v>
                </c:pt>
                <c:pt idx="193">
                  <c:v>44268</c:v>
                </c:pt>
                <c:pt idx="194">
                  <c:v>44269</c:v>
                </c:pt>
                <c:pt idx="195">
                  <c:v>44270</c:v>
                </c:pt>
                <c:pt idx="196">
                  <c:v>44271</c:v>
                </c:pt>
                <c:pt idx="197">
                  <c:v>44272</c:v>
                </c:pt>
                <c:pt idx="198">
                  <c:v>44273</c:v>
                </c:pt>
                <c:pt idx="199">
                  <c:v>44274</c:v>
                </c:pt>
                <c:pt idx="200">
                  <c:v>44275</c:v>
                </c:pt>
                <c:pt idx="201">
                  <c:v>44276</c:v>
                </c:pt>
                <c:pt idx="202">
                  <c:v>44277</c:v>
                </c:pt>
                <c:pt idx="203">
                  <c:v>44278</c:v>
                </c:pt>
                <c:pt idx="204">
                  <c:v>44279</c:v>
                </c:pt>
                <c:pt idx="205">
                  <c:v>44280</c:v>
                </c:pt>
                <c:pt idx="206">
                  <c:v>44281</c:v>
                </c:pt>
                <c:pt idx="207">
                  <c:v>44282</c:v>
                </c:pt>
                <c:pt idx="208">
                  <c:v>44283</c:v>
                </c:pt>
                <c:pt idx="209">
                  <c:v>44284</c:v>
                </c:pt>
                <c:pt idx="210">
                  <c:v>44285</c:v>
                </c:pt>
                <c:pt idx="211">
                  <c:v>44286</c:v>
                </c:pt>
                <c:pt idx="212">
                  <c:v>44287</c:v>
                </c:pt>
                <c:pt idx="213">
                  <c:v>44288</c:v>
                </c:pt>
                <c:pt idx="214">
                  <c:v>44289</c:v>
                </c:pt>
                <c:pt idx="215">
                  <c:v>44290</c:v>
                </c:pt>
                <c:pt idx="216">
                  <c:v>44291</c:v>
                </c:pt>
                <c:pt idx="217">
                  <c:v>44292</c:v>
                </c:pt>
                <c:pt idx="218">
                  <c:v>44293</c:v>
                </c:pt>
                <c:pt idx="219">
                  <c:v>44294</c:v>
                </c:pt>
                <c:pt idx="220">
                  <c:v>44295</c:v>
                </c:pt>
                <c:pt idx="221">
                  <c:v>44296</c:v>
                </c:pt>
                <c:pt idx="222">
                  <c:v>44297</c:v>
                </c:pt>
                <c:pt idx="223">
                  <c:v>44298</c:v>
                </c:pt>
                <c:pt idx="224">
                  <c:v>44299</c:v>
                </c:pt>
                <c:pt idx="225">
                  <c:v>44300</c:v>
                </c:pt>
                <c:pt idx="226">
                  <c:v>44301</c:v>
                </c:pt>
                <c:pt idx="227">
                  <c:v>44302</c:v>
                </c:pt>
                <c:pt idx="228">
                  <c:v>44303</c:v>
                </c:pt>
                <c:pt idx="229">
                  <c:v>44304</c:v>
                </c:pt>
                <c:pt idx="230">
                  <c:v>44305</c:v>
                </c:pt>
                <c:pt idx="231">
                  <c:v>44306</c:v>
                </c:pt>
                <c:pt idx="232">
                  <c:v>44307</c:v>
                </c:pt>
                <c:pt idx="233">
                  <c:v>44308</c:v>
                </c:pt>
                <c:pt idx="234">
                  <c:v>44309</c:v>
                </c:pt>
                <c:pt idx="235">
                  <c:v>44310</c:v>
                </c:pt>
                <c:pt idx="236">
                  <c:v>44311</c:v>
                </c:pt>
                <c:pt idx="237">
                  <c:v>44312</c:v>
                </c:pt>
                <c:pt idx="238">
                  <c:v>44313</c:v>
                </c:pt>
                <c:pt idx="239">
                  <c:v>44314</c:v>
                </c:pt>
                <c:pt idx="240">
                  <c:v>44315</c:v>
                </c:pt>
                <c:pt idx="241">
                  <c:v>44316</c:v>
                </c:pt>
                <c:pt idx="242">
                  <c:v>44317</c:v>
                </c:pt>
                <c:pt idx="243">
                  <c:v>44318</c:v>
                </c:pt>
                <c:pt idx="244">
                  <c:v>44319</c:v>
                </c:pt>
                <c:pt idx="245">
                  <c:v>44320</c:v>
                </c:pt>
                <c:pt idx="246">
                  <c:v>44321</c:v>
                </c:pt>
                <c:pt idx="247">
                  <c:v>44322</c:v>
                </c:pt>
                <c:pt idx="248">
                  <c:v>44323</c:v>
                </c:pt>
                <c:pt idx="249">
                  <c:v>44324</c:v>
                </c:pt>
                <c:pt idx="250">
                  <c:v>44325</c:v>
                </c:pt>
                <c:pt idx="251">
                  <c:v>44326</c:v>
                </c:pt>
                <c:pt idx="252">
                  <c:v>44327</c:v>
                </c:pt>
                <c:pt idx="253">
                  <c:v>44328</c:v>
                </c:pt>
                <c:pt idx="254">
                  <c:v>44329</c:v>
                </c:pt>
                <c:pt idx="255">
                  <c:v>44330</c:v>
                </c:pt>
                <c:pt idx="256">
                  <c:v>44331</c:v>
                </c:pt>
                <c:pt idx="257">
                  <c:v>44332</c:v>
                </c:pt>
                <c:pt idx="258">
                  <c:v>44333</c:v>
                </c:pt>
                <c:pt idx="259">
                  <c:v>44334</c:v>
                </c:pt>
                <c:pt idx="260">
                  <c:v>44335</c:v>
                </c:pt>
                <c:pt idx="261">
                  <c:v>44336</c:v>
                </c:pt>
                <c:pt idx="262">
                  <c:v>44337</c:v>
                </c:pt>
                <c:pt idx="263">
                  <c:v>44338</c:v>
                </c:pt>
                <c:pt idx="264">
                  <c:v>44339</c:v>
                </c:pt>
                <c:pt idx="265">
                  <c:v>44340</c:v>
                </c:pt>
                <c:pt idx="266">
                  <c:v>44341</c:v>
                </c:pt>
                <c:pt idx="267">
                  <c:v>44342</c:v>
                </c:pt>
                <c:pt idx="268">
                  <c:v>44343</c:v>
                </c:pt>
                <c:pt idx="269">
                  <c:v>44344</c:v>
                </c:pt>
                <c:pt idx="270">
                  <c:v>44345</c:v>
                </c:pt>
                <c:pt idx="271">
                  <c:v>44346</c:v>
                </c:pt>
                <c:pt idx="272">
                  <c:v>44347</c:v>
                </c:pt>
                <c:pt idx="273">
                  <c:v>44348</c:v>
                </c:pt>
                <c:pt idx="274">
                  <c:v>44349</c:v>
                </c:pt>
                <c:pt idx="275">
                  <c:v>44350</c:v>
                </c:pt>
                <c:pt idx="276">
                  <c:v>44351</c:v>
                </c:pt>
                <c:pt idx="277">
                  <c:v>44352</c:v>
                </c:pt>
                <c:pt idx="278">
                  <c:v>44353</c:v>
                </c:pt>
                <c:pt idx="279">
                  <c:v>44354</c:v>
                </c:pt>
                <c:pt idx="280">
                  <c:v>44355</c:v>
                </c:pt>
                <c:pt idx="281">
                  <c:v>44356</c:v>
                </c:pt>
                <c:pt idx="282">
                  <c:v>44357</c:v>
                </c:pt>
                <c:pt idx="283">
                  <c:v>44358</c:v>
                </c:pt>
                <c:pt idx="284">
                  <c:v>44359</c:v>
                </c:pt>
                <c:pt idx="285">
                  <c:v>44360</c:v>
                </c:pt>
                <c:pt idx="286">
                  <c:v>44361</c:v>
                </c:pt>
                <c:pt idx="287">
                  <c:v>44362</c:v>
                </c:pt>
                <c:pt idx="288">
                  <c:v>44363</c:v>
                </c:pt>
                <c:pt idx="289">
                  <c:v>44364</c:v>
                </c:pt>
                <c:pt idx="290">
                  <c:v>44365</c:v>
                </c:pt>
                <c:pt idx="291">
                  <c:v>44366</c:v>
                </c:pt>
                <c:pt idx="292">
                  <c:v>44367</c:v>
                </c:pt>
                <c:pt idx="293">
                  <c:v>44368</c:v>
                </c:pt>
                <c:pt idx="294">
                  <c:v>44369</c:v>
                </c:pt>
                <c:pt idx="295">
                  <c:v>44370</c:v>
                </c:pt>
                <c:pt idx="296">
                  <c:v>44371</c:v>
                </c:pt>
                <c:pt idx="297">
                  <c:v>44372</c:v>
                </c:pt>
                <c:pt idx="298">
                  <c:v>44373</c:v>
                </c:pt>
                <c:pt idx="299">
                  <c:v>44374</c:v>
                </c:pt>
                <c:pt idx="300">
                  <c:v>44375</c:v>
                </c:pt>
                <c:pt idx="301">
                  <c:v>44376</c:v>
                </c:pt>
                <c:pt idx="302">
                  <c:v>44377</c:v>
                </c:pt>
                <c:pt idx="303">
                  <c:v>44378</c:v>
                </c:pt>
                <c:pt idx="304">
                  <c:v>44379</c:v>
                </c:pt>
                <c:pt idx="305">
                  <c:v>44380</c:v>
                </c:pt>
                <c:pt idx="306">
                  <c:v>44381</c:v>
                </c:pt>
                <c:pt idx="307">
                  <c:v>44382</c:v>
                </c:pt>
                <c:pt idx="308">
                  <c:v>44383</c:v>
                </c:pt>
                <c:pt idx="309">
                  <c:v>44384</c:v>
                </c:pt>
                <c:pt idx="310">
                  <c:v>44385</c:v>
                </c:pt>
                <c:pt idx="311">
                  <c:v>44386</c:v>
                </c:pt>
                <c:pt idx="312">
                  <c:v>44387</c:v>
                </c:pt>
                <c:pt idx="313">
                  <c:v>44388</c:v>
                </c:pt>
                <c:pt idx="314">
                  <c:v>44389</c:v>
                </c:pt>
                <c:pt idx="315">
                  <c:v>44390</c:v>
                </c:pt>
                <c:pt idx="316">
                  <c:v>44391</c:v>
                </c:pt>
                <c:pt idx="317">
                  <c:v>44392</c:v>
                </c:pt>
                <c:pt idx="318">
                  <c:v>44393</c:v>
                </c:pt>
                <c:pt idx="319">
                  <c:v>44394</c:v>
                </c:pt>
                <c:pt idx="320">
                  <c:v>44395</c:v>
                </c:pt>
                <c:pt idx="321">
                  <c:v>44396</c:v>
                </c:pt>
                <c:pt idx="322">
                  <c:v>44397</c:v>
                </c:pt>
                <c:pt idx="323">
                  <c:v>44398</c:v>
                </c:pt>
                <c:pt idx="324">
                  <c:v>44399</c:v>
                </c:pt>
                <c:pt idx="325">
                  <c:v>44400</c:v>
                </c:pt>
                <c:pt idx="326">
                  <c:v>44401</c:v>
                </c:pt>
                <c:pt idx="327">
                  <c:v>44402</c:v>
                </c:pt>
                <c:pt idx="328">
                  <c:v>44403</c:v>
                </c:pt>
                <c:pt idx="329">
                  <c:v>44404</c:v>
                </c:pt>
                <c:pt idx="330">
                  <c:v>44405</c:v>
                </c:pt>
                <c:pt idx="331">
                  <c:v>44406</c:v>
                </c:pt>
                <c:pt idx="332">
                  <c:v>44407</c:v>
                </c:pt>
                <c:pt idx="333">
                  <c:v>44408</c:v>
                </c:pt>
                <c:pt idx="334">
                  <c:v>44409</c:v>
                </c:pt>
                <c:pt idx="335">
                  <c:v>44410</c:v>
                </c:pt>
                <c:pt idx="336">
                  <c:v>44411</c:v>
                </c:pt>
                <c:pt idx="337">
                  <c:v>44412</c:v>
                </c:pt>
                <c:pt idx="338">
                  <c:v>44413</c:v>
                </c:pt>
                <c:pt idx="339">
                  <c:v>44414</c:v>
                </c:pt>
                <c:pt idx="340">
                  <c:v>44415</c:v>
                </c:pt>
                <c:pt idx="341">
                  <c:v>44416</c:v>
                </c:pt>
                <c:pt idx="342">
                  <c:v>44417</c:v>
                </c:pt>
                <c:pt idx="343">
                  <c:v>44418</c:v>
                </c:pt>
                <c:pt idx="344">
                  <c:v>44419</c:v>
                </c:pt>
                <c:pt idx="345">
                  <c:v>44420</c:v>
                </c:pt>
                <c:pt idx="346">
                  <c:v>44421</c:v>
                </c:pt>
                <c:pt idx="347">
                  <c:v>44422</c:v>
                </c:pt>
                <c:pt idx="348">
                  <c:v>44423</c:v>
                </c:pt>
                <c:pt idx="349">
                  <c:v>44424</c:v>
                </c:pt>
                <c:pt idx="350">
                  <c:v>44425</c:v>
                </c:pt>
                <c:pt idx="351">
                  <c:v>44426</c:v>
                </c:pt>
                <c:pt idx="352">
                  <c:v>44427</c:v>
                </c:pt>
                <c:pt idx="353">
                  <c:v>44428</c:v>
                </c:pt>
                <c:pt idx="354">
                  <c:v>44429</c:v>
                </c:pt>
                <c:pt idx="355">
                  <c:v>44430</c:v>
                </c:pt>
                <c:pt idx="356">
                  <c:v>44431</c:v>
                </c:pt>
                <c:pt idx="357">
                  <c:v>44432</c:v>
                </c:pt>
                <c:pt idx="358">
                  <c:v>44433</c:v>
                </c:pt>
                <c:pt idx="359">
                  <c:v>44434</c:v>
                </c:pt>
                <c:pt idx="360">
                  <c:v>44435</c:v>
                </c:pt>
                <c:pt idx="361">
                  <c:v>44436</c:v>
                </c:pt>
                <c:pt idx="362">
                  <c:v>44437</c:v>
                </c:pt>
                <c:pt idx="363">
                  <c:v>44438</c:v>
                </c:pt>
                <c:pt idx="364">
                  <c:v>44439</c:v>
                </c:pt>
                <c:pt idx="365">
                  <c:v>44440</c:v>
                </c:pt>
                <c:pt idx="366">
                  <c:v>44441</c:v>
                </c:pt>
                <c:pt idx="367">
                  <c:v>44442</c:v>
                </c:pt>
                <c:pt idx="368">
                  <c:v>44443</c:v>
                </c:pt>
                <c:pt idx="369">
                  <c:v>44444</c:v>
                </c:pt>
                <c:pt idx="370">
                  <c:v>44445</c:v>
                </c:pt>
                <c:pt idx="371">
                  <c:v>44446</c:v>
                </c:pt>
                <c:pt idx="372">
                  <c:v>44447</c:v>
                </c:pt>
                <c:pt idx="373">
                  <c:v>44448</c:v>
                </c:pt>
                <c:pt idx="374">
                  <c:v>44449</c:v>
                </c:pt>
                <c:pt idx="375">
                  <c:v>44450</c:v>
                </c:pt>
                <c:pt idx="376">
                  <c:v>44451</c:v>
                </c:pt>
                <c:pt idx="377">
                  <c:v>44452</c:v>
                </c:pt>
                <c:pt idx="378">
                  <c:v>44453</c:v>
                </c:pt>
                <c:pt idx="379">
                  <c:v>44454</c:v>
                </c:pt>
                <c:pt idx="380">
                  <c:v>44455</c:v>
                </c:pt>
                <c:pt idx="381">
                  <c:v>44456</c:v>
                </c:pt>
                <c:pt idx="382">
                  <c:v>44457</c:v>
                </c:pt>
                <c:pt idx="383">
                  <c:v>44458</c:v>
                </c:pt>
                <c:pt idx="384">
                  <c:v>44459</c:v>
                </c:pt>
                <c:pt idx="385">
                  <c:v>44460</c:v>
                </c:pt>
                <c:pt idx="386">
                  <c:v>44461</c:v>
                </c:pt>
                <c:pt idx="387">
                  <c:v>44462</c:v>
                </c:pt>
                <c:pt idx="388">
                  <c:v>44463</c:v>
                </c:pt>
                <c:pt idx="389">
                  <c:v>44464</c:v>
                </c:pt>
                <c:pt idx="390">
                  <c:v>44465</c:v>
                </c:pt>
                <c:pt idx="391">
                  <c:v>44466</c:v>
                </c:pt>
                <c:pt idx="392">
                  <c:v>44467</c:v>
                </c:pt>
                <c:pt idx="393">
                  <c:v>44468</c:v>
                </c:pt>
                <c:pt idx="394">
                  <c:v>44469</c:v>
                </c:pt>
                <c:pt idx="395">
                  <c:v>44470</c:v>
                </c:pt>
                <c:pt idx="396">
                  <c:v>44471</c:v>
                </c:pt>
                <c:pt idx="397">
                  <c:v>44472</c:v>
                </c:pt>
                <c:pt idx="398">
                  <c:v>44473</c:v>
                </c:pt>
                <c:pt idx="399">
                  <c:v>44474</c:v>
                </c:pt>
                <c:pt idx="400">
                  <c:v>44475</c:v>
                </c:pt>
                <c:pt idx="401">
                  <c:v>44476</c:v>
                </c:pt>
                <c:pt idx="402">
                  <c:v>44477</c:v>
                </c:pt>
                <c:pt idx="403">
                  <c:v>44478</c:v>
                </c:pt>
                <c:pt idx="404">
                  <c:v>44479</c:v>
                </c:pt>
                <c:pt idx="405">
                  <c:v>44480</c:v>
                </c:pt>
                <c:pt idx="406">
                  <c:v>44481</c:v>
                </c:pt>
                <c:pt idx="407">
                  <c:v>44482</c:v>
                </c:pt>
                <c:pt idx="408">
                  <c:v>44483</c:v>
                </c:pt>
                <c:pt idx="409">
                  <c:v>44484</c:v>
                </c:pt>
                <c:pt idx="410">
                  <c:v>44485</c:v>
                </c:pt>
                <c:pt idx="411">
                  <c:v>44486</c:v>
                </c:pt>
                <c:pt idx="412">
                  <c:v>44487</c:v>
                </c:pt>
                <c:pt idx="413">
                  <c:v>44488</c:v>
                </c:pt>
                <c:pt idx="414">
                  <c:v>44489</c:v>
                </c:pt>
                <c:pt idx="415">
                  <c:v>44490</c:v>
                </c:pt>
                <c:pt idx="416">
                  <c:v>44491</c:v>
                </c:pt>
                <c:pt idx="417">
                  <c:v>44492</c:v>
                </c:pt>
                <c:pt idx="418">
                  <c:v>44493</c:v>
                </c:pt>
                <c:pt idx="419">
                  <c:v>44494</c:v>
                </c:pt>
                <c:pt idx="420">
                  <c:v>44495</c:v>
                </c:pt>
                <c:pt idx="421">
                  <c:v>44496</c:v>
                </c:pt>
                <c:pt idx="422">
                  <c:v>44497</c:v>
                </c:pt>
                <c:pt idx="423">
                  <c:v>44498</c:v>
                </c:pt>
                <c:pt idx="424">
                  <c:v>44499</c:v>
                </c:pt>
                <c:pt idx="425">
                  <c:v>44500</c:v>
                </c:pt>
                <c:pt idx="426">
                  <c:v>44501</c:v>
                </c:pt>
                <c:pt idx="427">
                  <c:v>44502</c:v>
                </c:pt>
                <c:pt idx="428">
                  <c:v>44503</c:v>
                </c:pt>
                <c:pt idx="429">
                  <c:v>44504</c:v>
                </c:pt>
                <c:pt idx="430">
                  <c:v>44505</c:v>
                </c:pt>
                <c:pt idx="431">
                  <c:v>44506</c:v>
                </c:pt>
                <c:pt idx="432">
                  <c:v>44507</c:v>
                </c:pt>
                <c:pt idx="433">
                  <c:v>44508</c:v>
                </c:pt>
                <c:pt idx="434">
                  <c:v>44509</c:v>
                </c:pt>
                <c:pt idx="435">
                  <c:v>44510</c:v>
                </c:pt>
                <c:pt idx="436">
                  <c:v>44511</c:v>
                </c:pt>
                <c:pt idx="437">
                  <c:v>44512</c:v>
                </c:pt>
                <c:pt idx="438">
                  <c:v>44513</c:v>
                </c:pt>
                <c:pt idx="439">
                  <c:v>44514</c:v>
                </c:pt>
                <c:pt idx="440">
                  <c:v>44515</c:v>
                </c:pt>
                <c:pt idx="441">
                  <c:v>44516</c:v>
                </c:pt>
                <c:pt idx="442">
                  <c:v>44517</c:v>
                </c:pt>
                <c:pt idx="443">
                  <c:v>44518</c:v>
                </c:pt>
                <c:pt idx="444">
                  <c:v>44519</c:v>
                </c:pt>
                <c:pt idx="445">
                  <c:v>44520</c:v>
                </c:pt>
                <c:pt idx="446">
                  <c:v>44521</c:v>
                </c:pt>
                <c:pt idx="447">
                  <c:v>44522</c:v>
                </c:pt>
                <c:pt idx="448">
                  <c:v>44523</c:v>
                </c:pt>
                <c:pt idx="449">
                  <c:v>44524</c:v>
                </c:pt>
                <c:pt idx="450">
                  <c:v>44525</c:v>
                </c:pt>
                <c:pt idx="451">
                  <c:v>44526</c:v>
                </c:pt>
                <c:pt idx="452">
                  <c:v>44527</c:v>
                </c:pt>
                <c:pt idx="453">
                  <c:v>44528</c:v>
                </c:pt>
                <c:pt idx="454">
                  <c:v>44529</c:v>
                </c:pt>
                <c:pt idx="455">
                  <c:v>44530</c:v>
                </c:pt>
                <c:pt idx="456">
                  <c:v>44531</c:v>
                </c:pt>
                <c:pt idx="457">
                  <c:v>44532</c:v>
                </c:pt>
                <c:pt idx="458">
                  <c:v>44533</c:v>
                </c:pt>
                <c:pt idx="459">
                  <c:v>44534</c:v>
                </c:pt>
                <c:pt idx="460">
                  <c:v>44535</c:v>
                </c:pt>
                <c:pt idx="461">
                  <c:v>44536</c:v>
                </c:pt>
                <c:pt idx="462">
                  <c:v>44537</c:v>
                </c:pt>
                <c:pt idx="463">
                  <c:v>44538</c:v>
                </c:pt>
                <c:pt idx="464">
                  <c:v>44539</c:v>
                </c:pt>
                <c:pt idx="465">
                  <c:v>44540</c:v>
                </c:pt>
                <c:pt idx="466">
                  <c:v>44541</c:v>
                </c:pt>
                <c:pt idx="467">
                  <c:v>44542</c:v>
                </c:pt>
                <c:pt idx="468">
                  <c:v>44543</c:v>
                </c:pt>
                <c:pt idx="469">
                  <c:v>44544</c:v>
                </c:pt>
                <c:pt idx="470">
                  <c:v>44545</c:v>
                </c:pt>
                <c:pt idx="471">
                  <c:v>44546</c:v>
                </c:pt>
                <c:pt idx="472">
                  <c:v>44547</c:v>
                </c:pt>
                <c:pt idx="473">
                  <c:v>44548</c:v>
                </c:pt>
                <c:pt idx="474">
                  <c:v>44549</c:v>
                </c:pt>
                <c:pt idx="475">
                  <c:v>44550</c:v>
                </c:pt>
                <c:pt idx="476">
                  <c:v>44551</c:v>
                </c:pt>
                <c:pt idx="477">
                  <c:v>44552</c:v>
                </c:pt>
                <c:pt idx="478">
                  <c:v>44553</c:v>
                </c:pt>
                <c:pt idx="479">
                  <c:v>44554</c:v>
                </c:pt>
                <c:pt idx="480">
                  <c:v>44555</c:v>
                </c:pt>
                <c:pt idx="481">
                  <c:v>44556</c:v>
                </c:pt>
                <c:pt idx="482">
                  <c:v>44557</c:v>
                </c:pt>
                <c:pt idx="483">
                  <c:v>44558</c:v>
                </c:pt>
                <c:pt idx="484">
                  <c:v>44559</c:v>
                </c:pt>
                <c:pt idx="485">
                  <c:v>44560</c:v>
                </c:pt>
                <c:pt idx="486">
                  <c:v>44561</c:v>
                </c:pt>
                <c:pt idx="487">
                  <c:v>44562</c:v>
                </c:pt>
                <c:pt idx="488">
                  <c:v>44563</c:v>
                </c:pt>
                <c:pt idx="489">
                  <c:v>44564</c:v>
                </c:pt>
                <c:pt idx="490">
                  <c:v>44565</c:v>
                </c:pt>
                <c:pt idx="491">
                  <c:v>44566</c:v>
                </c:pt>
                <c:pt idx="492">
                  <c:v>44567</c:v>
                </c:pt>
                <c:pt idx="493">
                  <c:v>44568</c:v>
                </c:pt>
                <c:pt idx="494">
                  <c:v>44569</c:v>
                </c:pt>
                <c:pt idx="495">
                  <c:v>44570</c:v>
                </c:pt>
                <c:pt idx="496">
                  <c:v>44571</c:v>
                </c:pt>
                <c:pt idx="497">
                  <c:v>44572</c:v>
                </c:pt>
                <c:pt idx="498">
                  <c:v>44573</c:v>
                </c:pt>
                <c:pt idx="499">
                  <c:v>44574</c:v>
                </c:pt>
                <c:pt idx="500">
                  <c:v>44575</c:v>
                </c:pt>
                <c:pt idx="501">
                  <c:v>44576</c:v>
                </c:pt>
                <c:pt idx="502">
                  <c:v>44577</c:v>
                </c:pt>
                <c:pt idx="503">
                  <c:v>44578</c:v>
                </c:pt>
                <c:pt idx="504">
                  <c:v>44579</c:v>
                </c:pt>
                <c:pt idx="505">
                  <c:v>44580</c:v>
                </c:pt>
                <c:pt idx="506">
                  <c:v>44581</c:v>
                </c:pt>
                <c:pt idx="507">
                  <c:v>44582</c:v>
                </c:pt>
                <c:pt idx="508">
                  <c:v>44583</c:v>
                </c:pt>
                <c:pt idx="509">
                  <c:v>44584</c:v>
                </c:pt>
                <c:pt idx="510">
                  <c:v>44585</c:v>
                </c:pt>
                <c:pt idx="511">
                  <c:v>44586</c:v>
                </c:pt>
                <c:pt idx="512">
                  <c:v>44587</c:v>
                </c:pt>
                <c:pt idx="513">
                  <c:v>44588</c:v>
                </c:pt>
                <c:pt idx="514">
                  <c:v>44589</c:v>
                </c:pt>
                <c:pt idx="515">
                  <c:v>44590</c:v>
                </c:pt>
                <c:pt idx="516">
                  <c:v>44591</c:v>
                </c:pt>
                <c:pt idx="517">
                  <c:v>44592</c:v>
                </c:pt>
                <c:pt idx="518">
                  <c:v>44593</c:v>
                </c:pt>
                <c:pt idx="519">
                  <c:v>44594</c:v>
                </c:pt>
                <c:pt idx="520">
                  <c:v>44595</c:v>
                </c:pt>
                <c:pt idx="521">
                  <c:v>44596</c:v>
                </c:pt>
                <c:pt idx="522">
                  <c:v>44597</c:v>
                </c:pt>
                <c:pt idx="523">
                  <c:v>44598</c:v>
                </c:pt>
                <c:pt idx="524">
                  <c:v>44599</c:v>
                </c:pt>
                <c:pt idx="525">
                  <c:v>44600</c:v>
                </c:pt>
                <c:pt idx="526">
                  <c:v>44601</c:v>
                </c:pt>
                <c:pt idx="527">
                  <c:v>44602</c:v>
                </c:pt>
                <c:pt idx="528">
                  <c:v>44603</c:v>
                </c:pt>
                <c:pt idx="529">
                  <c:v>44604</c:v>
                </c:pt>
                <c:pt idx="530">
                  <c:v>44605</c:v>
                </c:pt>
                <c:pt idx="531">
                  <c:v>44606</c:v>
                </c:pt>
                <c:pt idx="532">
                  <c:v>44607</c:v>
                </c:pt>
                <c:pt idx="533">
                  <c:v>44608</c:v>
                </c:pt>
                <c:pt idx="534">
                  <c:v>44609</c:v>
                </c:pt>
                <c:pt idx="535">
                  <c:v>44610</c:v>
                </c:pt>
                <c:pt idx="536">
                  <c:v>44611</c:v>
                </c:pt>
                <c:pt idx="537">
                  <c:v>44612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44618</c:v>
                </c:pt>
                <c:pt idx="544">
                  <c:v>44619</c:v>
                </c:pt>
                <c:pt idx="545">
                  <c:v>44620</c:v>
                </c:pt>
                <c:pt idx="546">
                  <c:v>44621</c:v>
                </c:pt>
                <c:pt idx="547">
                  <c:v>44622</c:v>
                </c:pt>
                <c:pt idx="548">
                  <c:v>44623</c:v>
                </c:pt>
                <c:pt idx="549">
                  <c:v>44624</c:v>
                </c:pt>
                <c:pt idx="550">
                  <c:v>44625</c:v>
                </c:pt>
                <c:pt idx="551">
                  <c:v>44626</c:v>
                </c:pt>
                <c:pt idx="552">
                  <c:v>44627</c:v>
                </c:pt>
                <c:pt idx="553">
                  <c:v>44628</c:v>
                </c:pt>
                <c:pt idx="554">
                  <c:v>44629</c:v>
                </c:pt>
                <c:pt idx="555">
                  <c:v>44630</c:v>
                </c:pt>
                <c:pt idx="556">
                  <c:v>44631</c:v>
                </c:pt>
                <c:pt idx="557">
                  <c:v>44632</c:v>
                </c:pt>
                <c:pt idx="558">
                  <c:v>44633</c:v>
                </c:pt>
                <c:pt idx="559">
                  <c:v>44634</c:v>
                </c:pt>
                <c:pt idx="560">
                  <c:v>44635</c:v>
                </c:pt>
                <c:pt idx="561">
                  <c:v>44636</c:v>
                </c:pt>
                <c:pt idx="562">
                  <c:v>44637</c:v>
                </c:pt>
                <c:pt idx="563">
                  <c:v>44638</c:v>
                </c:pt>
                <c:pt idx="564">
                  <c:v>44639</c:v>
                </c:pt>
                <c:pt idx="565">
                  <c:v>44640</c:v>
                </c:pt>
                <c:pt idx="566">
                  <c:v>44641</c:v>
                </c:pt>
                <c:pt idx="567">
                  <c:v>44642</c:v>
                </c:pt>
                <c:pt idx="568">
                  <c:v>44643</c:v>
                </c:pt>
                <c:pt idx="569">
                  <c:v>44644</c:v>
                </c:pt>
                <c:pt idx="570">
                  <c:v>44645</c:v>
                </c:pt>
                <c:pt idx="571">
                  <c:v>44646</c:v>
                </c:pt>
                <c:pt idx="572">
                  <c:v>44647</c:v>
                </c:pt>
                <c:pt idx="573">
                  <c:v>44648</c:v>
                </c:pt>
                <c:pt idx="574">
                  <c:v>44649</c:v>
                </c:pt>
                <c:pt idx="575">
                  <c:v>44650</c:v>
                </c:pt>
                <c:pt idx="576">
                  <c:v>44651</c:v>
                </c:pt>
                <c:pt idx="577">
                  <c:v>44652</c:v>
                </c:pt>
                <c:pt idx="578">
                  <c:v>44653</c:v>
                </c:pt>
                <c:pt idx="579">
                  <c:v>44654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44660</c:v>
                </c:pt>
                <c:pt idx="586">
                  <c:v>44661</c:v>
                </c:pt>
                <c:pt idx="587">
                  <c:v>44662</c:v>
                </c:pt>
                <c:pt idx="588">
                  <c:v>44663</c:v>
                </c:pt>
                <c:pt idx="589">
                  <c:v>44664</c:v>
                </c:pt>
                <c:pt idx="590">
                  <c:v>44665</c:v>
                </c:pt>
                <c:pt idx="591">
                  <c:v>44666</c:v>
                </c:pt>
                <c:pt idx="592">
                  <c:v>44667</c:v>
                </c:pt>
                <c:pt idx="593">
                  <c:v>44668</c:v>
                </c:pt>
                <c:pt idx="594">
                  <c:v>44669</c:v>
                </c:pt>
                <c:pt idx="595">
                  <c:v>44670</c:v>
                </c:pt>
                <c:pt idx="596">
                  <c:v>44671</c:v>
                </c:pt>
                <c:pt idx="597">
                  <c:v>44672</c:v>
                </c:pt>
                <c:pt idx="598">
                  <c:v>44673</c:v>
                </c:pt>
                <c:pt idx="599">
                  <c:v>44674</c:v>
                </c:pt>
                <c:pt idx="600">
                  <c:v>44675</c:v>
                </c:pt>
                <c:pt idx="601">
                  <c:v>44676</c:v>
                </c:pt>
                <c:pt idx="602">
                  <c:v>44677</c:v>
                </c:pt>
                <c:pt idx="603">
                  <c:v>44678</c:v>
                </c:pt>
                <c:pt idx="604">
                  <c:v>44679</c:v>
                </c:pt>
                <c:pt idx="605">
                  <c:v>44680</c:v>
                </c:pt>
                <c:pt idx="606">
                  <c:v>44681</c:v>
                </c:pt>
                <c:pt idx="607">
                  <c:v>44682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44688</c:v>
                </c:pt>
                <c:pt idx="614">
                  <c:v>44689</c:v>
                </c:pt>
                <c:pt idx="615">
                  <c:v>44690</c:v>
                </c:pt>
                <c:pt idx="616">
                  <c:v>44691</c:v>
                </c:pt>
                <c:pt idx="617">
                  <c:v>44692</c:v>
                </c:pt>
                <c:pt idx="618">
                  <c:v>44693</c:v>
                </c:pt>
                <c:pt idx="619">
                  <c:v>44694</c:v>
                </c:pt>
                <c:pt idx="620">
                  <c:v>44695</c:v>
                </c:pt>
                <c:pt idx="621">
                  <c:v>44696</c:v>
                </c:pt>
                <c:pt idx="622">
                  <c:v>44697</c:v>
                </c:pt>
                <c:pt idx="623">
                  <c:v>44698</c:v>
                </c:pt>
                <c:pt idx="624">
                  <c:v>44699</c:v>
                </c:pt>
                <c:pt idx="625">
                  <c:v>44700</c:v>
                </c:pt>
                <c:pt idx="626">
                  <c:v>44701</c:v>
                </c:pt>
                <c:pt idx="627">
                  <c:v>44702</c:v>
                </c:pt>
                <c:pt idx="628">
                  <c:v>44703</c:v>
                </c:pt>
                <c:pt idx="629">
                  <c:v>44704</c:v>
                </c:pt>
                <c:pt idx="630">
                  <c:v>44705</c:v>
                </c:pt>
                <c:pt idx="631">
                  <c:v>44706</c:v>
                </c:pt>
                <c:pt idx="632">
                  <c:v>44707</c:v>
                </c:pt>
                <c:pt idx="633">
                  <c:v>44708</c:v>
                </c:pt>
                <c:pt idx="634">
                  <c:v>44709</c:v>
                </c:pt>
                <c:pt idx="635">
                  <c:v>44710</c:v>
                </c:pt>
                <c:pt idx="636">
                  <c:v>44711</c:v>
                </c:pt>
                <c:pt idx="637">
                  <c:v>44712</c:v>
                </c:pt>
                <c:pt idx="638">
                  <c:v>44713</c:v>
                </c:pt>
                <c:pt idx="639">
                  <c:v>44714</c:v>
                </c:pt>
                <c:pt idx="640">
                  <c:v>44715</c:v>
                </c:pt>
                <c:pt idx="641">
                  <c:v>44716</c:v>
                </c:pt>
                <c:pt idx="642">
                  <c:v>44717</c:v>
                </c:pt>
                <c:pt idx="643">
                  <c:v>44718</c:v>
                </c:pt>
                <c:pt idx="644">
                  <c:v>44719</c:v>
                </c:pt>
                <c:pt idx="645">
                  <c:v>44720</c:v>
                </c:pt>
                <c:pt idx="646">
                  <c:v>44721</c:v>
                </c:pt>
                <c:pt idx="647">
                  <c:v>44722</c:v>
                </c:pt>
                <c:pt idx="648">
                  <c:v>44723</c:v>
                </c:pt>
                <c:pt idx="649">
                  <c:v>44724</c:v>
                </c:pt>
                <c:pt idx="650">
                  <c:v>44725</c:v>
                </c:pt>
                <c:pt idx="651">
                  <c:v>44726</c:v>
                </c:pt>
                <c:pt idx="652">
                  <c:v>44727</c:v>
                </c:pt>
                <c:pt idx="653">
                  <c:v>44728</c:v>
                </c:pt>
                <c:pt idx="654">
                  <c:v>44729</c:v>
                </c:pt>
                <c:pt idx="655">
                  <c:v>44730</c:v>
                </c:pt>
                <c:pt idx="656">
                  <c:v>44731</c:v>
                </c:pt>
                <c:pt idx="657">
                  <c:v>44732</c:v>
                </c:pt>
                <c:pt idx="658">
                  <c:v>44733</c:v>
                </c:pt>
                <c:pt idx="659">
                  <c:v>44734</c:v>
                </c:pt>
                <c:pt idx="660">
                  <c:v>44735</c:v>
                </c:pt>
                <c:pt idx="661">
                  <c:v>44736</c:v>
                </c:pt>
                <c:pt idx="662">
                  <c:v>44737</c:v>
                </c:pt>
                <c:pt idx="663">
                  <c:v>44738</c:v>
                </c:pt>
                <c:pt idx="664">
                  <c:v>44739</c:v>
                </c:pt>
                <c:pt idx="665">
                  <c:v>44740</c:v>
                </c:pt>
                <c:pt idx="666">
                  <c:v>44741</c:v>
                </c:pt>
                <c:pt idx="667">
                  <c:v>44742</c:v>
                </c:pt>
              </c:numCache>
            </c:numRef>
          </c:cat>
          <c:val>
            <c:numRef>
              <c:f>'Graf 9+10'!$N$8:$ZE$8</c:f>
              <c:numCache>
                <c:formatCode>0</c:formatCode>
                <c:ptCount val="668"/>
                <c:pt idx="0">
                  <c:v>76.561599999999999</c:v>
                </c:pt>
                <c:pt idx="1">
                  <c:v>72.141649999999998</c:v>
                </c:pt>
                <c:pt idx="2">
                  <c:v>76.561599999999999</c:v>
                </c:pt>
                <c:pt idx="3">
                  <c:v>81.55380000000001</c:v>
                </c:pt>
                <c:pt idx="4">
                  <c:v>97.522299999999987</c:v>
                </c:pt>
                <c:pt idx="5">
                  <c:v>105.22314999999999</c:v>
                </c:pt>
                <c:pt idx="6">
                  <c:v>102.5145</c:v>
                </c:pt>
                <c:pt idx="7">
                  <c:v>105.22314999999999</c:v>
                </c:pt>
                <c:pt idx="8">
                  <c:v>120.61940000000001</c:v>
                </c:pt>
                <c:pt idx="9">
                  <c:v>128.74535</c:v>
                </c:pt>
                <c:pt idx="10">
                  <c:v>135.73225000000002</c:v>
                </c:pt>
                <c:pt idx="11">
                  <c:v>132.16795000000002</c:v>
                </c:pt>
                <c:pt idx="12">
                  <c:v>130.88720000000001</c:v>
                </c:pt>
                <c:pt idx="13">
                  <c:v>134.59320000000002</c:v>
                </c:pt>
                <c:pt idx="14">
                  <c:v>148.41985</c:v>
                </c:pt>
                <c:pt idx="15">
                  <c:v>138.58260000000001</c:v>
                </c:pt>
                <c:pt idx="16">
                  <c:v>136.1628</c:v>
                </c:pt>
                <c:pt idx="17">
                  <c:v>143.14425</c:v>
                </c:pt>
                <c:pt idx="18">
                  <c:v>155.8373</c:v>
                </c:pt>
                <c:pt idx="19">
                  <c:v>163.24930000000001</c:v>
                </c:pt>
                <c:pt idx="20">
                  <c:v>167.66925000000001</c:v>
                </c:pt>
                <c:pt idx="21">
                  <c:v>165.81625</c:v>
                </c:pt>
                <c:pt idx="22">
                  <c:v>200.89245</c:v>
                </c:pt>
                <c:pt idx="23">
                  <c:v>229.26515000000001</c:v>
                </c:pt>
                <c:pt idx="24">
                  <c:v>255.49600000000001</c:v>
                </c:pt>
                <c:pt idx="25">
                  <c:v>292.8503</c:v>
                </c:pt>
                <c:pt idx="26">
                  <c:v>342.3254</c:v>
                </c:pt>
                <c:pt idx="27">
                  <c:v>368.8451</c:v>
                </c:pt>
                <c:pt idx="28">
                  <c:v>376.82935000000003</c:v>
                </c:pt>
                <c:pt idx="29">
                  <c:v>409.4803</c:v>
                </c:pt>
                <c:pt idx="30">
                  <c:v>471.78470000000004</c:v>
                </c:pt>
                <c:pt idx="31">
                  <c:v>508.85559999999998</c:v>
                </c:pt>
                <c:pt idx="32">
                  <c:v>530.52480000000003</c:v>
                </c:pt>
                <c:pt idx="33">
                  <c:v>579.00255000000004</c:v>
                </c:pt>
                <c:pt idx="34">
                  <c:v>591.54845</c:v>
                </c:pt>
                <c:pt idx="35">
                  <c:v>604.24150000000009</c:v>
                </c:pt>
                <c:pt idx="36">
                  <c:v>648.43555000000003</c:v>
                </c:pt>
                <c:pt idx="37">
                  <c:v>682.65610000000004</c:v>
                </c:pt>
                <c:pt idx="38">
                  <c:v>754.65604999999994</c:v>
                </c:pt>
                <c:pt idx="39">
                  <c:v>923.32810000000006</c:v>
                </c:pt>
                <c:pt idx="40">
                  <c:v>956.97640000000013</c:v>
                </c:pt>
                <c:pt idx="41">
                  <c:v>978.50390000000004</c:v>
                </c:pt>
                <c:pt idx="42">
                  <c:v>1008.5879000000001</c:v>
                </c:pt>
                <c:pt idx="43">
                  <c:v>1084.57725</c:v>
                </c:pt>
                <c:pt idx="44">
                  <c:v>1211.75845</c:v>
                </c:pt>
                <c:pt idx="45">
                  <c:v>1338.7925</c:v>
                </c:pt>
                <c:pt idx="46">
                  <c:v>1350.34105</c:v>
                </c:pt>
                <c:pt idx="47">
                  <c:v>1423.4855</c:v>
                </c:pt>
                <c:pt idx="48">
                  <c:v>1474.24135</c:v>
                </c:pt>
                <c:pt idx="49">
                  <c:v>1499.0497500000001</c:v>
                </c:pt>
                <c:pt idx="50">
                  <c:v>1611.9683</c:v>
                </c:pt>
                <c:pt idx="51">
                  <c:v>1583.3122000000001</c:v>
                </c:pt>
                <c:pt idx="52">
                  <c:v>1655.4538499999999</c:v>
                </c:pt>
                <c:pt idx="53">
                  <c:v>1786.9133000000002</c:v>
                </c:pt>
                <c:pt idx="54">
                  <c:v>1997.2124500000002</c:v>
                </c:pt>
                <c:pt idx="55">
                  <c:v>2061.6587</c:v>
                </c:pt>
                <c:pt idx="56">
                  <c:v>2089.6008500000003</c:v>
                </c:pt>
                <c:pt idx="57">
                  <c:v>2187.26485</c:v>
                </c:pt>
                <c:pt idx="58">
                  <c:v>2337.9682500000004</c:v>
                </c:pt>
                <c:pt idx="59">
                  <c:v>2449.4643500000002</c:v>
                </c:pt>
                <c:pt idx="60">
                  <c:v>2404.2674999999999</c:v>
                </c:pt>
                <c:pt idx="61">
                  <c:v>2295.9105999999997</c:v>
                </c:pt>
                <c:pt idx="62">
                  <c:v>2377.3227000000002</c:v>
                </c:pt>
                <c:pt idx="63">
                  <c:v>2495.09175</c:v>
                </c:pt>
                <c:pt idx="64">
                  <c:v>2541.9944500000001</c:v>
                </c:pt>
                <c:pt idx="65">
                  <c:v>2424.6559500000003</c:v>
                </c:pt>
                <c:pt idx="66">
                  <c:v>2280.7977500000002</c:v>
                </c:pt>
                <c:pt idx="67">
                  <c:v>2281.6534000000001</c:v>
                </c:pt>
                <c:pt idx="68">
                  <c:v>2216.9237499999999</c:v>
                </c:pt>
                <c:pt idx="69">
                  <c:v>2030.7190499999999</c:v>
                </c:pt>
                <c:pt idx="70">
                  <c:v>1934.3357999999998</c:v>
                </c:pt>
                <c:pt idx="71">
                  <c:v>1769.2335</c:v>
                </c:pt>
                <c:pt idx="72">
                  <c:v>1858.9132500000001</c:v>
                </c:pt>
                <c:pt idx="73">
                  <c:v>1811.8634</c:v>
                </c:pt>
                <c:pt idx="74">
                  <c:v>1696.6613000000002</c:v>
                </c:pt>
                <c:pt idx="75">
                  <c:v>1607.1232500000001</c:v>
                </c:pt>
                <c:pt idx="76">
                  <c:v>1597.4277</c:v>
                </c:pt>
                <c:pt idx="77">
                  <c:v>1636.6350000000002</c:v>
                </c:pt>
                <c:pt idx="78">
                  <c:v>1530.1311000000001</c:v>
                </c:pt>
                <c:pt idx="79">
                  <c:v>1398.1048500000002</c:v>
                </c:pt>
                <c:pt idx="80">
                  <c:v>1368.7348000000002</c:v>
                </c:pt>
                <c:pt idx="81">
                  <c:v>1381.5641000000001</c:v>
                </c:pt>
                <c:pt idx="82">
                  <c:v>1350.7716</c:v>
                </c:pt>
                <c:pt idx="83">
                  <c:v>1311.13375</c:v>
                </c:pt>
                <c:pt idx="84">
                  <c:v>1267.6482000000001</c:v>
                </c:pt>
                <c:pt idx="85">
                  <c:v>1338.9341999999999</c:v>
                </c:pt>
                <c:pt idx="86">
                  <c:v>1379.9999500000001</c:v>
                </c:pt>
                <c:pt idx="87">
                  <c:v>1384.4199000000001</c:v>
                </c:pt>
                <c:pt idx="88">
                  <c:v>1336.6561000000002</c:v>
                </c:pt>
                <c:pt idx="89">
                  <c:v>1353.3385499999999</c:v>
                </c:pt>
                <c:pt idx="90">
                  <c:v>1348.34635</c:v>
                </c:pt>
                <c:pt idx="91">
                  <c:v>1381.5641000000001</c:v>
                </c:pt>
                <c:pt idx="92">
                  <c:v>1414.6456000000001</c:v>
                </c:pt>
                <c:pt idx="93">
                  <c:v>1418.7767000000001</c:v>
                </c:pt>
                <c:pt idx="94">
                  <c:v>1466.5404999999998</c:v>
                </c:pt>
                <c:pt idx="95">
                  <c:v>1544.1049</c:v>
                </c:pt>
                <c:pt idx="96">
                  <c:v>1568.05765</c:v>
                </c:pt>
                <c:pt idx="97">
                  <c:v>1618.8135</c:v>
                </c:pt>
                <c:pt idx="98">
                  <c:v>1717.9054000000001</c:v>
                </c:pt>
                <c:pt idx="99">
                  <c:v>1792.1888999999999</c:v>
                </c:pt>
                <c:pt idx="100">
                  <c:v>1955.1548000000003</c:v>
                </c:pt>
                <c:pt idx="101">
                  <c:v>1952.5878500000001</c:v>
                </c:pt>
                <c:pt idx="102">
                  <c:v>2185.9841000000001</c:v>
                </c:pt>
                <c:pt idx="103">
                  <c:v>2317.2964000000002</c:v>
                </c:pt>
                <c:pt idx="104">
                  <c:v>2310.5929000000001</c:v>
                </c:pt>
                <c:pt idx="105">
                  <c:v>2322.7136999999998</c:v>
                </c:pt>
                <c:pt idx="106">
                  <c:v>2465.4328500000001</c:v>
                </c:pt>
                <c:pt idx="107">
                  <c:v>2454.0259999999998</c:v>
                </c:pt>
                <c:pt idx="108">
                  <c:v>2714.2308000000003</c:v>
                </c:pt>
                <c:pt idx="109">
                  <c:v>2634.9551000000001</c:v>
                </c:pt>
                <c:pt idx="110">
                  <c:v>2616.5668000000001</c:v>
                </c:pt>
                <c:pt idx="111">
                  <c:v>2718.3618999999999</c:v>
                </c:pt>
                <c:pt idx="112">
                  <c:v>2808.0471000000002</c:v>
                </c:pt>
                <c:pt idx="113">
                  <c:v>2825.4380499999997</c:v>
                </c:pt>
                <c:pt idx="114">
                  <c:v>2770.1205500000001</c:v>
                </c:pt>
                <c:pt idx="115">
                  <c:v>2777.9631000000004</c:v>
                </c:pt>
                <c:pt idx="116">
                  <c:v>2477.1230999999998</c:v>
                </c:pt>
                <c:pt idx="117">
                  <c:v>2307.8842500000001</c:v>
                </c:pt>
                <c:pt idx="118">
                  <c:v>2215.21245</c:v>
                </c:pt>
                <c:pt idx="119">
                  <c:v>2134.2309</c:v>
                </c:pt>
                <c:pt idx="120">
                  <c:v>2042.1259</c:v>
                </c:pt>
                <c:pt idx="121">
                  <c:v>2563.6691000000001</c:v>
                </c:pt>
                <c:pt idx="122">
                  <c:v>2694.6979999999999</c:v>
                </c:pt>
                <c:pt idx="123">
                  <c:v>2793.7898999999998</c:v>
                </c:pt>
                <c:pt idx="124">
                  <c:v>2842.9761500000004</c:v>
                </c:pt>
                <c:pt idx="125">
                  <c:v>2852.5299999999997</c:v>
                </c:pt>
                <c:pt idx="126">
                  <c:v>2979.9946</c:v>
                </c:pt>
                <c:pt idx="127">
                  <c:v>3253.4538000000002</c:v>
                </c:pt>
                <c:pt idx="128">
                  <c:v>2657.7687999999998</c:v>
                </c:pt>
                <c:pt idx="129">
                  <c:v>2374.7557500000003</c:v>
                </c:pt>
                <c:pt idx="130">
                  <c:v>2707.8161500000001</c:v>
                </c:pt>
                <c:pt idx="131">
                  <c:v>2957.8948499999997</c:v>
                </c:pt>
                <c:pt idx="132">
                  <c:v>2989.83185</c:v>
                </c:pt>
                <c:pt idx="133">
                  <c:v>2907.2807000000003</c:v>
                </c:pt>
                <c:pt idx="134">
                  <c:v>2710.0942500000001</c:v>
                </c:pt>
                <c:pt idx="135">
                  <c:v>2822.1626000000001</c:v>
                </c:pt>
                <c:pt idx="136">
                  <c:v>2786.3724500000003</c:v>
                </c:pt>
                <c:pt idx="137">
                  <c:v>2497.36985</c:v>
                </c:pt>
                <c:pt idx="138">
                  <c:v>2155.18615</c:v>
                </c:pt>
                <c:pt idx="139">
                  <c:v>2183.70055</c:v>
                </c:pt>
                <c:pt idx="140">
                  <c:v>2112.2728499999998</c:v>
                </c:pt>
                <c:pt idx="141">
                  <c:v>1956.57725</c:v>
                </c:pt>
                <c:pt idx="142">
                  <c:v>1891.1336500000002</c:v>
                </c:pt>
                <c:pt idx="143">
                  <c:v>1756.54045</c:v>
                </c:pt>
                <c:pt idx="144">
                  <c:v>1685.11275</c:v>
                </c:pt>
                <c:pt idx="145">
                  <c:v>1875.0234500000001</c:v>
                </c:pt>
                <c:pt idx="146">
                  <c:v>1802.4512500000001</c:v>
                </c:pt>
                <c:pt idx="147">
                  <c:v>1756.971</c:v>
                </c:pt>
                <c:pt idx="148">
                  <c:v>1798.4618500000001</c:v>
                </c:pt>
                <c:pt idx="149">
                  <c:v>1737.2964999999999</c:v>
                </c:pt>
                <c:pt idx="150">
                  <c:v>1850.7873</c:v>
                </c:pt>
                <c:pt idx="151">
                  <c:v>1941.7478000000001</c:v>
                </c:pt>
                <c:pt idx="152">
                  <c:v>1915.8003500000002</c:v>
                </c:pt>
                <c:pt idx="153">
                  <c:v>1900.5458000000001</c:v>
                </c:pt>
                <c:pt idx="154">
                  <c:v>1921.5065</c:v>
                </c:pt>
                <c:pt idx="155">
                  <c:v>1915.3752500000001</c:v>
                </c:pt>
                <c:pt idx="156">
                  <c:v>1921.3593500000002</c:v>
                </c:pt>
                <c:pt idx="157">
                  <c:v>1928.3462500000001</c:v>
                </c:pt>
                <c:pt idx="158">
                  <c:v>1936.7610500000003</c:v>
                </c:pt>
                <c:pt idx="159">
                  <c:v>1912.3777499999999</c:v>
                </c:pt>
                <c:pt idx="160">
                  <c:v>1957.0078000000001</c:v>
                </c:pt>
                <c:pt idx="161">
                  <c:v>1955.1548000000003</c:v>
                </c:pt>
                <c:pt idx="162">
                  <c:v>2018.88165</c:v>
                </c:pt>
                <c:pt idx="163">
                  <c:v>2077.33835</c:v>
                </c:pt>
                <c:pt idx="164">
                  <c:v>2048.9656500000001</c:v>
                </c:pt>
                <c:pt idx="165">
                  <c:v>2061.6587</c:v>
                </c:pt>
                <c:pt idx="166">
                  <c:v>2046.82925</c:v>
                </c:pt>
                <c:pt idx="167">
                  <c:v>2020.4512500000003</c:v>
                </c:pt>
                <c:pt idx="168">
                  <c:v>1980.2466000000002</c:v>
                </c:pt>
                <c:pt idx="169">
                  <c:v>1978.6770000000001</c:v>
                </c:pt>
                <c:pt idx="170">
                  <c:v>1988.37255</c:v>
                </c:pt>
                <c:pt idx="171">
                  <c:v>1974.3987499999998</c:v>
                </c:pt>
                <c:pt idx="172">
                  <c:v>2027.8687000000002</c:v>
                </c:pt>
                <c:pt idx="173">
                  <c:v>2061.8004000000001</c:v>
                </c:pt>
                <c:pt idx="174">
                  <c:v>2072.7767000000003</c:v>
                </c:pt>
                <c:pt idx="175">
                  <c:v>2152.0524</c:v>
                </c:pt>
                <c:pt idx="176">
                  <c:v>2206.0891499999998</c:v>
                </c:pt>
                <c:pt idx="177">
                  <c:v>2189.4067</c:v>
                </c:pt>
                <c:pt idx="178">
                  <c:v>2233.8896</c:v>
                </c:pt>
                <c:pt idx="179">
                  <c:v>2254.2780500000003</c:v>
                </c:pt>
                <c:pt idx="180">
                  <c:v>2272.6718000000001</c:v>
                </c:pt>
                <c:pt idx="181">
                  <c:v>2300.18885</c:v>
                </c:pt>
                <c:pt idx="182">
                  <c:v>2311.4485500000001</c:v>
                </c:pt>
                <c:pt idx="183">
                  <c:v>2284.3620500000002</c:v>
                </c:pt>
                <c:pt idx="184">
                  <c:v>2335.9735500000002</c:v>
                </c:pt>
                <c:pt idx="185">
                  <c:v>2304.3199500000001</c:v>
                </c:pt>
                <c:pt idx="186">
                  <c:v>2257.8423500000004</c:v>
                </c:pt>
                <c:pt idx="187">
                  <c:v>2182.4198000000001</c:v>
                </c:pt>
                <c:pt idx="188">
                  <c:v>2118.8292000000001</c:v>
                </c:pt>
                <c:pt idx="189">
                  <c:v>2137.36465</c:v>
                </c:pt>
                <c:pt idx="190">
                  <c:v>2172.0102999999999</c:v>
                </c:pt>
                <c:pt idx="191">
                  <c:v>2054.8134999999997</c:v>
                </c:pt>
                <c:pt idx="192">
                  <c:v>2037.4171000000001</c:v>
                </c:pt>
                <c:pt idx="193">
                  <c:v>2014.75055</c:v>
                </c:pt>
                <c:pt idx="194">
                  <c:v>2012.1836000000003</c:v>
                </c:pt>
                <c:pt idx="195">
                  <c:v>2020.8817999999999</c:v>
                </c:pt>
                <c:pt idx="196">
                  <c:v>1931.1966000000002</c:v>
                </c:pt>
                <c:pt idx="197">
                  <c:v>1830.2571500000001</c:v>
                </c:pt>
                <c:pt idx="198">
                  <c:v>1839.0970500000001</c:v>
                </c:pt>
                <c:pt idx="199">
                  <c:v>1750.4146500000002</c:v>
                </c:pt>
                <c:pt idx="200">
                  <c:v>1669.4276500000001</c:v>
                </c:pt>
                <c:pt idx="201">
                  <c:v>1620.5247999999999</c:v>
                </c:pt>
                <c:pt idx="202">
                  <c:v>1612.5405500000002</c:v>
                </c:pt>
                <c:pt idx="203">
                  <c:v>1570.1940499999998</c:v>
                </c:pt>
                <c:pt idx="204">
                  <c:v>1439.7374000000002</c:v>
                </c:pt>
                <c:pt idx="205">
                  <c:v>1384.7033000000001</c:v>
                </c:pt>
                <c:pt idx="206">
                  <c:v>1326.67715</c:v>
                </c:pt>
                <c:pt idx="207">
                  <c:v>1289.0340000000001</c:v>
                </c:pt>
                <c:pt idx="208">
                  <c:v>1289.0340000000001</c:v>
                </c:pt>
                <c:pt idx="209">
                  <c:v>1261.09185</c:v>
                </c:pt>
                <c:pt idx="210">
                  <c:v>1251.6796999999999</c:v>
                </c:pt>
                <c:pt idx="211">
                  <c:v>1234.2833000000001</c:v>
                </c:pt>
                <c:pt idx="212">
                  <c:v>1184.3831</c:v>
                </c:pt>
                <c:pt idx="213">
                  <c:v>1200.4933000000001</c:v>
                </c:pt>
                <c:pt idx="214">
                  <c:v>1088.8554999999999</c:v>
                </c:pt>
                <c:pt idx="215">
                  <c:v>1045.36995</c:v>
                </c:pt>
                <c:pt idx="216">
                  <c:v>1038.6719000000001</c:v>
                </c:pt>
                <c:pt idx="217">
                  <c:v>912.91860000000008</c:v>
                </c:pt>
                <c:pt idx="218">
                  <c:v>813.96840000000009</c:v>
                </c:pt>
                <c:pt idx="219">
                  <c:v>852.75059999999996</c:v>
                </c:pt>
                <c:pt idx="220">
                  <c:v>786.88190000000009</c:v>
                </c:pt>
                <c:pt idx="221">
                  <c:v>834.21515000000011</c:v>
                </c:pt>
                <c:pt idx="222">
                  <c:v>829.79520000000002</c:v>
                </c:pt>
                <c:pt idx="223">
                  <c:v>822.38319999999999</c:v>
                </c:pt>
                <c:pt idx="224">
                  <c:v>898.94479999999999</c:v>
                </c:pt>
                <c:pt idx="225">
                  <c:v>885.82665000000009</c:v>
                </c:pt>
                <c:pt idx="226">
                  <c:v>781.31745000000001</c:v>
                </c:pt>
                <c:pt idx="227">
                  <c:v>740.39885000000004</c:v>
                </c:pt>
                <c:pt idx="228">
                  <c:v>693.34900000000005</c:v>
                </c:pt>
                <c:pt idx="229">
                  <c:v>700.33590000000004</c:v>
                </c:pt>
                <c:pt idx="230">
                  <c:v>698.48290000000009</c:v>
                </c:pt>
                <c:pt idx="231">
                  <c:v>665.97365000000002</c:v>
                </c:pt>
                <c:pt idx="232">
                  <c:v>622.48810000000003</c:v>
                </c:pt>
                <c:pt idx="233">
                  <c:v>598.82420000000002</c:v>
                </c:pt>
                <c:pt idx="234">
                  <c:v>577.29124999999999</c:v>
                </c:pt>
                <c:pt idx="235">
                  <c:v>590.26769999999999</c:v>
                </c:pt>
                <c:pt idx="236">
                  <c:v>561.32275000000004</c:v>
                </c:pt>
                <c:pt idx="237">
                  <c:v>562.17840000000001</c:v>
                </c:pt>
                <c:pt idx="238">
                  <c:v>540.22035000000005</c:v>
                </c:pt>
                <c:pt idx="239">
                  <c:v>528.53009999999995</c:v>
                </c:pt>
                <c:pt idx="240">
                  <c:v>512.4199000000001</c:v>
                </c:pt>
                <c:pt idx="241">
                  <c:v>509.85295000000002</c:v>
                </c:pt>
                <c:pt idx="242">
                  <c:v>462.5197</c:v>
                </c:pt>
                <c:pt idx="243">
                  <c:v>454.39375000000001</c:v>
                </c:pt>
                <c:pt idx="244">
                  <c:v>458.81370000000004</c:v>
                </c:pt>
                <c:pt idx="245">
                  <c:v>443.55369999999999</c:v>
                </c:pt>
                <c:pt idx="246">
                  <c:v>447.26514999999995</c:v>
                </c:pt>
                <c:pt idx="247">
                  <c:v>415.75324999999998</c:v>
                </c:pt>
                <c:pt idx="248">
                  <c:v>400.78210000000001</c:v>
                </c:pt>
                <c:pt idx="249">
                  <c:v>381.39100000000002</c:v>
                </c:pt>
                <c:pt idx="250">
                  <c:v>338.90280000000001</c:v>
                </c:pt>
                <c:pt idx="251">
                  <c:v>364.70855</c:v>
                </c:pt>
                <c:pt idx="252">
                  <c:v>360.28860000000003</c:v>
                </c:pt>
                <c:pt idx="253">
                  <c:v>316.9502</c:v>
                </c:pt>
                <c:pt idx="254">
                  <c:v>314.80835000000002</c:v>
                </c:pt>
                <c:pt idx="255">
                  <c:v>305.11279999999999</c:v>
                </c:pt>
                <c:pt idx="256">
                  <c:v>288.7192</c:v>
                </c:pt>
                <c:pt idx="257">
                  <c:v>291.99464999999998</c:v>
                </c:pt>
                <c:pt idx="258">
                  <c:v>267.04455000000002</c:v>
                </c:pt>
                <c:pt idx="259">
                  <c:v>250.36210000000003</c:v>
                </c:pt>
                <c:pt idx="260">
                  <c:v>227.83725000000001</c:v>
                </c:pt>
                <c:pt idx="261">
                  <c:v>217.14435000000003</c:v>
                </c:pt>
                <c:pt idx="262">
                  <c:v>194.90290000000002</c:v>
                </c:pt>
                <c:pt idx="263">
                  <c:v>185.20734999999999</c:v>
                </c:pt>
                <c:pt idx="264">
                  <c:v>187.06035</c:v>
                </c:pt>
                <c:pt idx="265">
                  <c:v>170.37790000000001</c:v>
                </c:pt>
                <c:pt idx="266">
                  <c:v>155.97900000000001</c:v>
                </c:pt>
                <c:pt idx="267">
                  <c:v>147.99475000000001</c:v>
                </c:pt>
                <c:pt idx="268">
                  <c:v>135.87395000000001</c:v>
                </c:pt>
                <c:pt idx="269">
                  <c:v>129.88985</c:v>
                </c:pt>
                <c:pt idx="270">
                  <c:v>102.7979</c:v>
                </c:pt>
                <c:pt idx="271">
                  <c:v>121.90559999999999</c:v>
                </c:pt>
                <c:pt idx="272">
                  <c:v>123.61145</c:v>
                </c:pt>
                <c:pt idx="273">
                  <c:v>125.4699</c:v>
                </c:pt>
                <c:pt idx="274">
                  <c:v>116.05775000000001</c:v>
                </c:pt>
                <c:pt idx="275">
                  <c:v>111.92120000000001</c:v>
                </c:pt>
                <c:pt idx="276">
                  <c:v>111.63780000000001</c:v>
                </c:pt>
                <c:pt idx="277">
                  <c:v>128.32025000000002</c:v>
                </c:pt>
                <c:pt idx="278">
                  <c:v>106.36219999999999</c:v>
                </c:pt>
                <c:pt idx="279">
                  <c:v>104.07865000000001</c:v>
                </c:pt>
                <c:pt idx="280">
                  <c:v>96.950050000000005</c:v>
                </c:pt>
                <c:pt idx="281">
                  <c:v>100.23094999999999</c:v>
                </c:pt>
                <c:pt idx="282">
                  <c:v>96.950050000000005</c:v>
                </c:pt>
                <c:pt idx="283">
                  <c:v>95.527599999999993</c:v>
                </c:pt>
                <c:pt idx="284">
                  <c:v>91.821600000000004</c:v>
                </c:pt>
                <c:pt idx="285">
                  <c:v>84.120750000000001</c:v>
                </c:pt>
                <c:pt idx="286">
                  <c:v>83.690200000000004</c:v>
                </c:pt>
                <c:pt idx="287">
                  <c:v>77.13385000000001</c:v>
                </c:pt>
                <c:pt idx="288">
                  <c:v>65.013050000000007</c:v>
                </c:pt>
                <c:pt idx="289">
                  <c:v>57.170500000000004</c:v>
                </c:pt>
                <c:pt idx="290">
                  <c:v>50.614150000000009</c:v>
                </c:pt>
                <c:pt idx="291">
                  <c:v>37.637700000000002</c:v>
                </c:pt>
                <c:pt idx="292">
                  <c:v>31.653600000000001</c:v>
                </c:pt>
                <c:pt idx="293">
                  <c:v>41.060299999999998</c:v>
                </c:pt>
                <c:pt idx="294">
                  <c:v>42.488200000000006</c:v>
                </c:pt>
                <c:pt idx="295">
                  <c:v>38.640500000000003</c:v>
                </c:pt>
                <c:pt idx="296">
                  <c:v>35.0762</c:v>
                </c:pt>
                <c:pt idx="297">
                  <c:v>34.503950000000003</c:v>
                </c:pt>
                <c:pt idx="298">
                  <c:v>40.351800000000004</c:v>
                </c:pt>
                <c:pt idx="299">
                  <c:v>43.202149999999996</c:v>
                </c:pt>
                <c:pt idx="300">
                  <c:v>34.220550000000003</c:v>
                </c:pt>
                <c:pt idx="301">
                  <c:v>31.937000000000001</c:v>
                </c:pt>
                <c:pt idx="302">
                  <c:v>31.653600000000001</c:v>
                </c:pt>
                <c:pt idx="303">
                  <c:v>28.944950000000002</c:v>
                </c:pt>
                <c:pt idx="304">
                  <c:v>26.5197</c:v>
                </c:pt>
                <c:pt idx="305">
                  <c:v>23.527650000000001</c:v>
                </c:pt>
                <c:pt idx="306">
                  <c:v>23.669350000000001</c:v>
                </c:pt>
                <c:pt idx="307">
                  <c:v>21.95805</c:v>
                </c:pt>
                <c:pt idx="308">
                  <c:v>17.963200000000001</c:v>
                </c:pt>
                <c:pt idx="309">
                  <c:v>19.674499999999998</c:v>
                </c:pt>
                <c:pt idx="310">
                  <c:v>21.95805</c:v>
                </c:pt>
                <c:pt idx="311">
                  <c:v>25.091800000000003</c:v>
                </c:pt>
                <c:pt idx="312">
                  <c:v>28.089300000000001</c:v>
                </c:pt>
                <c:pt idx="313">
                  <c:v>28.656100000000002</c:v>
                </c:pt>
                <c:pt idx="314">
                  <c:v>29.228350000000002</c:v>
                </c:pt>
                <c:pt idx="315">
                  <c:v>31.081350000000004</c:v>
                </c:pt>
                <c:pt idx="316">
                  <c:v>27.233650000000001</c:v>
                </c:pt>
                <c:pt idx="317">
                  <c:v>26.661400000000004</c:v>
                </c:pt>
                <c:pt idx="318">
                  <c:v>25.94745</c:v>
                </c:pt>
                <c:pt idx="319">
                  <c:v>20.105050000000002</c:v>
                </c:pt>
                <c:pt idx="320">
                  <c:v>25.94745</c:v>
                </c:pt>
                <c:pt idx="321">
                  <c:v>25.522349999999999</c:v>
                </c:pt>
                <c:pt idx="322">
                  <c:v>26.5197</c:v>
                </c:pt>
                <c:pt idx="323">
                  <c:v>30.5091</c:v>
                </c:pt>
                <c:pt idx="324">
                  <c:v>31.223050000000001</c:v>
                </c:pt>
                <c:pt idx="325">
                  <c:v>32.078700000000005</c:v>
                </c:pt>
                <c:pt idx="326">
                  <c:v>32.078700000000005</c:v>
                </c:pt>
                <c:pt idx="327">
                  <c:v>35.3596</c:v>
                </c:pt>
                <c:pt idx="328">
                  <c:v>35.784700000000001</c:v>
                </c:pt>
                <c:pt idx="329">
                  <c:v>38.068250000000006</c:v>
                </c:pt>
                <c:pt idx="330">
                  <c:v>43.202149999999996</c:v>
                </c:pt>
                <c:pt idx="331">
                  <c:v>45.338550000000005</c:v>
                </c:pt>
                <c:pt idx="332">
                  <c:v>45.910800000000002</c:v>
                </c:pt>
                <c:pt idx="333">
                  <c:v>55.317500000000003</c:v>
                </c:pt>
                <c:pt idx="334">
                  <c:v>50.755850000000002</c:v>
                </c:pt>
                <c:pt idx="335">
                  <c:v>50.614150000000009</c:v>
                </c:pt>
                <c:pt idx="336">
                  <c:v>49.186250000000001</c:v>
                </c:pt>
                <c:pt idx="337">
                  <c:v>50.897550000000003</c:v>
                </c:pt>
                <c:pt idx="338">
                  <c:v>51.469800000000006</c:v>
                </c:pt>
                <c:pt idx="339">
                  <c:v>45.196849999999998</c:v>
                </c:pt>
                <c:pt idx="340">
                  <c:v>51.328099999999999</c:v>
                </c:pt>
                <c:pt idx="341">
                  <c:v>47.905499999999996</c:v>
                </c:pt>
                <c:pt idx="342">
                  <c:v>49.758500000000005</c:v>
                </c:pt>
                <c:pt idx="343">
                  <c:v>58.314999999999998</c:v>
                </c:pt>
                <c:pt idx="344">
                  <c:v>54.609000000000002</c:v>
                </c:pt>
                <c:pt idx="345">
                  <c:v>57.601050000000008</c:v>
                </c:pt>
                <c:pt idx="346">
                  <c:v>66.010400000000004</c:v>
                </c:pt>
                <c:pt idx="347">
                  <c:v>63.874000000000002</c:v>
                </c:pt>
                <c:pt idx="348">
                  <c:v>69.721850000000003</c:v>
                </c:pt>
                <c:pt idx="349">
                  <c:v>68.010549999999995</c:v>
                </c:pt>
                <c:pt idx="350">
                  <c:v>64.15740000000001</c:v>
                </c:pt>
                <c:pt idx="351">
                  <c:v>70.430350000000004</c:v>
                </c:pt>
                <c:pt idx="352">
                  <c:v>70.860900000000001</c:v>
                </c:pt>
                <c:pt idx="353">
                  <c:v>74.425200000000004</c:v>
                </c:pt>
                <c:pt idx="354">
                  <c:v>74.425200000000004</c:v>
                </c:pt>
                <c:pt idx="355">
                  <c:v>78.845150000000004</c:v>
                </c:pt>
                <c:pt idx="356">
                  <c:v>79.417400000000001</c:v>
                </c:pt>
                <c:pt idx="357">
                  <c:v>84.692999999999998</c:v>
                </c:pt>
                <c:pt idx="358">
                  <c:v>80.273049999999998</c:v>
                </c:pt>
                <c:pt idx="359">
                  <c:v>92.24669999999999</c:v>
                </c:pt>
                <c:pt idx="360">
                  <c:v>92.960650000000001</c:v>
                </c:pt>
                <c:pt idx="361">
                  <c:v>96.950050000000005</c:v>
                </c:pt>
                <c:pt idx="362">
                  <c:v>94.099699999999999</c:v>
                </c:pt>
                <c:pt idx="363">
                  <c:v>99.51700000000001</c:v>
                </c:pt>
                <c:pt idx="364">
                  <c:v>102.5145</c:v>
                </c:pt>
                <c:pt idx="365">
                  <c:v>270.71428571428578</c:v>
                </c:pt>
                <c:pt idx="366">
                  <c:v>300.35714285714289</c:v>
                </c:pt>
                <c:pt idx="367">
                  <c:v>310.35714285714295</c:v>
                </c:pt>
                <c:pt idx="368">
                  <c:v>341.07142857142838</c:v>
                </c:pt>
                <c:pt idx="369">
                  <c:v>362.5</c:v>
                </c:pt>
                <c:pt idx="370">
                  <c:v>359.64285714285722</c:v>
                </c:pt>
                <c:pt idx="371">
                  <c:v>393.21428571428567</c:v>
                </c:pt>
                <c:pt idx="372">
                  <c:v>441.07142857142856</c:v>
                </c:pt>
                <c:pt idx="373">
                  <c:v>455.71428571428567</c:v>
                </c:pt>
                <c:pt idx="374">
                  <c:v>494.28571428571445</c:v>
                </c:pt>
                <c:pt idx="375">
                  <c:v>516.78571428571433</c:v>
                </c:pt>
                <c:pt idx="376">
                  <c:v>561.07142857142867</c:v>
                </c:pt>
                <c:pt idx="377">
                  <c:v>601.78571428571422</c:v>
                </c:pt>
                <c:pt idx="378">
                  <c:v>628.21428571428578</c:v>
                </c:pt>
                <c:pt idx="379">
                  <c:v>676.07142857142856</c:v>
                </c:pt>
                <c:pt idx="380">
                  <c:v>722.14285714285757</c:v>
                </c:pt>
                <c:pt idx="381">
                  <c:v>763.21428571428567</c:v>
                </c:pt>
                <c:pt idx="382">
                  <c:v>788.21428571428578</c:v>
                </c:pt>
                <c:pt idx="383">
                  <c:v>856.78571428571433</c:v>
                </c:pt>
                <c:pt idx="384">
                  <c:v>931.07142857142844</c:v>
                </c:pt>
                <c:pt idx="385">
                  <c:v>916.4285714285711</c:v>
                </c:pt>
                <c:pt idx="386">
                  <c:v>993.57142857142856</c:v>
                </c:pt>
                <c:pt idx="387">
                  <c:v>1054.2857142857144</c:v>
                </c:pt>
                <c:pt idx="388">
                  <c:v>1121.7857142857142</c:v>
                </c:pt>
                <c:pt idx="389">
                  <c:v>1146.785714285714</c:v>
                </c:pt>
                <c:pt idx="390">
                  <c:v>1214.2857142857144</c:v>
                </c:pt>
                <c:pt idx="391">
                  <c:v>1244.2857142857138</c:v>
                </c:pt>
                <c:pt idx="392">
                  <c:v>1249.9999999999998</c:v>
                </c:pt>
                <c:pt idx="393">
                  <c:v>1295.3571428571429</c:v>
                </c:pt>
                <c:pt idx="394">
                  <c:v>1336.7857142857147</c:v>
                </c:pt>
                <c:pt idx="395">
                  <c:v>1352.8571428571431</c:v>
                </c:pt>
                <c:pt idx="396">
                  <c:v>1392.8571428571424</c:v>
                </c:pt>
                <c:pt idx="397">
                  <c:v>1465.0000000000002</c:v>
                </c:pt>
                <c:pt idx="398">
                  <c:v>1515.7142857142856</c:v>
                </c:pt>
                <c:pt idx="399">
                  <c:v>1536.0714285714282</c:v>
                </c:pt>
                <c:pt idx="400">
                  <c:v>1559.2857142857144</c:v>
                </c:pt>
                <c:pt idx="401">
                  <c:v>1676.4285714285713</c:v>
                </c:pt>
                <c:pt idx="402">
                  <c:v>1643.571428571428</c:v>
                </c:pt>
                <c:pt idx="403">
                  <c:v>1650</c:v>
                </c:pt>
                <c:pt idx="404">
                  <c:v>1742.1428571428571</c:v>
                </c:pt>
                <c:pt idx="405">
                  <c:v>1775.3571428571429</c:v>
                </c:pt>
                <c:pt idx="406">
                  <c:v>1708.5714285714282</c:v>
                </c:pt>
                <c:pt idx="407">
                  <c:v>1760.3571428571429</c:v>
                </c:pt>
                <c:pt idx="408">
                  <c:v>1814.6428571428587</c:v>
                </c:pt>
                <c:pt idx="409">
                  <c:v>1744.285714285714</c:v>
                </c:pt>
                <c:pt idx="410">
                  <c:v>1799.6428571428567</c:v>
                </c:pt>
                <c:pt idx="411">
                  <c:v>1770.3571428571429</c:v>
                </c:pt>
                <c:pt idx="412">
                  <c:v>1807.8571428571431</c:v>
                </c:pt>
                <c:pt idx="413">
                  <c:v>1717.8571428571438</c:v>
                </c:pt>
                <c:pt idx="414">
                  <c:v>1695.3571428571433</c:v>
                </c:pt>
                <c:pt idx="415">
                  <c:v>1707.8571428571424</c:v>
                </c:pt>
                <c:pt idx="416">
                  <c:v>1716.785714285714</c:v>
                </c:pt>
                <c:pt idx="417">
                  <c:v>1680.3571428571433</c:v>
                </c:pt>
                <c:pt idx="418">
                  <c:v>1682.4999999999993</c:v>
                </c:pt>
                <c:pt idx="419">
                  <c:v>1681.7857142857149</c:v>
                </c:pt>
                <c:pt idx="420">
                  <c:v>1614.2857142857144</c:v>
                </c:pt>
                <c:pt idx="421">
                  <c:v>1591.4285714285713</c:v>
                </c:pt>
                <c:pt idx="422">
                  <c:v>1656.4285714285713</c:v>
                </c:pt>
                <c:pt idx="423">
                  <c:v>1561.0714285714282</c:v>
                </c:pt>
                <c:pt idx="424">
                  <c:v>1549.2857142857142</c:v>
                </c:pt>
                <c:pt idx="425">
                  <c:v>1517.5000000000009</c:v>
                </c:pt>
                <c:pt idx="426">
                  <c:v>1464.2857142857138</c:v>
                </c:pt>
                <c:pt idx="427">
                  <c:v>1412.8571428571424</c:v>
                </c:pt>
                <c:pt idx="428">
                  <c:v>1447.8571428571431</c:v>
                </c:pt>
                <c:pt idx="429">
                  <c:v>1380.7142857142862</c:v>
                </c:pt>
                <c:pt idx="430">
                  <c:v>1347.8571428571431</c:v>
                </c:pt>
                <c:pt idx="431">
                  <c:v>1286.0714285714289</c:v>
                </c:pt>
                <c:pt idx="432">
                  <c:v>1258.9285714285718</c:v>
                </c:pt>
                <c:pt idx="433">
                  <c:v>1271.4285714285716</c:v>
                </c:pt>
                <c:pt idx="434">
                  <c:v>1237.8571428571431</c:v>
                </c:pt>
                <c:pt idx="435">
                  <c:v>1223.9285714285713</c:v>
                </c:pt>
                <c:pt idx="436">
                  <c:v>1215.3571428571429</c:v>
                </c:pt>
                <c:pt idx="437">
                  <c:v>1157.5</c:v>
                </c:pt>
                <c:pt idx="438">
                  <c:v>1118.214285714286</c:v>
                </c:pt>
                <c:pt idx="439">
                  <c:v>1140.3571428571433</c:v>
                </c:pt>
                <c:pt idx="440">
                  <c:v>1083.5714285714287</c:v>
                </c:pt>
                <c:pt idx="441">
                  <c:v>1147.5000000000002</c:v>
                </c:pt>
                <c:pt idx="442">
                  <c:v>1131.4285714285713</c:v>
                </c:pt>
                <c:pt idx="443">
                  <c:v>1108.5714285714284</c:v>
                </c:pt>
                <c:pt idx="444">
                  <c:v>1109.6428571428571</c:v>
                </c:pt>
                <c:pt idx="445">
                  <c:v>1081.0714285714278</c:v>
                </c:pt>
                <c:pt idx="446">
                  <c:v>1096.0714285714284</c:v>
                </c:pt>
                <c:pt idx="447">
                  <c:v>1055.3571428571429</c:v>
                </c:pt>
                <c:pt idx="448">
                  <c:v>1119.2857142857144</c:v>
                </c:pt>
                <c:pt idx="449">
                  <c:v>1098.5714285714284</c:v>
                </c:pt>
                <c:pt idx="450">
                  <c:v>1084.6428571428573</c:v>
                </c:pt>
                <c:pt idx="451">
                  <c:v>1094.6428571428573</c:v>
                </c:pt>
                <c:pt idx="452">
                  <c:v>1078.5714285714289</c:v>
                </c:pt>
                <c:pt idx="453">
                  <c:v>1122.1428571428573</c:v>
                </c:pt>
                <c:pt idx="454">
                  <c:v>1055.7142857142858</c:v>
                </c:pt>
                <c:pt idx="455">
                  <c:v>1099.2857142857142</c:v>
                </c:pt>
                <c:pt idx="456">
                  <c:v>1139.6428571428571</c:v>
                </c:pt>
                <c:pt idx="457">
                  <c:v>1132.8571428571431</c:v>
                </c:pt>
                <c:pt idx="458">
                  <c:v>1108.5714285714289</c:v>
                </c:pt>
                <c:pt idx="459">
                  <c:v>1128.2142857142853</c:v>
                </c:pt>
                <c:pt idx="460">
                  <c:v>1124.6428571428571</c:v>
                </c:pt>
                <c:pt idx="461">
                  <c:v>1138.5714285714291</c:v>
                </c:pt>
                <c:pt idx="462">
                  <c:v>1125.7142857142865</c:v>
                </c:pt>
                <c:pt idx="463">
                  <c:v>1196.0714285714284</c:v>
                </c:pt>
                <c:pt idx="464">
                  <c:v>1132.8571428571433</c:v>
                </c:pt>
                <c:pt idx="465">
                  <c:v>1183.2142857142862</c:v>
                </c:pt>
                <c:pt idx="466">
                  <c:v>1201.4285714285711</c:v>
                </c:pt>
                <c:pt idx="467">
                  <c:v>1202.8571428571436</c:v>
                </c:pt>
                <c:pt idx="468">
                  <c:v>1187.1428571428564</c:v>
                </c:pt>
                <c:pt idx="469">
                  <c:v>1203.9285714285718</c:v>
                </c:pt>
                <c:pt idx="470">
                  <c:v>1120.7142857142853</c:v>
                </c:pt>
                <c:pt idx="471">
                  <c:v>1165.0000000000002</c:v>
                </c:pt>
                <c:pt idx="472">
                  <c:v>1150.0000000000002</c:v>
                </c:pt>
                <c:pt idx="473">
                  <c:v>1181.7857142857149</c:v>
                </c:pt>
                <c:pt idx="474">
                  <c:v>1129.6428571428571</c:v>
                </c:pt>
                <c:pt idx="475">
                  <c:v>1084.2857142857138</c:v>
                </c:pt>
                <c:pt idx="476">
                  <c:v>1086.428571428572</c:v>
                </c:pt>
                <c:pt idx="477">
                  <c:v>1060</c:v>
                </c:pt>
                <c:pt idx="478">
                  <c:v>1038.5714285714284</c:v>
                </c:pt>
                <c:pt idx="479">
                  <c:v>996.78571428571411</c:v>
                </c:pt>
                <c:pt idx="480">
                  <c:v>978.92857142857099</c:v>
                </c:pt>
                <c:pt idx="481">
                  <c:v>932.50000000000034</c:v>
                </c:pt>
                <c:pt idx="482">
                  <c:v>933.57142857142901</c:v>
                </c:pt>
                <c:pt idx="483">
                  <c:v>898.21428571428612</c:v>
                </c:pt>
                <c:pt idx="484">
                  <c:v>858.21428571428589</c:v>
                </c:pt>
                <c:pt idx="485">
                  <c:v>857.50000000000034</c:v>
                </c:pt>
                <c:pt idx="486">
                  <c:v>816.42857142857133</c:v>
                </c:pt>
                <c:pt idx="487">
                  <c:v>820</c:v>
                </c:pt>
                <c:pt idx="488">
                  <c:v>823</c:v>
                </c:pt>
                <c:pt idx="489">
                  <c:v>840</c:v>
                </c:pt>
                <c:pt idx="490">
                  <c:v>872.2</c:v>
                </c:pt>
                <c:pt idx="491">
                  <c:v>850</c:v>
                </c:pt>
                <c:pt idx="492">
                  <c:v>886.6</c:v>
                </c:pt>
                <c:pt idx="493">
                  <c:v>893.8</c:v>
                </c:pt>
                <c:pt idx="494">
                  <c:v>901</c:v>
                </c:pt>
                <c:pt idx="495">
                  <c:v>908.2</c:v>
                </c:pt>
                <c:pt idx="496">
                  <c:v>915.4</c:v>
                </c:pt>
                <c:pt idx="497">
                  <c:v>922.6</c:v>
                </c:pt>
                <c:pt idx="498">
                  <c:v>929.8</c:v>
                </c:pt>
                <c:pt idx="499">
                  <c:v>937</c:v>
                </c:pt>
                <c:pt idx="500">
                  <c:v>944.2</c:v>
                </c:pt>
                <c:pt idx="501">
                  <c:v>951.4</c:v>
                </c:pt>
                <c:pt idx="502">
                  <c:v>958.6</c:v>
                </c:pt>
                <c:pt idx="503">
                  <c:v>965.8</c:v>
                </c:pt>
                <c:pt idx="504">
                  <c:v>973</c:v>
                </c:pt>
                <c:pt idx="505">
                  <c:v>1058.2149999999999</c:v>
                </c:pt>
                <c:pt idx="506">
                  <c:v>980.21500000000003</c:v>
                </c:pt>
                <c:pt idx="507">
                  <c:v>947.43</c:v>
                </c:pt>
                <c:pt idx="508">
                  <c:v>880</c:v>
                </c:pt>
                <c:pt idx="509">
                  <c:v>844.21500000000003</c:v>
                </c:pt>
                <c:pt idx="510">
                  <c:v>939.35500000000002</c:v>
                </c:pt>
                <c:pt idx="511">
                  <c:v>903</c:v>
                </c:pt>
                <c:pt idx="512">
                  <c:v>880.21500000000003</c:v>
                </c:pt>
                <c:pt idx="513">
                  <c:v>901</c:v>
                </c:pt>
                <c:pt idx="514">
                  <c:v>870.35500000000002</c:v>
                </c:pt>
                <c:pt idx="515">
                  <c:v>927.21500000000003</c:v>
                </c:pt>
                <c:pt idx="516">
                  <c:v>972.78499999999997</c:v>
                </c:pt>
                <c:pt idx="517">
                  <c:v>959.78499999999997</c:v>
                </c:pt>
                <c:pt idx="518">
                  <c:v>952.14499999999998</c:v>
                </c:pt>
                <c:pt idx="519">
                  <c:v>962.64499999999998</c:v>
                </c:pt>
                <c:pt idx="520">
                  <c:v>959.57</c:v>
                </c:pt>
                <c:pt idx="521">
                  <c:v>962.57</c:v>
                </c:pt>
                <c:pt idx="522">
                  <c:v>966.07</c:v>
                </c:pt>
                <c:pt idx="523">
                  <c:v>970.28499999999997</c:v>
                </c:pt>
                <c:pt idx="524">
                  <c:v>958.07</c:v>
                </c:pt>
                <c:pt idx="525">
                  <c:v>980.43</c:v>
                </c:pt>
                <c:pt idx="526">
                  <c:v>979.5</c:v>
                </c:pt>
                <c:pt idx="527">
                  <c:v>1011.43</c:v>
                </c:pt>
                <c:pt idx="528">
                  <c:v>1040.7149999999999</c:v>
                </c:pt>
                <c:pt idx="529">
                  <c:v>1026.5</c:v>
                </c:pt>
                <c:pt idx="530">
                  <c:v>1032.855</c:v>
                </c:pt>
                <c:pt idx="531">
                  <c:v>1025.43</c:v>
                </c:pt>
                <c:pt idx="532">
                  <c:v>1012.215</c:v>
                </c:pt>
                <c:pt idx="533">
                  <c:v>992.07</c:v>
                </c:pt>
                <c:pt idx="534">
                  <c:v>991.28499999999997</c:v>
                </c:pt>
                <c:pt idx="535">
                  <c:v>996.14499999999998</c:v>
                </c:pt>
                <c:pt idx="536">
                  <c:v>989.14499999999998</c:v>
                </c:pt>
                <c:pt idx="537">
                  <c:v>1015.93</c:v>
                </c:pt>
                <c:pt idx="538">
                  <c:v>1032.93</c:v>
                </c:pt>
                <c:pt idx="539">
                  <c:v>1038.43</c:v>
                </c:pt>
                <c:pt idx="540">
                  <c:v>1078.145</c:v>
                </c:pt>
                <c:pt idx="541">
                  <c:v>1105.2149999999999</c:v>
                </c:pt>
                <c:pt idx="542">
                  <c:v>1096.855</c:v>
                </c:pt>
                <c:pt idx="543">
                  <c:v>1119.145</c:v>
                </c:pt>
                <c:pt idx="544">
                  <c:v>1129.355</c:v>
                </c:pt>
                <c:pt idx="545">
                  <c:v>1138.57</c:v>
                </c:pt>
                <c:pt idx="546">
                  <c:v>1152.355</c:v>
                </c:pt>
                <c:pt idx="547">
                  <c:v>1158</c:v>
                </c:pt>
                <c:pt idx="548">
                  <c:v>1144.43</c:v>
                </c:pt>
                <c:pt idx="549">
                  <c:v>1170.2850000000001</c:v>
                </c:pt>
                <c:pt idx="550">
                  <c:v>1154.43</c:v>
                </c:pt>
                <c:pt idx="551">
                  <c:v>1131.145</c:v>
                </c:pt>
                <c:pt idx="552">
                  <c:v>1093.355</c:v>
                </c:pt>
                <c:pt idx="553">
                  <c:v>1061.5</c:v>
                </c:pt>
                <c:pt idx="554">
                  <c:v>1070.7850000000001</c:v>
                </c:pt>
                <c:pt idx="555">
                  <c:v>1088.145</c:v>
                </c:pt>
                <c:pt idx="556">
                  <c:v>1029.43</c:v>
                </c:pt>
                <c:pt idx="557">
                  <c:v>1020.715</c:v>
                </c:pt>
                <c:pt idx="558">
                  <c:v>1009.355</c:v>
                </c:pt>
                <c:pt idx="559">
                  <c:v>1008.07</c:v>
                </c:pt>
                <c:pt idx="560">
                  <c:v>1012.43</c:v>
                </c:pt>
                <c:pt idx="561">
                  <c:v>967.5</c:v>
                </c:pt>
                <c:pt idx="562">
                  <c:v>916.93</c:v>
                </c:pt>
                <c:pt idx="563">
                  <c:v>921.35500000000002</c:v>
                </c:pt>
                <c:pt idx="564">
                  <c:v>876.93</c:v>
                </c:pt>
                <c:pt idx="565">
                  <c:v>836.35500000000002</c:v>
                </c:pt>
                <c:pt idx="566">
                  <c:v>811.85500000000002</c:v>
                </c:pt>
                <c:pt idx="567">
                  <c:v>807.85500000000002</c:v>
                </c:pt>
                <c:pt idx="568">
                  <c:v>786.64499999999998</c:v>
                </c:pt>
                <c:pt idx="569">
                  <c:v>721.28499999999997</c:v>
                </c:pt>
                <c:pt idx="570">
                  <c:v>693.71500000000003</c:v>
                </c:pt>
                <c:pt idx="571">
                  <c:v>664.64499999999998</c:v>
                </c:pt>
                <c:pt idx="572">
                  <c:v>645.78499999999997</c:v>
                </c:pt>
                <c:pt idx="573">
                  <c:v>645.78499999999997</c:v>
                </c:pt>
                <c:pt idx="574">
                  <c:v>631.78499999999997</c:v>
                </c:pt>
                <c:pt idx="575">
                  <c:v>627.07000000000005</c:v>
                </c:pt>
                <c:pt idx="576">
                  <c:v>618.35500000000002</c:v>
                </c:pt>
                <c:pt idx="577">
                  <c:v>593.35500000000002</c:v>
                </c:pt>
                <c:pt idx="578">
                  <c:v>601.42999999999995</c:v>
                </c:pt>
                <c:pt idx="579">
                  <c:v>545.5</c:v>
                </c:pt>
                <c:pt idx="580">
                  <c:v>523.71500000000003</c:v>
                </c:pt>
                <c:pt idx="581">
                  <c:v>520.35500000000002</c:v>
                </c:pt>
                <c:pt idx="582">
                  <c:v>457.35500000000002</c:v>
                </c:pt>
                <c:pt idx="583">
                  <c:v>407.78500000000003</c:v>
                </c:pt>
                <c:pt idx="584">
                  <c:v>427.21499999999997</c:v>
                </c:pt>
                <c:pt idx="585">
                  <c:v>394.21499999999997</c:v>
                </c:pt>
                <c:pt idx="586">
                  <c:v>417.93</c:v>
                </c:pt>
                <c:pt idx="587">
                  <c:v>415.71499999999997</c:v>
                </c:pt>
                <c:pt idx="588">
                  <c:v>412</c:v>
                </c:pt>
                <c:pt idx="589">
                  <c:v>450.35500000000002</c:v>
                </c:pt>
                <c:pt idx="590">
                  <c:v>443.78500000000003</c:v>
                </c:pt>
                <c:pt idx="591">
                  <c:v>391.43</c:v>
                </c:pt>
                <c:pt idx="592">
                  <c:v>370.93</c:v>
                </c:pt>
                <c:pt idx="593">
                  <c:v>347.35500000000002</c:v>
                </c:pt>
                <c:pt idx="594">
                  <c:v>350.85500000000002</c:v>
                </c:pt>
                <c:pt idx="595">
                  <c:v>349.93</c:v>
                </c:pt>
                <c:pt idx="596">
                  <c:v>333.64499999999998</c:v>
                </c:pt>
                <c:pt idx="597">
                  <c:v>311.85500000000002</c:v>
                </c:pt>
                <c:pt idx="598">
                  <c:v>300</c:v>
                </c:pt>
                <c:pt idx="599">
                  <c:v>289.21499999999997</c:v>
                </c:pt>
                <c:pt idx="600">
                  <c:v>295.71499999999997</c:v>
                </c:pt>
                <c:pt idx="601">
                  <c:v>281.21499999999997</c:v>
                </c:pt>
                <c:pt idx="602">
                  <c:v>281.64499999999998</c:v>
                </c:pt>
                <c:pt idx="603">
                  <c:v>270.64499999999998</c:v>
                </c:pt>
                <c:pt idx="604">
                  <c:v>264.78500000000003</c:v>
                </c:pt>
                <c:pt idx="605">
                  <c:v>256.71499999999997</c:v>
                </c:pt>
                <c:pt idx="606">
                  <c:v>255.43</c:v>
                </c:pt>
                <c:pt idx="607">
                  <c:v>231.715</c:v>
                </c:pt>
                <c:pt idx="608">
                  <c:v>227.64500000000001</c:v>
                </c:pt>
                <c:pt idx="609">
                  <c:v>229.85499999999999</c:v>
                </c:pt>
                <c:pt idx="610">
                  <c:v>222.215</c:v>
                </c:pt>
                <c:pt idx="611">
                  <c:v>224.07</c:v>
                </c:pt>
                <c:pt idx="612">
                  <c:v>208.285</c:v>
                </c:pt>
                <c:pt idx="613">
                  <c:v>200.785</c:v>
                </c:pt>
                <c:pt idx="614">
                  <c:v>191.07</c:v>
                </c:pt>
                <c:pt idx="615">
                  <c:v>169.785</c:v>
                </c:pt>
                <c:pt idx="616">
                  <c:v>182.715</c:v>
                </c:pt>
                <c:pt idx="617">
                  <c:v>180.5</c:v>
                </c:pt>
                <c:pt idx="618">
                  <c:v>158.785</c:v>
                </c:pt>
                <c:pt idx="619">
                  <c:v>157.715</c:v>
                </c:pt>
                <c:pt idx="620">
                  <c:v>152.85499999999999</c:v>
                </c:pt>
                <c:pt idx="621">
                  <c:v>144.64500000000001</c:v>
                </c:pt>
                <c:pt idx="622">
                  <c:v>146.285</c:v>
                </c:pt>
                <c:pt idx="623">
                  <c:v>133.785</c:v>
                </c:pt>
                <c:pt idx="624">
                  <c:v>125.43</c:v>
                </c:pt>
                <c:pt idx="625">
                  <c:v>114.145</c:v>
                </c:pt>
                <c:pt idx="626">
                  <c:v>108.785</c:v>
                </c:pt>
                <c:pt idx="627">
                  <c:v>97.644999999999996</c:v>
                </c:pt>
                <c:pt idx="628">
                  <c:v>92.784999999999997</c:v>
                </c:pt>
                <c:pt idx="629">
                  <c:v>93.715000000000003</c:v>
                </c:pt>
                <c:pt idx="630">
                  <c:v>85.355000000000004</c:v>
                </c:pt>
                <c:pt idx="631">
                  <c:v>78.144999999999996</c:v>
                </c:pt>
                <c:pt idx="632">
                  <c:v>74.144999999999996</c:v>
                </c:pt>
                <c:pt idx="633">
                  <c:v>68.069999999999993</c:v>
                </c:pt>
                <c:pt idx="634">
                  <c:v>65.069999999999993</c:v>
                </c:pt>
                <c:pt idx="635">
                  <c:v>51.5</c:v>
                </c:pt>
                <c:pt idx="636">
                  <c:v>61.07</c:v>
                </c:pt>
                <c:pt idx="637">
                  <c:v>61.93</c:v>
                </c:pt>
                <c:pt idx="638">
                  <c:v>62.854999999999997</c:v>
                </c:pt>
                <c:pt idx="639">
                  <c:v>58.145000000000003</c:v>
                </c:pt>
                <c:pt idx="640">
                  <c:v>56.07</c:v>
                </c:pt>
                <c:pt idx="641">
                  <c:v>55.93</c:v>
                </c:pt>
                <c:pt idx="642">
                  <c:v>64.284999999999997</c:v>
                </c:pt>
                <c:pt idx="643">
                  <c:v>53.284999999999997</c:v>
                </c:pt>
                <c:pt idx="644">
                  <c:v>52.145000000000003</c:v>
                </c:pt>
                <c:pt idx="645">
                  <c:v>48.57</c:v>
                </c:pt>
                <c:pt idx="646">
                  <c:v>50.215000000000003</c:v>
                </c:pt>
                <c:pt idx="647">
                  <c:v>48.57</c:v>
                </c:pt>
                <c:pt idx="648">
                  <c:v>47.854999999999997</c:v>
                </c:pt>
                <c:pt idx="649">
                  <c:v>46</c:v>
                </c:pt>
                <c:pt idx="650">
                  <c:v>42.145000000000003</c:v>
                </c:pt>
                <c:pt idx="651">
                  <c:v>41.93</c:v>
                </c:pt>
                <c:pt idx="652">
                  <c:v>38.645000000000003</c:v>
                </c:pt>
                <c:pt idx="653">
                  <c:v>32.57</c:v>
                </c:pt>
                <c:pt idx="654">
                  <c:v>28.645</c:v>
                </c:pt>
                <c:pt idx="655">
                  <c:v>25.355</c:v>
                </c:pt>
                <c:pt idx="656">
                  <c:v>18.855</c:v>
                </c:pt>
                <c:pt idx="657">
                  <c:v>15.855</c:v>
                </c:pt>
                <c:pt idx="658">
                  <c:v>20.57</c:v>
                </c:pt>
                <c:pt idx="659">
                  <c:v>21.285</c:v>
                </c:pt>
                <c:pt idx="660">
                  <c:v>19.355</c:v>
                </c:pt>
                <c:pt idx="661">
                  <c:v>17.57</c:v>
                </c:pt>
                <c:pt idx="662">
                  <c:v>17.285</c:v>
                </c:pt>
                <c:pt idx="663">
                  <c:v>20.215</c:v>
                </c:pt>
                <c:pt idx="664">
                  <c:v>21.645</c:v>
                </c:pt>
                <c:pt idx="665">
                  <c:v>17.145</c:v>
                </c:pt>
                <c:pt idx="666">
                  <c:v>16</c:v>
                </c:pt>
                <c:pt idx="667">
                  <c:v>15.855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7E5-BBFB-5587812B5EA9}"/>
            </c:ext>
          </c:extLst>
        </c:ser>
        <c:ser>
          <c:idx val="1"/>
          <c:order val="1"/>
          <c:tx>
            <c:strRef>
              <c:f>'Graf 9+10'!$M$9</c:f>
              <c:strCache>
                <c:ptCount val="1"/>
                <c:pt idx="0">
                  <c:v>Reported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val>
            <c:numRef>
              <c:f>'Graf 9+10'!$N$9:$OU$9</c:f>
              <c:numCache>
                <c:formatCode>0</c:formatCode>
                <c:ptCount val="398"/>
                <c:pt idx="0">
                  <c:v>76.561599999999999</c:v>
                </c:pt>
                <c:pt idx="1">
                  <c:v>72.141649999999998</c:v>
                </c:pt>
                <c:pt idx="2">
                  <c:v>76.561599999999999</c:v>
                </c:pt>
                <c:pt idx="3">
                  <c:v>81.55380000000001</c:v>
                </c:pt>
                <c:pt idx="4">
                  <c:v>97.522299999999987</c:v>
                </c:pt>
                <c:pt idx="5">
                  <c:v>105.22314999999999</c:v>
                </c:pt>
                <c:pt idx="6">
                  <c:v>102.5145</c:v>
                </c:pt>
                <c:pt idx="7">
                  <c:v>105.22314999999999</c:v>
                </c:pt>
                <c:pt idx="8">
                  <c:v>120.61940000000001</c:v>
                </c:pt>
                <c:pt idx="9">
                  <c:v>128.74535</c:v>
                </c:pt>
                <c:pt idx="10">
                  <c:v>135.73225000000002</c:v>
                </c:pt>
                <c:pt idx="11">
                  <c:v>132.16795000000002</c:v>
                </c:pt>
                <c:pt idx="12">
                  <c:v>130.88720000000001</c:v>
                </c:pt>
                <c:pt idx="13">
                  <c:v>134.59320000000002</c:v>
                </c:pt>
                <c:pt idx="14">
                  <c:v>148.41985</c:v>
                </c:pt>
                <c:pt idx="15">
                  <c:v>138.58260000000001</c:v>
                </c:pt>
                <c:pt idx="16">
                  <c:v>136.1628</c:v>
                </c:pt>
                <c:pt idx="17">
                  <c:v>143.14425</c:v>
                </c:pt>
                <c:pt idx="18">
                  <c:v>155.8373</c:v>
                </c:pt>
                <c:pt idx="19">
                  <c:v>163.24930000000001</c:v>
                </c:pt>
                <c:pt idx="20">
                  <c:v>167.66925000000001</c:v>
                </c:pt>
                <c:pt idx="21">
                  <c:v>165.81625</c:v>
                </c:pt>
                <c:pt idx="22">
                  <c:v>200.89245</c:v>
                </c:pt>
                <c:pt idx="23">
                  <c:v>229.26515000000001</c:v>
                </c:pt>
                <c:pt idx="24">
                  <c:v>255.49600000000001</c:v>
                </c:pt>
                <c:pt idx="25">
                  <c:v>292.8503</c:v>
                </c:pt>
                <c:pt idx="26">
                  <c:v>342.3254</c:v>
                </c:pt>
                <c:pt idx="27">
                  <c:v>368.8451</c:v>
                </c:pt>
                <c:pt idx="28">
                  <c:v>376.82935000000003</c:v>
                </c:pt>
                <c:pt idx="29">
                  <c:v>409.4803</c:v>
                </c:pt>
                <c:pt idx="30">
                  <c:v>471.78470000000004</c:v>
                </c:pt>
                <c:pt idx="31">
                  <c:v>508.85559999999998</c:v>
                </c:pt>
                <c:pt idx="32">
                  <c:v>530.52480000000003</c:v>
                </c:pt>
                <c:pt idx="33">
                  <c:v>579.00255000000004</c:v>
                </c:pt>
                <c:pt idx="34">
                  <c:v>591.54845</c:v>
                </c:pt>
                <c:pt idx="35">
                  <c:v>604.24150000000009</c:v>
                </c:pt>
                <c:pt idx="36">
                  <c:v>648.43555000000003</c:v>
                </c:pt>
                <c:pt idx="37">
                  <c:v>682.65610000000004</c:v>
                </c:pt>
                <c:pt idx="38">
                  <c:v>754.65604999999994</c:v>
                </c:pt>
                <c:pt idx="39">
                  <c:v>923.32810000000006</c:v>
                </c:pt>
                <c:pt idx="40">
                  <c:v>956.97640000000013</c:v>
                </c:pt>
                <c:pt idx="41">
                  <c:v>978.50390000000004</c:v>
                </c:pt>
                <c:pt idx="42">
                  <c:v>1008.5879000000001</c:v>
                </c:pt>
                <c:pt idx="43">
                  <c:v>1084.57725</c:v>
                </c:pt>
                <c:pt idx="44">
                  <c:v>1211.75845</c:v>
                </c:pt>
                <c:pt idx="45">
                  <c:v>1338.7925</c:v>
                </c:pt>
                <c:pt idx="46">
                  <c:v>1350.34105</c:v>
                </c:pt>
                <c:pt idx="47">
                  <c:v>1423.4855</c:v>
                </c:pt>
                <c:pt idx="48">
                  <c:v>1474.24135</c:v>
                </c:pt>
                <c:pt idx="49">
                  <c:v>1499.0497500000001</c:v>
                </c:pt>
                <c:pt idx="50">
                  <c:v>1611.9683</c:v>
                </c:pt>
                <c:pt idx="51">
                  <c:v>1583.3122000000001</c:v>
                </c:pt>
                <c:pt idx="52">
                  <c:v>1655.4538499999999</c:v>
                </c:pt>
                <c:pt idx="53">
                  <c:v>1786.9133000000002</c:v>
                </c:pt>
                <c:pt idx="54">
                  <c:v>1997.2124500000002</c:v>
                </c:pt>
                <c:pt idx="55">
                  <c:v>2061.6587</c:v>
                </c:pt>
                <c:pt idx="56">
                  <c:v>2089.6008500000003</c:v>
                </c:pt>
                <c:pt idx="57">
                  <c:v>2187.26485</c:v>
                </c:pt>
                <c:pt idx="58">
                  <c:v>2337.9682500000004</c:v>
                </c:pt>
                <c:pt idx="59">
                  <c:v>2449.4643500000002</c:v>
                </c:pt>
                <c:pt idx="60">
                  <c:v>2404.2674999999999</c:v>
                </c:pt>
                <c:pt idx="61">
                  <c:v>2295.9105999999997</c:v>
                </c:pt>
                <c:pt idx="62">
                  <c:v>2377.3227000000002</c:v>
                </c:pt>
                <c:pt idx="63">
                  <c:v>2495.09175</c:v>
                </c:pt>
                <c:pt idx="64">
                  <c:v>2541.9944500000001</c:v>
                </c:pt>
                <c:pt idx="65">
                  <c:v>2424.6559500000003</c:v>
                </c:pt>
                <c:pt idx="66">
                  <c:v>2280.7977500000002</c:v>
                </c:pt>
                <c:pt idx="67">
                  <c:v>2281.6534000000001</c:v>
                </c:pt>
                <c:pt idx="68">
                  <c:v>2216.9237499999999</c:v>
                </c:pt>
                <c:pt idx="69">
                  <c:v>2030.7190499999999</c:v>
                </c:pt>
                <c:pt idx="70">
                  <c:v>1934.3357999999998</c:v>
                </c:pt>
                <c:pt idx="71">
                  <c:v>1769.2335</c:v>
                </c:pt>
                <c:pt idx="72">
                  <c:v>1858.9132500000001</c:v>
                </c:pt>
                <c:pt idx="73">
                  <c:v>1811.8634</c:v>
                </c:pt>
                <c:pt idx="74">
                  <c:v>1696.6613000000002</c:v>
                </c:pt>
                <c:pt idx="75">
                  <c:v>1607.1232500000001</c:v>
                </c:pt>
                <c:pt idx="76">
                  <c:v>1597.4277</c:v>
                </c:pt>
                <c:pt idx="77">
                  <c:v>1636.6350000000002</c:v>
                </c:pt>
                <c:pt idx="78">
                  <c:v>1530.1311000000001</c:v>
                </c:pt>
                <c:pt idx="79">
                  <c:v>1398.1048500000002</c:v>
                </c:pt>
                <c:pt idx="80">
                  <c:v>1368.7348000000002</c:v>
                </c:pt>
                <c:pt idx="81">
                  <c:v>1381.5641000000001</c:v>
                </c:pt>
                <c:pt idx="82">
                  <c:v>1350.7716</c:v>
                </c:pt>
                <c:pt idx="83">
                  <c:v>1311.13375</c:v>
                </c:pt>
                <c:pt idx="84">
                  <c:v>1267.6482000000001</c:v>
                </c:pt>
                <c:pt idx="85">
                  <c:v>1338.9341999999999</c:v>
                </c:pt>
                <c:pt idx="86">
                  <c:v>1379.9999500000001</c:v>
                </c:pt>
                <c:pt idx="87">
                  <c:v>1384.4199000000001</c:v>
                </c:pt>
                <c:pt idx="88">
                  <c:v>1336.6561000000002</c:v>
                </c:pt>
                <c:pt idx="89">
                  <c:v>1353.3385499999999</c:v>
                </c:pt>
                <c:pt idx="90">
                  <c:v>1348.34635</c:v>
                </c:pt>
                <c:pt idx="91">
                  <c:v>1381.5641000000001</c:v>
                </c:pt>
                <c:pt idx="92">
                  <c:v>1414.6456000000001</c:v>
                </c:pt>
                <c:pt idx="93">
                  <c:v>1418.7767000000001</c:v>
                </c:pt>
                <c:pt idx="94">
                  <c:v>1466.5404999999998</c:v>
                </c:pt>
                <c:pt idx="95">
                  <c:v>1544.1049</c:v>
                </c:pt>
                <c:pt idx="96">
                  <c:v>1568.05765</c:v>
                </c:pt>
                <c:pt idx="97">
                  <c:v>1618.8135</c:v>
                </c:pt>
                <c:pt idx="98">
                  <c:v>1717.9054000000001</c:v>
                </c:pt>
                <c:pt idx="99">
                  <c:v>1792.1888999999999</c:v>
                </c:pt>
                <c:pt idx="100">
                  <c:v>1955.1548000000003</c:v>
                </c:pt>
                <c:pt idx="101">
                  <c:v>1952.5878500000001</c:v>
                </c:pt>
                <c:pt idx="102">
                  <c:v>2185.9841000000001</c:v>
                </c:pt>
                <c:pt idx="103">
                  <c:v>2317.2964000000002</c:v>
                </c:pt>
                <c:pt idx="104">
                  <c:v>2310.5929000000001</c:v>
                </c:pt>
                <c:pt idx="105">
                  <c:v>2322.7136999999998</c:v>
                </c:pt>
                <c:pt idx="106">
                  <c:v>2465.4328500000001</c:v>
                </c:pt>
                <c:pt idx="107">
                  <c:v>2454.0259999999998</c:v>
                </c:pt>
                <c:pt idx="108">
                  <c:v>2714.2308000000003</c:v>
                </c:pt>
                <c:pt idx="109">
                  <c:v>2634.9551000000001</c:v>
                </c:pt>
                <c:pt idx="110">
                  <c:v>2616.5668000000001</c:v>
                </c:pt>
                <c:pt idx="111">
                  <c:v>2718.3618999999999</c:v>
                </c:pt>
                <c:pt idx="112">
                  <c:v>2808.0471000000002</c:v>
                </c:pt>
                <c:pt idx="113">
                  <c:v>2825.4380499999997</c:v>
                </c:pt>
                <c:pt idx="114">
                  <c:v>2770.1205500000001</c:v>
                </c:pt>
                <c:pt idx="115">
                  <c:v>2777.9631000000004</c:v>
                </c:pt>
                <c:pt idx="116">
                  <c:v>2477.1230999999998</c:v>
                </c:pt>
                <c:pt idx="117">
                  <c:v>2307.8842500000001</c:v>
                </c:pt>
                <c:pt idx="118">
                  <c:v>2215.21245</c:v>
                </c:pt>
                <c:pt idx="119">
                  <c:v>2134.2309</c:v>
                </c:pt>
                <c:pt idx="120">
                  <c:v>2042.1259</c:v>
                </c:pt>
                <c:pt idx="121">
                  <c:v>2563.6691000000001</c:v>
                </c:pt>
                <c:pt idx="122">
                  <c:v>2694.6979999999999</c:v>
                </c:pt>
                <c:pt idx="123">
                  <c:v>2793.7898999999998</c:v>
                </c:pt>
                <c:pt idx="124">
                  <c:v>2842.9761500000004</c:v>
                </c:pt>
                <c:pt idx="125">
                  <c:v>2852.5299999999997</c:v>
                </c:pt>
                <c:pt idx="126">
                  <c:v>2979.9946</c:v>
                </c:pt>
                <c:pt idx="127">
                  <c:v>3253.4538000000002</c:v>
                </c:pt>
                <c:pt idx="128">
                  <c:v>2657.7687999999998</c:v>
                </c:pt>
                <c:pt idx="129">
                  <c:v>2374.7557500000003</c:v>
                </c:pt>
                <c:pt idx="130">
                  <c:v>2707.8161500000001</c:v>
                </c:pt>
                <c:pt idx="131">
                  <c:v>2957.8948499999997</c:v>
                </c:pt>
                <c:pt idx="132">
                  <c:v>2989.83185</c:v>
                </c:pt>
                <c:pt idx="133">
                  <c:v>2907.2807000000003</c:v>
                </c:pt>
                <c:pt idx="134">
                  <c:v>2710.0942500000001</c:v>
                </c:pt>
                <c:pt idx="135">
                  <c:v>2822.1626000000001</c:v>
                </c:pt>
                <c:pt idx="136">
                  <c:v>2786.3724500000003</c:v>
                </c:pt>
                <c:pt idx="137">
                  <c:v>2497.36985</c:v>
                </c:pt>
                <c:pt idx="138">
                  <c:v>2155.18615</c:v>
                </c:pt>
                <c:pt idx="139">
                  <c:v>2183.70055</c:v>
                </c:pt>
                <c:pt idx="140">
                  <c:v>2112.2728499999998</c:v>
                </c:pt>
                <c:pt idx="141">
                  <c:v>1956.57725</c:v>
                </c:pt>
                <c:pt idx="142">
                  <c:v>1891.1336500000002</c:v>
                </c:pt>
                <c:pt idx="143">
                  <c:v>1756.54045</c:v>
                </c:pt>
                <c:pt idx="144">
                  <c:v>1685.11275</c:v>
                </c:pt>
                <c:pt idx="145">
                  <c:v>1875.0234500000001</c:v>
                </c:pt>
                <c:pt idx="146">
                  <c:v>1802.4512500000001</c:v>
                </c:pt>
                <c:pt idx="147">
                  <c:v>1756.971</c:v>
                </c:pt>
                <c:pt idx="148">
                  <c:v>1798.4618500000001</c:v>
                </c:pt>
                <c:pt idx="149">
                  <c:v>1737.2964999999999</c:v>
                </c:pt>
                <c:pt idx="150">
                  <c:v>1850.7873</c:v>
                </c:pt>
                <c:pt idx="151">
                  <c:v>1941.7478000000001</c:v>
                </c:pt>
                <c:pt idx="152">
                  <c:v>1915.8003500000002</c:v>
                </c:pt>
                <c:pt idx="153">
                  <c:v>1900.5458000000001</c:v>
                </c:pt>
                <c:pt idx="154">
                  <c:v>1921.5065</c:v>
                </c:pt>
                <c:pt idx="155">
                  <c:v>1915.3752500000001</c:v>
                </c:pt>
                <c:pt idx="156">
                  <c:v>1921.3593500000002</c:v>
                </c:pt>
                <c:pt idx="157">
                  <c:v>1928.3462500000001</c:v>
                </c:pt>
                <c:pt idx="158">
                  <c:v>1936.7610500000003</c:v>
                </c:pt>
                <c:pt idx="159">
                  <c:v>1912.3777499999999</c:v>
                </c:pt>
                <c:pt idx="160">
                  <c:v>1957.0078000000001</c:v>
                </c:pt>
                <c:pt idx="161">
                  <c:v>1955.1548000000003</c:v>
                </c:pt>
                <c:pt idx="162">
                  <c:v>2018.88165</c:v>
                </c:pt>
                <c:pt idx="163">
                  <c:v>2077.33835</c:v>
                </c:pt>
                <c:pt idx="164">
                  <c:v>2048.9656500000001</c:v>
                </c:pt>
                <c:pt idx="165">
                  <c:v>2061.6587</c:v>
                </c:pt>
                <c:pt idx="166">
                  <c:v>2046.82925</c:v>
                </c:pt>
                <c:pt idx="167">
                  <c:v>2020.4512500000003</c:v>
                </c:pt>
                <c:pt idx="168">
                  <c:v>1980.2466000000002</c:v>
                </c:pt>
                <c:pt idx="169">
                  <c:v>1978.6770000000001</c:v>
                </c:pt>
                <c:pt idx="170">
                  <c:v>1988.37255</c:v>
                </c:pt>
                <c:pt idx="171">
                  <c:v>1974.3987499999998</c:v>
                </c:pt>
                <c:pt idx="172">
                  <c:v>2027.8687000000002</c:v>
                </c:pt>
                <c:pt idx="173">
                  <c:v>2061.8004000000001</c:v>
                </c:pt>
                <c:pt idx="174">
                  <c:v>2072.7767000000003</c:v>
                </c:pt>
                <c:pt idx="175">
                  <c:v>2152.0524</c:v>
                </c:pt>
                <c:pt idx="176">
                  <c:v>2206.0891499999998</c:v>
                </c:pt>
                <c:pt idx="177">
                  <c:v>2189.4067</c:v>
                </c:pt>
                <c:pt idx="178">
                  <c:v>2233.8896</c:v>
                </c:pt>
                <c:pt idx="179">
                  <c:v>2254.2780500000003</c:v>
                </c:pt>
                <c:pt idx="180">
                  <c:v>2272.6718000000001</c:v>
                </c:pt>
                <c:pt idx="181">
                  <c:v>2300.18885</c:v>
                </c:pt>
                <c:pt idx="182">
                  <c:v>2311.4485500000001</c:v>
                </c:pt>
                <c:pt idx="183">
                  <c:v>2284.3620500000002</c:v>
                </c:pt>
                <c:pt idx="184">
                  <c:v>2335.9735500000002</c:v>
                </c:pt>
                <c:pt idx="185">
                  <c:v>2304.3199500000001</c:v>
                </c:pt>
                <c:pt idx="186">
                  <c:v>2257.8423500000004</c:v>
                </c:pt>
                <c:pt idx="187">
                  <c:v>2182.4198000000001</c:v>
                </c:pt>
                <c:pt idx="188">
                  <c:v>2118.8292000000001</c:v>
                </c:pt>
                <c:pt idx="189">
                  <c:v>2137.36465</c:v>
                </c:pt>
                <c:pt idx="190">
                  <c:v>2172.0102999999999</c:v>
                </c:pt>
                <c:pt idx="191">
                  <c:v>2054.8134999999997</c:v>
                </c:pt>
                <c:pt idx="192">
                  <c:v>2037.4171000000001</c:v>
                </c:pt>
                <c:pt idx="193">
                  <c:v>2014.75055</c:v>
                </c:pt>
                <c:pt idx="194">
                  <c:v>2012.1836000000003</c:v>
                </c:pt>
                <c:pt idx="195">
                  <c:v>2020.8817999999999</c:v>
                </c:pt>
                <c:pt idx="196">
                  <c:v>1931.1966000000002</c:v>
                </c:pt>
                <c:pt idx="197">
                  <c:v>1830.2571500000001</c:v>
                </c:pt>
                <c:pt idx="198">
                  <c:v>1839.0970500000001</c:v>
                </c:pt>
                <c:pt idx="199">
                  <c:v>1750.4146500000002</c:v>
                </c:pt>
                <c:pt idx="200">
                  <c:v>1669.4276500000001</c:v>
                </c:pt>
                <c:pt idx="201">
                  <c:v>1620.5247999999999</c:v>
                </c:pt>
                <c:pt idx="202">
                  <c:v>1612.5405500000002</c:v>
                </c:pt>
                <c:pt idx="203">
                  <c:v>1570.1940499999998</c:v>
                </c:pt>
                <c:pt idx="204">
                  <c:v>1439.7374000000002</c:v>
                </c:pt>
                <c:pt idx="205">
                  <c:v>1384.7033000000001</c:v>
                </c:pt>
                <c:pt idx="206">
                  <c:v>1326.67715</c:v>
                </c:pt>
                <c:pt idx="207">
                  <c:v>1289.0340000000001</c:v>
                </c:pt>
                <c:pt idx="208">
                  <c:v>1289.0340000000001</c:v>
                </c:pt>
                <c:pt idx="209">
                  <c:v>1261.09185</c:v>
                </c:pt>
                <c:pt idx="210">
                  <c:v>1251.6796999999999</c:v>
                </c:pt>
                <c:pt idx="211">
                  <c:v>1234.2833000000001</c:v>
                </c:pt>
                <c:pt idx="212">
                  <c:v>1184.3831</c:v>
                </c:pt>
                <c:pt idx="213">
                  <c:v>1200.4933000000001</c:v>
                </c:pt>
                <c:pt idx="214">
                  <c:v>1088.8554999999999</c:v>
                </c:pt>
                <c:pt idx="215">
                  <c:v>1045.36995</c:v>
                </c:pt>
                <c:pt idx="216">
                  <c:v>1038.6719000000001</c:v>
                </c:pt>
                <c:pt idx="217">
                  <c:v>912.91860000000008</c:v>
                </c:pt>
                <c:pt idx="218">
                  <c:v>813.96840000000009</c:v>
                </c:pt>
                <c:pt idx="219">
                  <c:v>852.75059999999996</c:v>
                </c:pt>
                <c:pt idx="220">
                  <c:v>786.88190000000009</c:v>
                </c:pt>
                <c:pt idx="221">
                  <c:v>834.21515000000011</c:v>
                </c:pt>
                <c:pt idx="222">
                  <c:v>829.79520000000002</c:v>
                </c:pt>
                <c:pt idx="223">
                  <c:v>822.38319999999999</c:v>
                </c:pt>
                <c:pt idx="224">
                  <c:v>898.94479999999999</c:v>
                </c:pt>
                <c:pt idx="225">
                  <c:v>885.82665000000009</c:v>
                </c:pt>
                <c:pt idx="226">
                  <c:v>781.31745000000001</c:v>
                </c:pt>
                <c:pt idx="227">
                  <c:v>740.39885000000004</c:v>
                </c:pt>
                <c:pt idx="228">
                  <c:v>693.34900000000005</c:v>
                </c:pt>
                <c:pt idx="229">
                  <c:v>700.33590000000004</c:v>
                </c:pt>
                <c:pt idx="230">
                  <c:v>698.48290000000009</c:v>
                </c:pt>
                <c:pt idx="231">
                  <c:v>665.97365000000002</c:v>
                </c:pt>
                <c:pt idx="232">
                  <c:v>622.48810000000003</c:v>
                </c:pt>
                <c:pt idx="233">
                  <c:v>598.82420000000002</c:v>
                </c:pt>
                <c:pt idx="234">
                  <c:v>577.29124999999999</c:v>
                </c:pt>
                <c:pt idx="235">
                  <c:v>590.26769999999999</c:v>
                </c:pt>
                <c:pt idx="236">
                  <c:v>561.32275000000004</c:v>
                </c:pt>
                <c:pt idx="237">
                  <c:v>562.17840000000001</c:v>
                </c:pt>
                <c:pt idx="238">
                  <c:v>540.22035000000005</c:v>
                </c:pt>
                <c:pt idx="239">
                  <c:v>528.53009999999995</c:v>
                </c:pt>
                <c:pt idx="240">
                  <c:v>512.4199000000001</c:v>
                </c:pt>
                <c:pt idx="241">
                  <c:v>509.85295000000002</c:v>
                </c:pt>
                <c:pt idx="242">
                  <c:v>462.5197</c:v>
                </c:pt>
                <c:pt idx="243">
                  <c:v>454.39375000000001</c:v>
                </c:pt>
                <c:pt idx="244">
                  <c:v>458.81370000000004</c:v>
                </c:pt>
                <c:pt idx="245">
                  <c:v>443.55369999999999</c:v>
                </c:pt>
                <c:pt idx="246">
                  <c:v>447.26514999999995</c:v>
                </c:pt>
                <c:pt idx="247">
                  <c:v>415.75324999999998</c:v>
                </c:pt>
                <c:pt idx="248">
                  <c:v>400.78210000000001</c:v>
                </c:pt>
                <c:pt idx="249">
                  <c:v>381.39100000000002</c:v>
                </c:pt>
                <c:pt idx="250">
                  <c:v>338.90280000000001</c:v>
                </c:pt>
                <c:pt idx="251">
                  <c:v>364.70855</c:v>
                </c:pt>
                <c:pt idx="252">
                  <c:v>360.28860000000003</c:v>
                </c:pt>
                <c:pt idx="253">
                  <c:v>316.9502</c:v>
                </c:pt>
                <c:pt idx="254">
                  <c:v>314.80835000000002</c:v>
                </c:pt>
                <c:pt idx="255">
                  <c:v>305.11279999999999</c:v>
                </c:pt>
                <c:pt idx="256">
                  <c:v>288.7192</c:v>
                </c:pt>
                <c:pt idx="257">
                  <c:v>291.99464999999998</c:v>
                </c:pt>
                <c:pt idx="258">
                  <c:v>267.04455000000002</c:v>
                </c:pt>
                <c:pt idx="259">
                  <c:v>250.36210000000003</c:v>
                </c:pt>
                <c:pt idx="260">
                  <c:v>227.83725000000001</c:v>
                </c:pt>
                <c:pt idx="261">
                  <c:v>217.14435000000003</c:v>
                </c:pt>
                <c:pt idx="262">
                  <c:v>194.90290000000002</c:v>
                </c:pt>
                <c:pt idx="263">
                  <c:v>185.20734999999999</c:v>
                </c:pt>
                <c:pt idx="264">
                  <c:v>187.06035</c:v>
                </c:pt>
                <c:pt idx="265">
                  <c:v>170.37790000000001</c:v>
                </c:pt>
                <c:pt idx="266">
                  <c:v>155.97900000000001</c:v>
                </c:pt>
                <c:pt idx="267">
                  <c:v>147.99475000000001</c:v>
                </c:pt>
                <c:pt idx="268">
                  <c:v>135.87395000000001</c:v>
                </c:pt>
                <c:pt idx="269">
                  <c:v>129.88985</c:v>
                </c:pt>
                <c:pt idx="270">
                  <c:v>102.7979</c:v>
                </c:pt>
                <c:pt idx="271">
                  <c:v>121.90559999999999</c:v>
                </c:pt>
                <c:pt idx="272">
                  <c:v>123.61145</c:v>
                </c:pt>
                <c:pt idx="273">
                  <c:v>125.4699</c:v>
                </c:pt>
                <c:pt idx="274">
                  <c:v>116.05775000000001</c:v>
                </c:pt>
                <c:pt idx="275">
                  <c:v>111.92120000000001</c:v>
                </c:pt>
                <c:pt idx="276">
                  <c:v>111.63780000000001</c:v>
                </c:pt>
                <c:pt idx="277">
                  <c:v>128.32025000000002</c:v>
                </c:pt>
                <c:pt idx="278">
                  <c:v>106.36219999999999</c:v>
                </c:pt>
                <c:pt idx="279">
                  <c:v>104.07865000000001</c:v>
                </c:pt>
                <c:pt idx="280">
                  <c:v>96.950050000000005</c:v>
                </c:pt>
                <c:pt idx="281">
                  <c:v>100.23094999999999</c:v>
                </c:pt>
                <c:pt idx="282">
                  <c:v>96.950050000000005</c:v>
                </c:pt>
                <c:pt idx="283">
                  <c:v>95.527599999999993</c:v>
                </c:pt>
                <c:pt idx="284">
                  <c:v>91.821600000000004</c:v>
                </c:pt>
                <c:pt idx="285">
                  <c:v>84.120750000000001</c:v>
                </c:pt>
                <c:pt idx="286">
                  <c:v>83.690200000000004</c:v>
                </c:pt>
                <c:pt idx="287">
                  <c:v>77.13385000000001</c:v>
                </c:pt>
                <c:pt idx="288">
                  <c:v>65.013050000000007</c:v>
                </c:pt>
                <c:pt idx="289">
                  <c:v>57.170500000000004</c:v>
                </c:pt>
                <c:pt idx="290">
                  <c:v>50.614150000000009</c:v>
                </c:pt>
                <c:pt idx="291">
                  <c:v>37.637700000000002</c:v>
                </c:pt>
                <c:pt idx="292">
                  <c:v>31.653600000000001</c:v>
                </c:pt>
                <c:pt idx="293">
                  <c:v>41.060299999999998</c:v>
                </c:pt>
                <c:pt idx="294">
                  <c:v>42.488200000000006</c:v>
                </c:pt>
                <c:pt idx="295">
                  <c:v>38.640500000000003</c:v>
                </c:pt>
                <c:pt idx="296">
                  <c:v>35.0762</c:v>
                </c:pt>
                <c:pt idx="297">
                  <c:v>34.503950000000003</c:v>
                </c:pt>
                <c:pt idx="298">
                  <c:v>40.351800000000004</c:v>
                </c:pt>
                <c:pt idx="299">
                  <c:v>43.202149999999996</c:v>
                </c:pt>
                <c:pt idx="300">
                  <c:v>34.220550000000003</c:v>
                </c:pt>
                <c:pt idx="301">
                  <c:v>31.937000000000001</c:v>
                </c:pt>
                <c:pt idx="302">
                  <c:v>31.653600000000001</c:v>
                </c:pt>
                <c:pt idx="303">
                  <c:v>28.944950000000002</c:v>
                </c:pt>
                <c:pt idx="304">
                  <c:v>26.5197</c:v>
                </c:pt>
                <c:pt idx="305">
                  <c:v>23.527650000000001</c:v>
                </c:pt>
                <c:pt idx="306">
                  <c:v>23.669350000000001</c:v>
                </c:pt>
                <c:pt idx="307">
                  <c:v>21.95805</c:v>
                </c:pt>
                <c:pt idx="308">
                  <c:v>17.963200000000001</c:v>
                </c:pt>
                <c:pt idx="309">
                  <c:v>19.674499999999998</c:v>
                </c:pt>
                <c:pt idx="310">
                  <c:v>21.95805</c:v>
                </c:pt>
                <c:pt idx="311">
                  <c:v>25.091800000000003</c:v>
                </c:pt>
                <c:pt idx="312">
                  <c:v>28.089300000000001</c:v>
                </c:pt>
                <c:pt idx="313">
                  <c:v>28.656100000000002</c:v>
                </c:pt>
                <c:pt idx="314">
                  <c:v>29.228350000000002</c:v>
                </c:pt>
                <c:pt idx="315">
                  <c:v>31.081350000000004</c:v>
                </c:pt>
                <c:pt idx="316">
                  <c:v>27.233650000000001</c:v>
                </c:pt>
                <c:pt idx="317">
                  <c:v>26.661400000000004</c:v>
                </c:pt>
                <c:pt idx="318">
                  <c:v>25.94745</c:v>
                </c:pt>
                <c:pt idx="319">
                  <c:v>20.105050000000002</c:v>
                </c:pt>
                <c:pt idx="320">
                  <c:v>25.94745</c:v>
                </c:pt>
                <c:pt idx="321">
                  <c:v>25.522349999999999</c:v>
                </c:pt>
                <c:pt idx="322">
                  <c:v>26.5197</c:v>
                </c:pt>
                <c:pt idx="323">
                  <c:v>30.5091</c:v>
                </c:pt>
                <c:pt idx="324">
                  <c:v>31.223050000000001</c:v>
                </c:pt>
                <c:pt idx="325">
                  <c:v>32.078700000000005</c:v>
                </c:pt>
                <c:pt idx="326">
                  <c:v>32.078700000000005</c:v>
                </c:pt>
                <c:pt idx="327">
                  <c:v>35.3596</c:v>
                </c:pt>
                <c:pt idx="328">
                  <c:v>35.784700000000001</c:v>
                </c:pt>
                <c:pt idx="329">
                  <c:v>38.068250000000006</c:v>
                </c:pt>
                <c:pt idx="330">
                  <c:v>43.202149999999996</c:v>
                </c:pt>
                <c:pt idx="331">
                  <c:v>45.338550000000005</c:v>
                </c:pt>
                <c:pt idx="332">
                  <c:v>45.910800000000002</c:v>
                </c:pt>
                <c:pt idx="333">
                  <c:v>55.317500000000003</c:v>
                </c:pt>
                <c:pt idx="334">
                  <c:v>50.755850000000002</c:v>
                </c:pt>
                <c:pt idx="335">
                  <c:v>50.614150000000009</c:v>
                </c:pt>
                <c:pt idx="336">
                  <c:v>49.186250000000001</c:v>
                </c:pt>
                <c:pt idx="337">
                  <c:v>50.897550000000003</c:v>
                </c:pt>
                <c:pt idx="338">
                  <c:v>51.469800000000006</c:v>
                </c:pt>
                <c:pt idx="339">
                  <c:v>45.196849999999998</c:v>
                </c:pt>
                <c:pt idx="340">
                  <c:v>51.328099999999999</c:v>
                </c:pt>
                <c:pt idx="341">
                  <c:v>47.905499999999996</c:v>
                </c:pt>
                <c:pt idx="342">
                  <c:v>49.758500000000005</c:v>
                </c:pt>
                <c:pt idx="343">
                  <c:v>58.314999999999998</c:v>
                </c:pt>
                <c:pt idx="344">
                  <c:v>54.609000000000002</c:v>
                </c:pt>
                <c:pt idx="345">
                  <c:v>57.601050000000008</c:v>
                </c:pt>
                <c:pt idx="346">
                  <c:v>66.010400000000004</c:v>
                </c:pt>
                <c:pt idx="347">
                  <c:v>63.874000000000002</c:v>
                </c:pt>
                <c:pt idx="348">
                  <c:v>69.721850000000003</c:v>
                </c:pt>
                <c:pt idx="349">
                  <c:v>68.010549999999995</c:v>
                </c:pt>
                <c:pt idx="350">
                  <c:v>64.15740000000001</c:v>
                </c:pt>
                <c:pt idx="351">
                  <c:v>70.430350000000004</c:v>
                </c:pt>
                <c:pt idx="352">
                  <c:v>70.860900000000001</c:v>
                </c:pt>
                <c:pt idx="353">
                  <c:v>74.425200000000004</c:v>
                </c:pt>
                <c:pt idx="354">
                  <c:v>74.425200000000004</c:v>
                </c:pt>
                <c:pt idx="355">
                  <c:v>78.845150000000004</c:v>
                </c:pt>
                <c:pt idx="356">
                  <c:v>79.417400000000001</c:v>
                </c:pt>
                <c:pt idx="357">
                  <c:v>84.692999999999998</c:v>
                </c:pt>
                <c:pt idx="358">
                  <c:v>80.273049999999998</c:v>
                </c:pt>
                <c:pt idx="359">
                  <c:v>92.24669999999999</c:v>
                </c:pt>
                <c:pt idx="360">
                  <c:v>92.960650000000001</c:v>
                </c:pt>
                <c:pt idx="361">
                  <c:v>96.950050000000005</c:v>
                </c:pt>
                <c:pt idx="362">
                  <c:v>94.099699999999999</c:v>
                </c:pt>
                <c:pt idx="363">
                  <c:v>99.51700000000001</c:v>
                </c:pt>
                <c:pt idx="364">
                  <c:v>102.5145</c:v>
                </c:pt>
                <c:pt idx="365">
                  <c:v>119.33865</c:v>
                </c:pt>
                <c:pt idx="366">
                  <c:v>121.75845000000001</c:v>
                </c:pt>
                <c:pt idx="367">
                  <c:v>142.14690000000002</c:v>
                </c:pt>
                <c:pt idx="368">
                  <c:v>171.66410000000002</c:v>
                </c:pt>
                <c:pt idx="369">
                  <c:v>190.76635000000002</c:v>
                </c:pt>
                <c:pt idx="370">
                  <c:v>198.18379999999999</c:v>
                </c:pt>
                <c:pt idx="371">
                  <c:v>222.9922</c:v>
                </c:pt>
                <c:pt idx="372">
                  <c:v>254.07355000000001</c:v>
                </c:pt>
                <c:pt idx="373">
                  <c:v>296.84514999999999</c:v>
                </c:pt>
                <c:pt idx="374">
                  <c:v>317.517</c:v>
                </c:pt>
                <c:pt idx="375">
                  <c:v>344.60894999999999</c:v>
                </c:pt>
                <c:pt idx="376">
                  <c:v>372.12600000000003</c:v>
                </c:pt>
                <c:pt idx="377">
                  <c:v>365.42250000000001</c:v>
                </c:pt>
                <c:pt idx="378">
                  <c:v>389.37524999999999</c:v>
                </c:pt>
                <c:pt idx="379">
                  <c:v>438.27810000000005</c:v>
                </c:pt>
                <c:pt idx="380">
                  <c:v>422.88185000000004</c:v>
                </c:pt>
                <c:pt idx="381">
                  <c:v>497.73214999999999</c:v>
                </c:pt>
                <c:pt idx="382">
                  <c:v>540.07865000000004</c:v>
                </c:pt>
                <c:pt idx="383">
                  <c:v>587.12850000000003</c:v>
                </c:pt>
                <c:pt idx="384">
                  <c:v>595.68500000000006</c:v>
                </c:pt>
                <c:pt idx="385">
                  <c:v>653.56945000000007</c:v>
                </c:pt>
                <c:pt idx="386">
                  <c:v>713.45404999999994</c:v>
                </c:pt>
                <c:pt idx="387">
                  <c:v>796.00520000000006</c:v>
                </c:pt>
                <c:pt idx="388">
                  <c:v>785.59569999999997</c:v>
                </c:pt>
                <c:pt idx="389">
                  <c:v>817.39099999999996</c:v>
                </c:pt>
                <c:pt idx="390">
                  <c:v>809.83730000000003</c:v>
                </c:pt>
                <c:pt idx="391">
                  <c:v>810.83465000000001</c:v>
                </c:pt>
                <c:pt idx="392">
                  <c:v>829.65350000000001</c:v>
                </c:pt>
                <c:pt idx="393">
                  <c:v>871.14</c:v>
                </c:pt>
                <c:pt idx="394">
                  <c:v>939.43</c:v>
                </c:pt>
                <c:pt idx="395">
                  <c:v>994.71</c:v>
                </c:pt>
                <c:pt idx="396">
                  <c:v>846.29</c:v>
                </c:pt>
                <c:pt idx="397">
                  <c:v>1072.1400000000001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7E5-BBFB-5587812B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76376"/>
        <c:axId val="320276768"/>
      </c:lineChart>
      <c:catAx>
        <c:axId val="320276376"/>
        <c:scaling>
          <c:orientation val="minMax"/>
        </c:scaling>
        <c:delete val="0"/>
        <c:axPos val="b"/>
        <c:numFmt formatCode="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0276768"/>
        <c:crosses val="autoZero"/>
        <c:auto val="0"/>
        <c:lblAlgn val="ctr"/>
        <c:lblOffset val="100"/>
        <c:noMultiLvlLbl val="0"/>
      </c:catAx>
      <c:valAx>
        <c:axId val="3202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027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743555239812165"/>
          <c:y val="8.2081527879383415E-2"/>
          <c:w val="0.38662232438336519"/>
          <c:h val="0.200323403630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417436997626964E-2"/>
          <c:y val="6.3882327209098852E-2"/>
          <c:w val="0.93616132135261021"/>
          <c:h val="0.79464004499437568"/>
        </c:manualLayout>
      </c:layout>
      <c:lineChart>
        <c:grouping val="standard"/>
        <c:varyColors val="0"/>
        <c:ser>
          <c:idx val="0"/>
          <c:order val="0"/>
          <c:tx>
            <c:strRef>
              <c:f>'Graf 9+10'!$L$13</c:f>
              <c:strCache>
                <c:ptCount val="1"/>
                <c:pt idx="0">
                  <c:v>Spotreba domácností</c:v>
                </c:pt>
              </c:strCache>
            </c:strRef>
          </c:tx>
          <c:spPr>
            <a:ln>
              <a:solidFill>
                <a:srgbClr val="2C9ADC"/>
              </a:solidFill>
            </a:ln>
          </c:spPr>
          <c:marker>
            <c:spPr>
              <a:solidFill>
                <a:srgbClr val="2C9ADC"/>
              </a:solidFill>
              <a:ln>
                <a:solidFill>
                  <a:srgbClr val="2C9ADC"/>
                </a:solidFill>
              </a:ln>
            </c:spPr>
          </c:marker>
          <c:cat>
            <c:strRef>
              <c:f>'Graf 9+10'!$N$12:$Z$12</c:f>
              <c:strCache>
                <c:ptCount val="13"/>
                <c:pt idx="0">
                  <c:v>4Q19</c:v>
                </c:pt>
                <c:pt idx="1">
                  <c:v>1Q20</c:v>
                </c:pt>
                <c:pt idx="2">
                  <c:v>2Q20</c:v>
                </c:pt>
                <c:pt idx="3">
                  <c:v>3Q20</c:v>
                </c:pt>
                <c:pt idx="4">
                  <c:v>4Q20</c:v>
                </c:pt>
                <c:pt idx="5">
                  <c:v>1Q21</c:v>
                </c:pt>
                <c:pt idx="6">
                  <c:v>2Q21</c:v>
                </c:pt>
                <c:pt idx="7">
                  <c:v>3Q21</c:v>
                </c:pt>
                <c:pt idx="8">
                  <c:v>4Q21</c:v>
                </c:pt>
                <c:pt idx="9">
                  <c:v>1Q22</c:v>
                </c:pt>
                <c:pt idx="10">
                  <c:v>2Q22</c:v>
                </c:pt>
                <c:pt idx="11">
                  <c:v>3Q22</c:v>
                </c:pt>
                <c:pt idx="12">
                  <c:v>4Q22</c:v>
                </c:pt>
              </c:strCache>
            </c:strRef>
          </c:cat>
          <c:val>
            <c:numRef>
              <c:f>'Graf 9+10'!$N$13:$Z$13</c:f>
              <c:numCache>
                <c:formatCode>0.0</c:formatCode>
                <c:ptCount val="13"/>
                <c:pt idx="0">
                  <c:v>100</c:v>
                </c:pt>
                <c:pt idx="1">
                  <c:v>99.761705535593705</c:v>
                </c:pt>
                <c:pt idx="2">
                  <c:v>95.296430455812114</c:v>
                </c:pt>
                <c:pt idx="3">
                  <c:v>100.10301507508817</c:v>
                </c:pt>
                <c:pt idx="4">
                  <c:v>97.005202233976547</c:v>
                </c:pt>
                <c:pt idx="5">
                  <c:v>94.89255132509733</c:v>
                </c:pt>
                <c:pt idx="6">
                  <c:v>99.818893092761869</c:v>
                </c:pt>
                <c:pt idx="7">
                  <c:v>100.37266725151188</c:v>
                </c:pt>
                <c:pt idx="8">
                  <c:v>98.447734328983458</c:v>
                </c:pt>
                <c:pt idx="9">
                  <c:v>99.61021776297936</c:v>
                </c:pt>
                <c:pt idx="10">
                  <c:v>100.23899487090867</c:v>
                </c:pt>
                <c:pt idx="11">
                  <c:v>101.16643521413519</c:v>
                </c:pt>
                <c:pt idx="12">
                  <c:v>102.13788948225802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7-4901-9E9F-64EEE798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77552"/>
        <c:axId val="320277944"/>
      </c:lineChart>
      <c:catAx>
        <c:axId val="3202775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ln w="9525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320277944"/>
        <c:crosses val="autoZero"/>
        <c:auto val="1"/>
        <c:lblAlgn val="ctr"/>
        <c:lblOffset val="100"/>
        <c:noMultiLvlLbl val="0"/>
      </c:catAx>
      <c:valAx>
        <c:axId val="32027794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ysClr val="windowText" lastClr="000000">
                <a:lumMod val="50000"/>
                <a:lumOff val="50000"/>
              </a:sysClr>
            </a:solidFill>
          </a:ln>
        </c:spPr>
        <c:crossAx val="320277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'Graf 11+Tabuľka 2'!$M$10</c:f>
              <c:strCache>
                <c:ptCount val="1"/>
                <c:pt idx="0">
                  <c:v>MoF SR (June)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11+Tabuľka 2'!$N$7:$R$7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'Graf 11+Tabuľka 2'!$N$10:$S$10</c:f>
              <c:numCache>
                <c:formatCode>0.0</c:formatCode>
                <c:ptCount val="6"/>
                <c:pt idx="0">
                  <c:v>0.46648201908467968</c:v>
                </c:pt>
                <c:pt idx="1">
                  <c:v>1.5635691119450623</c:v>
                </c:pt>
                <c:pt idx="2">
                  <c:v>1.8277616897985682</c:v>
                </c:pt>
                <c:pt idx="3">
                  <c:v>-3.6470298477175422</c:v>
                </c:pt>
                <c:pt idx="4">
                  <c:v>-1.0056332158416947</c:v>
                </c:pt>
                <c:pt idx="5">
                  <c:v>1.2818090691245843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008-83B7-CC7B1879AEA1}"/>
            </c:ext>
          </c:extLst>
        </c:ser>
        <c:ser>
          <c:idx val="1"/>
          <c:order val="1"/>
          <c:tx>
            <c:strRef>
              <c:f>'Graf 11+Tabuľka 2'!$M$9</c:f>
              <c:strCache>
                <c:ptCount val="1"/>
                <c:pt idx="0">
                  <c:v>NBS (Sept)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'Graf 11+Tabuľka 2'!$N$7:$R$7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'Graf 11+Tabuľka 2'!$N$9:$S$9</c:f>
              <c:numCache>
                <c:formatCode>0.0</c:formatCode>
                <c:ptCount val="6"/>
                <c:pt idx="0">
                  <c:v>0.7</c:v>
                </c:pt>
                <c:pt idx="1">
                  <c:v>1.6</c:v>
                </c:pt>
                <c:pt idx="2">
                  <c:v>1.4</c:v>
                </c:pt>
                <c:pt idx="3">
                  <c:v>-4.9000000000000004</c:v>
                </c:pt>
                <c:pt idx="4">
                  <c:v>-2.7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008-83B7-CC7B1879AEA1}"/>
            </c:ext>
          </c:extLst>
        </c:ser>
        <c:ser>
          <c:idx val="0"/>
          <c:order val="2"/>
          <c:tx>
            <c:strRef>
              <c:f>'Graf 11+Tabuľka 2'!$M$8</c:f>
              <c:strCache>
                <c:ptCount val="1"/>
                <c:pt idx="0">
                  <c:v>MoF SR (Sept)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11+Tabuľka 2'!$N$7:$R$7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'Graf 11+Tabuľka 2'!$N$8:$S$8</c:f>
              <c:numCache>
                <c:formatCode>0.0</c:formatCode>
                <c:ptCount val="6"/>
                <c:pt idx="0">
                  <c:v>0.47247402629104762</c:v>
                </c:pt>
                <c:pt idx="1">
                  <c:v>1.5810501770998631</c:v>
                </c:pt>
                <c:pt idx="2">
                  <c:v>1.8447091231960755</c:v>
                </c:pt>
                <c:pt idx="3">
                  <c:v>-3.6373461214121328</c:v>
                </c:pt>
                <c:pt idx="4">
                  <c:v>-1.7177581496915284</c:v>
                </c:pt>
                <c:pt idx="5">
                  <c:v>-0.35681421314139872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8-4008-83B7-CC7B1879AEA1}"/>
            </c:ext>
          </c:extLst>
        </c:ser>
        <c:ser>
          <c:idx val="3"/>
          <c:order val="3"/>
          <c:tx>
            <c:strRef>
              <c:f>'Graf 11+Tabuľka 2'!$M$11</c:f>
              <c:strCache>
                <c:ptCount val="1"/>
                <c:pt idx="0">
                  <c:v>EC (May)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val>
            <c:numRef>
              <c:f>'Graf 11+Tabuľka 2'!$N$11:$S$11</c:f>
              <c:numCache>
                <c:formatCode>0.0</c:formatCode>
                <c:ptCount val="6"/>
                <c:pt idx="0">
                  <c:v>0.81942179999999998</c:v>
                </c:pt>
                <c:pt idx="1">
                  <c:v>2.2823101000000001</c:v>
                </c:pt>
                <c:pt idx="2">
                  <c:v>2.435616</c:v>
                </c:pt>
                <c:pt idx="3">
                  <c:v>-3.8862937</c:v>
                </c:pt>
                <c:pt idx="4">
                  <c:v>-1.3559395000000001</c:v>
                </c:pt>
                <c:pt idx="5">
                  <c:v>0.83108400000000004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5-494D-8D71-A012C604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78336"/>
        <c:axId val="320278728"/>
      </c:lineChart>
      <c:catAx>
        <c:axId val="32027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20278728"/>
        <c:crosses val="autoZero"/>
        <c:auto val="1"/>
        <c:lblAlgn val="ctr"/>
        <c:lblOffset val="100"/>
        <c:noMultiLvlLbl val="0"/>
      </c:catAx>
      <c:valAx>
        <c:axId val="3202787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202783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8.3208557263675348E-2"/>
          <c:y val="0.60149474771202605"/>
          <c:w val="0.65656853868876142"/>
          <c:h val="0.24426482247661027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'Graf 11+Tabuľka 2'!$L$10</c:f>
              <c:strCache>
                <c:ptCount val="1"/>
                <c:pt idx="0">
                  <c:v>MFSR (Jún)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11+Tabuľka 2'!$N$7:$S$7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11+Tabuľka 2'!$N$10:$S$10</c:f>
              <c:numCache>
                <c:formatCode>0.0</c:formatCode>
                <c:ptCount val="6"/>
                <c:pt idx="0">
                  <c:v>0.46648201908467968</c:v>
                </c:pt>
                <c:pt idx="1">
                  <c:v>1.5635691119450623</c:v>
                </c:pt>
                <c:pt idx="2">
                  <c:v>1.8277616897985682</c:v>
                </c:pt>
                <c:pt idx="3">
                  <c:v>-3.6470298477175422</c:v>
                </c:pt>
                <c:pt idx="4">
                  <c:v>-1.0056332158416947</c:v>
                </c:pt>
                <c:pt idx="5">
                  <c:v>1.2818090691245843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008-83B7-CC7B1879AEA1}"/>
            </c:ext>
          </c:extLst>
        </c:ser>
        <c:ser>
          <c:idx val="1"/>
          <c:order val="1"/>
          <c:tx>
            <c:strRef>
              <c:f>'Graf 11+Tabuľka 2'!$L$9</c:f>
              <c:strCache>
                <c:ptCount val="1"/>
                <c:pt idx="0">
                  <c:v>NBS (Sept)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'Graf 11+Tabuľka 2'!$N$7:$S$7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11+Tabuľka 2'!$N$9:$S$9</c:f>
              <c:numCache>
                <c:formatCode>0.0</c:formatCode>
                <c:ptCount val="6"/>
                <c:pt idx="0">
                  <c:v>0.7</c:v>
                </c:pt>
                <c:pt idx="1">
                  <c:v>1.6</c:v>
                </c:pt>
                <c:pt idx="2">
                  <c:v>1.4</c:v>
                </c:pt>
                <c:pt idx="3">
                  <c:v>-4.9000000000000004</c:v>
                </c:pt>
                <c:pt idx="4">
                  <c:v>-2.7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008-83B7-CC7B1879AEA1}"/>
            </c:ext>
          </c:extLst>
        </c:ser>
        <c:ser>
          <c:idx val="0"/>
          <c:order val="2"/>
          <c:tx>
            <c:strRef>
              <c:f>'Graf 11+Tabuľka 2'!$L$8</c:f>
              <c:strCache>
                <c:ptCount val="1"/>
                <c:pt idx="0">
                  <c:v>MFSR (Sept)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11+Tabuľka 2'!$N$7:$S$7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11+Tabuľka 2'!$N$8:$S$8</c:f>
              <c:numCache>
                <c:formatCode>0.0</c:formatCode>
                <c:ptCount val="6"/>
                <c:pt idx="0">
                  <c:v>0.47247402629104762</c:v>
                </c:pt>
                <c:pt idx="1">
                  <c:v>1.5810501770998631</c:v>
                </c:pt>
                <c:pt idx="2">
                  <c:v>1.8447091231960755</c:v>
                </c:pt>
                <c:pt idx="3">
                  <c:v>-3.6373461214121328</c:v>
                </c:pt>
                <c:pt idx="4">
                  <c:v>-1.7177581496915284</c:v>
                </c:pt>
                <c:pt idx="5">
                  <c:v>-0.35681421314139872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8-4008-83B7-CC7B1879AEA1}"/>
            </c:ext>
          </c:extLst>
        </c:ser>
        <c:ser>
          <c:idx val="3"/>
          <c:order val="3"/>
          <c:tx>
            <c:strRef>
              <c:f>'Graf 11+Tabuľka 2'!$L$11</c:f>
              <c:strCache>
                <c:ptCount val="1"/>
                <c:pt idx="0">
                  <c:v>EK (Máj)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'Graf 11+Tabuľka 2'!$N$7:$S$7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11+Tabuľka 2'!$N$11:$S$11</c:f>
              <c:numCache>
                <c:formatCode>0.0</c:formatCode>
                <c:ptCount val="6"/>
                <c:pt idx="0">
                  <c:v>0.81942179999999998</c:v>
                </c:pt>
                <c:pt idx="1">
                  <c:v>2.2823101000000001</c:v>
                </c:pt>
                <c:pt idx="2">
                  <c:v>2.435616</c:v>
                </c:pt>
                <c:pt idx="3">
                  <c:v>-3.8862937</c:v>
                </c:pt>
                <c:pt idx="4">
                  <c:v>-1.3559395000000001</c:v>
                </c:pt>
                <c:pt idx="5">
                  <c:v>0.83108400000000004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A-4471-93C6-865264EE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79512"/>
        <c:axId val="320279904"/>
      </c:lineChart>
      <c:catAx>
        <c:axId val="32027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20279904"/>
        <c:crosses val="autoZero"/>
        <c:auto val="1"/>
        <c:lblAlgn val="ctr"/>
        <c:lblOffset val="100"/>
        <c:noMultiLvlLbl val="0"/>
      </c:catAx>
      <c:valAx>
        <c:axId val="32027990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202795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1398126489418949"/>
          <c:y val="0.44132866724992709"/>
          <c:w val="0.34327699623321145"/>
          <c:h val="0.349689122193059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012966703956023"/>
          <c:y val="8.1858976375602674E-2"/>
          <c:w val="0.46850013162599363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1DA-4DDF-9E41-B7D3C9F0135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CC6-4603-8875-F978B38CF7C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1DA-4DDF-9E41-B7D3C9F0135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1DA-4DDF-9E41-B7D3C9F01350}"/>
              </c:ext>
            </c:extLst>
          </c:dPt>
          <c:dPt>
            <c:idx val="13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1DA-4DDF-9E41-B7D3C9F01350}"/>
              </c:ext>
            </c:extLst>
          </c:dPt>
          <c:cat>
            <c:strRef>
              <c:f>'Graf 12'!$N$30:$N$39</c:f>
              <c:strCache>
                <c:ptCount val="10"/>
                <c:pt idx="0">
                  <c:v>Headline balance - Budget 2021</c:v>
                </c:pt>
                <c:pt idx="1">
                  <c:v>Expendutere measures in fight COVID 19</c:v>
                </c:pt>
                <c:pt idx="2">
                  <c:v>Higher financing of companies under MDV SR by state budget</c:v>
                </c:pt>
                <c:pt idx="3">
                  <c:v>Chosen expansionary measures of the government</c:v>
                </c:pt>
                <c:pt idx="4">
                  <c:v>Net impact of EU corrections and higher levy on EU</c:v>
                </c:pt>
                <c:pt idx="5">
                  <c:v>Higher tax revenues</c:v>
                </c:pt>
                <c:pt idx="6">
                  <c:v>Lower Social insurence expenditures (especially pensions and health insurance)</c:v>
                </c:pt>
                <c:pt idx="7">
                  <c:v>Lower co-financing of EU funds (excluding COVID-19)</c:v>
                </c:pt>
                <c:pt idx="8">
                  <c:v>Others</c:v>
                </c:pt>
                <c:pt idx="9">
                  <c:v>Headline balance - Estimate 2021</c:v>
                </c:pt>
              </c:strCache>
            </c:strRef>
          </c:cat>
          <c:val>
            <c:numRef>
              <c:f>'Graf 12'!$Q$30:$Q$38</c:f>
              <c:numCache>
                <c:formatCode>#,##0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5B-4886-B819-22133CC773C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12'!$N$30:$N$39</c:f>
              <c:strCache>
                <c:ptCount val="10"/>
                <c:pt idx="0">
                  <c:v>Headline balance - Budget 2021</c:v>
                </c:pt>
                <c:pt idx="1">
                  <c:v>Expendutere measures in fight COVID 19</c:v>
                </c:pt>
                <c:pt idx="2">
                  <c:v>Higher financing of companies under MDV SR by state budget</c:v>
                </c:pt>
                <c:pt idx="3">
                  <c:v>Chosen expansionary measures of the government</c:v>
                </c:pt>
                <c:pt idx="4">
                  <c:v>Net impact of EU corrections and higher levy on EU</c:v>
                </c:pt>
                <c:pt idx="5">
                  <c:v>Higher tax revenues</c:v>
                </c:pt>
                <c:pt idx="6">
                  <c:v>Lower Social insurence expenditures (especially pensions and health insurance)</c:v>
                </c:pt>
                <c:pt idx="7">
                  <c:v>Lower co-financing of EU funds (excluding COVID-19)</c:v>
                </c:pt>
                <c:pt idx="8">
                  <c:v>Others</c:v>
                </c:pt>
                <c:pt idx="9">
                  <c:v>Headline balance - Estimate 2021</c:v>
                </c:pt>
              </c:strCache>
            </c:strRef>
          </c:cat>
          <c:val>
            <c:numRef>
              <c:f>'Graf 12'!$R$30:$R$39</c:f>
              <c:numCache>
                <c:formatCode>#,##0</c:formatCode>
                <c:ptCount val="10"/>
                <c:pt idx="1">
                  <c:v>-7090.5</c:v>
                </c:pt>
                <c:pt idx="2">
                  <c:v>-9087.14</c:v>
                </c:pt>
                <c:pt idx="3">
                  <c:v>-9310.14</c:v>
                </c:pt>
                <c:pt idx="4">
                  <c:v>-9403.64</c:v>
                </c:pt>
                <c:pt idx="5">
                  <c:v>-8100.9089999999997</c:v>
                </c:pt>
                <c:pt idx="6">
                  <c:v>-7814.2089999999998</c:v>
                </c:pt>
                <c:pt idx="7">
                  <c:v>-7655.2089999999998</c:v>
                </c:pt>
                <c:pt idx="8">
                  <c:v>-7655.2089999999998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5B-4886-B819-22133CC773CA}"/>
            </c:ext>
          </c:extLst>
        </c:ser>
        <c:ser>
          <c:idx val="2"/>
          <c:order val="2"/>
          <c:spPr>
            <a:solidFill>
              <a:srgbClr val="F9C9B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05B-4886-B819-22133CC773C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A-D05B-4886-B819-22133CC773C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5B-4886-B819-22133CC773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1DA-4DDF-9E41-B7D3C9F01350}"/>
              </c:ext>
            </c:extLst>
          </c:dPt>
          <c:dPt>
            <c:idx val="4"/>
            <c:invertIfNegative val="0"/>
            <c:bubble3D val="0"/>
            <c:spPr>
              <a:solidFill>
                <a:srgbClr val="F9C9B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D05B-4886-B819-22133CC773CA}"/>
              </c:ext>
            </c:extLst>
          </c:dPt>
          <c:dPt>
            <c:idx val="5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20-8DE7-4291-95E5-B6377F7E26EA}"/>
              </c:ext>
            </c:extLst>
          </c:dPt>
          <c:dPt>
            <c:idx val="6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23-8DE7-4291-95E5-B6377F7E26EA}"/>
              </c:ext>
            </c:extLst>
          </c:dPt>
          <c:dPt>
            <c:idx val="7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25-8DE7-4291-95E5-B6377F7E26EA}"/>
              </c:ext>
            </c:extLst>
          </c:dPt>
          <c:dPt>
            <c:idx val="9"/>
            <c:invertIfNegative val="0"/>
            <c:bubble3D val="0"/>
            <c:spPr>
              <a:solidFill>
                <a:srgbClr val="C6D9F1"/>
              </a:solidFill>
            </c:spPr>
            <c:extLst>
              <c:ext xmlns:c16="http://schemas.microsoft.com/office/drawing/2014/chart" uri="{C3380CC4-5D6E-409C-BE32-E72D297353CC}">
                <c16:uniqueId val="{0000001E-8DE7-4291-95E5-B6377F7E26E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1DA-4DDF-9E41-B7D3C9F0135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1DA-4DDF-9E41-B7D3C9F013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5B-4886-B819-22133CC773C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1DA-4DDF-9E41-B7D3C9F01350}"/>
              </c:ext>
            </c:extLst>
          </c:dPt>
          <c:dPt>
            <c:idx val="16"/>
            <c:invertIfNegative val="0"/>
            <c:bubble3D val="0"/>
            <c:spPr>
              <a:solidFill>
                <a:srgbClr val="F9C9B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D05B-4886-B819-22133CC773C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DA-4DDF-9E41-B7D3C9F013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DA-4DDF-9E41-B7D3C9F01350}"/>
              </c:ext>
            </c:extLst>
          </c:dPt>
          <c:dLbls>
            <c:dLbl>
              <c:idx val="0"/>
              <c:layout>
                <c:manualLayout>
                  <c:x val="-1.0839665106476258E-2"/>
                  <c:y val="1.2013966235747439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-7091 (-7,41 % of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5B-4886-B819-22133CC773CA}"/>
                </c:ext>
              </c:extLst>
            </c:dLbl>
            <c:dLbl>
              <c:idx val="4"/>
              <c:layout>
                <c:manualLayout>
                  <c:x val="9.2925415385023361E-3"/>
                  <c:y val="-2.78043875524963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5B-4886-B819-22133CC773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1343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DE7-4291-95E5-B6377F7E26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E7-4291-95E5-B6377F7E26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E7-4291-95E5-B6377F7E26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-7718 (-7,92 %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DE7-4291-95E5-B6377F7E26EA}"/>
                </c:ext>
              </c:extLst>
            </c:dLbl>
            <c:dLbl>
              <c:idx val="13"/>
              <c:layout>
                <c:manualLayout>
                  <c:x val="0"/>
                  <c:y val="-7.2166984172984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5B-4886-B819-22133CC773C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-28</a:t>
                    </a:r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DA-4DDF-9E41-B7D3C9F01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12'!$N$30:$N$39</c:f>
              <c:strCache>
                <c:ptCount val="10"/>
                <c:pt idx="0">
                  <c:v>Headline balance - Budget 2021</c:v>
                </c:pt>
                <c:pt idx="1">
                  <c:v>Expendutere measures in fight COVID 19</c:v>
                </c:pt>
                <c:pt idx="2">
                  <c:v>Higher financing of companies under MDV SR by state budget</c:v>
                </c:pt>
                <c:pt idx="3">
                  <c:v>Chosen expansionary measures of the government</c:v>
                </c:pt>
                <c:pt idx="4">
                  <c:v>Net impact of EU corrections and higher levy on EU</c:v>
                </c:pt>
                <c:pt idx="5">
                  <c:v>Higher tax revenues</c:v>
                </c:pt>
                <c:pt idx="6">
                  <c:v>Lower Social insurence expenditures (especially pensions and health insurance)</c:v>
                </c:pt>
                <c:pt idx="7">
                  <c:v>Lower co-financing of EU funds (excluding COVID-19)</c:v>
                </c:pt>
                <c:pt idx="8">
                  <c:v>Others</c:v>
                </c:pt>
                <c:pt idx="9">
                  <c:v>Headline balance - Estimate 2021</c:v>
                </c:pt>
              </c:strCache>
            </c:strRef>
          </c:cat>
          <c:val>
            <c:numRef>
              <c:f>'Graf 12'!$S$30:$S$39</c:f>
              <c:numCache>
                <c:formatCode>#,##0</c:formatCode>
                <c:ptCount val="10"/>
                <c:pt idx="0">
                  <c:v>-7090.5</c:v>
                </c:pt>
                <c:pt idx="1">
                  <c:v>-1996.6399999999996</c:v>
                </c:pt>
                <c:pt idx="2">
                  <c:v>-223</c:v>
                </c:pt>
                <c:pt idx="3">
                  <c:v>-93.5</c:v>
                </c:pt>
                <c:pt idx="4">
                  <c:v>-40.500000000000007</c:v>
                </c:pt>
                <c:pt idx="5">
                  <c:v>-1343.2309999999995</c:v>
                </c:pt>
                <c:pt idx="6">
                  <c:v>-286.7</c:v>
                </c:pt>
                <c:pt idx="7">
                  <c:v>-159</c:v>
                </c:pt>
                <c:pt idx="8">
                  <c:v>-62.89100000000235</c:v>
                </c:pt>
                <c:pt idx="9">
                  <c:v>-7718.1000000000022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5B-4886-B819-22133CC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0280688"/>
        <c:axId val="320281080"/>
      </c:barChart>
      <c:catAx>
        <c:axId val="320280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320281080"/>
        <c:crosses val="autoZero"/>
        <c:auto val="1"/>
        <c:lblAlgn val="ctr"/>
        <c:lblOffset val="100"/>
        <c:noMultiLvlLbl val="0"/>
      </c:catAx>
      <c:valAx>
        <c:axId val="320281080"/>
        <c:scaling>
          <c:orientation val="minMax"/>
          <c:max val="0"/>
          <c:min val="-100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320280688"/>
        <c:crosses val="autoZero"/>
        <c:crossBetween val="between"/>
        <c:majorUnit val="10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07851447218386"/>
          <c:y val="7.1136986201140173E-2"/>
          <c:w val="0.67153464250703598"/>
          <c:h val="0.9288631367297817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73C-40F4-8727-C18A93535844}"/>
              </c:ext>
            </c:extLst>
          </c:dPt>
          <c:dPt>
            <c:idx val="7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73C-40F4-8727-C18A93535844}"/>
              </c:ext>
            </c:extLst>
          </c:dPt>
          <c:cat>
            <c:strRef>
              <c:f>[66]waterfall_očakávačka_2021!$C$26:$C$35</c:f>
              <c:strCache>
                <c:ptCount val="10"/>
                <c:pt idx="0">
                  <c:v>Saldo VS - rozpočet</c:v>
                </c:pt>
                <c:pt idx="1">
                  <c:v>Vyšší vplyv prijatých opatrení v boji s pandémiou COVID-19</c:v>
                </c:pt>
                <c:pt idx="2">
                  <c:v>Dofinancovanie podnikov pod MDV SR</c:v>
                </c:pt>
                <c:pt idx="3">
                  <c:v>Vybrané expanzívne opatrenia vlády</c:v>
                </c:pt>
                <c:pt idx="4">
                  <c:v>Čistý vplyv korekcií EU a vyšší odvod do EU</c:v>
                </c:pt>
                <c:pt idx="5">
                  <c:v>Vyššie daňovo-odvodové príjmy</c:v>
                </c:pt>
                <c:pt idx="6">
                  <c:v>Nižšie výdavky SP (najmä dôchodky a nemocenské poistenie)</c:v>
                </c:pt>
                <c:pt idx="7">
                  <c:v>Nižšie výdavky na spolufinancovanie (mimo COVID-19)</c:v>
                </c:pt>
                <c:pt idx="8">
                  <c:v>Ostatné vplyvy</c:v>
                </c:pt>
                <c:pt idx="9">
                  <c:v>Saldo VS - očakávaná skutočnosť</c:v>
                </c:pt>
              </c:strCache>
            </c:strRef>
          </c:cat>
          <c:val>
            <c:numRef>
              <c:f>[66]waterfall_očakávačka_2021!$F$26:$F$35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3C-40F4-8727-C18A93535844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[66]waterfall_očakávačka_2021!$C$26:$C$35</c:f>
              <c:strCache>
                <c:ptCount val="10"/>
                <c:pt idx="0">
                  <c:v>Saldo VS - rozpočet</c:v>
                </c:pt>
                <c:pt idx="1">
                  <c:v>Vyšší vplyv prijatých opatrení v boji s pandémiou COVID-19</c:v>
                </c:pt>
                <c:pt idx="2">
                  <c:v>Dofinancovanie podnikov pod MDV SR</c:v>
                </c:pt>
                <c:pt idx="3">
                  <c:v>Vybrané expanzívne opatrenia vlády</c:v>
                </c:pt>
                <c:pt idx="4">
                  <c:v>Čistý vplyv korekcií EU a vyšší odvod do EU</c:v>
                </c:pt>
                <c:pt idx="5">
                  <c:v>Vyššie daňovo-odvodové príjmy</c:v>
                </c:pt>
                <c:pt idx="6">
                  <c:v>Nižšie výdavky SP (najmä dôchodky a nemocenské poistenie)</c:v>
                </c:pt>
                <c:pt idx="7">
                  <c:v>Nižšie výdavky na spolufinancovanie (mimo COVID-19)</c:v>
                </c:pt>
                <c:pt idx="8">
                  <c:v>Ostatné vplyvy</c:v>
                </c:pt>
                <c:pt idx="9">
                  <c:v>Saldo VS - očakávaná skutočnosť</c:v>
                </c:pt>
              </c:strCache>
            </c:strRef>
          </c:cat>
          <c:val>
            <c:numRef>
              <c:f>[66]waterfall_očakávačka_2021!$G$26:$G$35</c:f>
              <c:numCache>
                <c:formatCode>General</c:formatCode>
                <c:ptCount val="10"/>
                <c:pt idx="1">
                  <c:v>-7090.5</c:v>
                </c:pt>
                <c:pt idx="2">
                  <c:v>-9087.14</c:v>
                </c:pt>
                <c:pt idx="3">
                  <c:v>-9310.14</c:v>
                </c:pt>
                <c:pt idx="4">
                  <c:v>-9403.64</c:v>
                </c:pt>
                <c:pt idx="5">
                  <c:v>-8100.9089999999997</c:v>
                </c:pt>
                <c:pt idx="6">
                  <c:v>-7814.2089999999998</c:v>
                </c:pt>
                <c:pt idx="7">
                  <c:v>-7655.2089999999998</c:v>
                </c:pt>
                <c:pt idx="8">
                  <c:v>-7655.2089999999998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C-40F4-8727-C18A93535844}"/>
            </c:ext>
          </c:extLst>
        </c:ser>
        <c:ser>
          <c:idx val="2"/>
          <c:order val="2"/>
          <c:spPr>
            <a:solidFill>
              <a:srgbClr val="F8CB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73C-40F4-8727-C18A9353584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773C-40F4-8727-C18A93535844}"/>
              </c:ext>
            </c:extLst>
          </c:dPt>
          <c:dPt>
            <c:idx val="2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73C-40F4-8727-C18A9353584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73C-40F4-8727-C18A9353584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73C-40F4-8727-C18A93535844}"/>
              </c:ext>
            </c:extLst>
          </c:dPt>
          <c:dPt>
            <c:idx val="5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0F-773C-40F4-8727-C18A93535844}"/>
              </c:ext>
            </c:extLst>
          </c:dPt>
          <c:dPt>
            <c:idx val="6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11-773C-40F4-8727-C18A93535844}"/>
              </c:ext>
            </c:extLst>
          </c:dPt>
          <c:dPt>
            <c:idx val="7"/>
            <c:invertIfNegative val="0"/>
            <c:bubble3D val="0"/>
            <c:spPr>
              <a:solidFill>
                <a:srgbClr val="C5E0B4"/>
              </a:solidFill>
            </c:spPr>
            <c:extLst>
              <c:ext xmlns:c16="http://schemas.microsoft.com/office/drawing/2014/chart" uri="{C3380CC4-5D6E-409C-BE32-E72D297353CC}">
                <c16:uniqueId val="{00000013-773C-40F4-8727-C18A9353584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73C-40F4-8727-C18A93535844}"/>
              </c:ext>
            </c:extLst>
          </c:dPt>
          <c:dPt>
            <c:idx val="9"/>
            <c:invertIfNegative val="0"/>
            <c:bubble3D val="0"/>
            <c:spPr>
              <a:solidFill>
                <a:srgbClr val="C6D9F1"/>
              </a:solidFill>
            </c:spPr>
            <c:extLst>
              <c:ext xmlns:c16="http://schemas.microsoft.com/office/drawing/2014/chart" uri="{C3380CC4-5D6E-409C-BE32-E72D297353CC}">
                <c16:uniqueId val="{00000016-773C-40F4-8727-C18A93535844}"/>
              </c:ext>
            </c:extLst>
          </c:dPt>
          <c:dLbls>
            <c:dLbl>
              <c:idx val="0"/>
              <c:layout>
                <c:manualLayout>
                  <c:x val="-5.7312509621030544E-2"/>
                  <c:y val="4.0877008163492396E-3"/>
                </c:manualLayout>
              </c:layout>
              <c:tx>
                <c:rich>
                  <a:bodyPr/>
                  <a:lstStyle/>
                  <a:p>
                    <a:fld id="{999E837E-ADEA-4D06-A45F-3CFDC80E86AB}" type="VALUE">
                      <a:rPr lang="en-US"/>
                      <a:pPr/>
                      <a:t>[HODNOTA]</a:t>
                    </a:fld>
                    <a:r>
                      <a:rPr lang="en-US"/>
                      <a:t>; (-7,41 %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63934837230969"/>
                      <c:h val="5.9169630249758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73C-40F4-8727-C18A935358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1343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3C-40F4-8727-C18A935358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3C-40F4-8727-C18A93535844}"/>
                </c:ext>
              </c:extLst>
            </c:dLbl>
            <c:dLbl>
              <c:idx val="7"/>
              <c:layout>
                <c:manualLayout>
                  <c:x val="3.1832984611759783E-3"/>
                  <c:y val="-8.60896425952572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3C-40F4-8727-C18A93535844}"/>
                </c:ext>
              </c:extLst>
            </c:dLbl>
            <c:dLbl>
              <c:idx val="8"/>
              <c:layout>
                <c:manualLayout>
                  <c:x val="-1.5916687794920873E-3"/>
                  <c:y val="-8.154946552994138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3C-40F4-8727-C18A93535844}"/>
                </c:ext>
              </c:extLst>
            </c:dLbl>
            <c:dLbl>
              <c:idx val="9"/>
              <c:layout>
                <c:manualLayout>
                  <c:x val="-9.6316856446454047E-2"/>
                  <c:y val="0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en-US" sz="900"/>
                      <a:t>-7718; (-7,92 % HDP)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04733421616995"/>
                      <c:h val="5.916963024975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73C-40F4-8727-C18A93535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[66]waterfall_očakávačka_2021!$C$26:$C$35</c:f>
              <c:strCache>
                <c:ptCount val="10"/>
                <c:pt idx="0">
                  <c:v>Saldo VS - rozpočet</c:v>
                </c:pt>
                <c:pt idx="1">
                  <c:v>Vyšší vplyv prijatých opatrení v boji s pandémiou COVID-19</c:v>
                </c:pt>
                <c:pt idx="2">
                  <c:v>Dofinancovanie podnikov pod MDV SR</c:v>
                </c:pt>
                <c:pt idx="3">
                  <c:v>Vybrané expanzívne opatrenia vlády</c:v>
                </c:pt>
                <c:pt idx="4">
                  <c:v>Čistý vplyv korekcií EU a vyšší odvod do EU</c:v>
                </c:pt>
                <c:pt idx="5">
                  <c:v>Vyššie daňovo-odvodové príjmy</c:v>
                </c:pt>
                <c:pt idx="6">
                  <c:v>Nižšie výdavky SP (najmä dôchodky a nemocenské poistenie)</c:v>
                </c:pt>
                <c:pt idx="7">
                  <c:v>Nižšie výdavky na spolufinancovanie (mimo COVID-19)</c:v>
                </c:pt>
                <c:pt idx="8">
                  <c:v>Ostatné vplyvy</c:v>
                </c:pt>
                <c:pt idx="9">
                  <c:v>Saldo VS - očakávaná skutočnosť</c:v>
                </c:pt>
              </c:strCache>
            </c:strRef>
          </c:cat>
          <c:val>
            <c:numRef>
              <c:f>[66]waterfall_očakávačka_2021!$H$26:$H$35</c:f>
              <c:numCache>
                <c:formatCode>General</c:formatCode>
                <c:ptCount val="10"/>
                <c:pt idx="0">
                  <c:v>-7090.5</c:v>
                </c:pt>
                <c:pt idx="1">
                  <c:v>-1996.6399999999996</c:v>
                </c:pt>
                <c:pt idx="2">
                  <c:v>-223</c:v>
                </c:pt>
                <c:pt idx="3">
                  <c:v>-93.5</c:v>
                </c:pt>
                <c:pt idx="4">
                  <c:v>-40.500000000000007</c:v>
                </c:pt>
                <c:pt idx="5">
                  <c:v>-1343.2309999999995</c:v>
                </c:pt>
                <c:pt idx="6">
                  <c:v>-286.7</c:v>
                </c:pt>
                <c:pt idx="7">
                  <c:v>-159</c:v>
                </c:pt>
                <c:pt idx="8">
                  <c:v>-62.89100000000235</c:v>
                </c:pt>
                <c:pt idx="9">
                  <c:v>-7718.1000000000022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73C-40F4-8727-C18A9353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0281864"/>
        <c:axId val="320282256"/>
      </c:barChart>
      <c:catAx>
        <c:axId val="320281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320282256"/>
        <c:crosses val="autoZero"/>
        <c:auto val="1"/>
        <c:lblAlgn val="ctr"/>
        <c:lblOffset val="100"/>
        <c:noMultiLvlLbl val="0"/>
      </c:catAx>
      <c:valAx>
        <c:axId val="320282256"/>
        <c:scaling>
          <c:orientation val="minMax"/>
          <c:max val="-5000"/>
          <c:min val="-10000"/>
        </c:scaling>
        <c:delete val="0"/>
        <c:axPos val="t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32028186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03328320314841E-2"/>
          <c:y val="5.0925925925925923E-2"/>
          <c:w val="0.84326036713863017"/>
          <c:h val="0.70169515395941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[66]COVID_pomoc_box!$O$4</c:f>
              <c:strCache>
                <c:ptCount val="1"/>
                <c:pt idx="0">
                  <c:v>Podpora udržania zamestnanosti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[66]COVID_pomoc_box!$P$4:$T$4</c:f>
              <c:numCache>
                <c:formatCode>General</c:formatCode>
                <c:ptCount val="5"/>
                <c:pt idx="0">
                  <c:v>1.0065156558774431</c:v>
                </c:pt>
                <c:pt idx="2">
                  <c:v>1.8577967575777905</c:v>
                </c:pt>
                <c:pt idx="4">
                  <c:v>0.31269111829656221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C-4745-9A9C-263485C5A39E}"/>
            </c:ext>
          </c:extLst>
        </c:ser>
        <c:ser>
          <c:idx val="1"/>
          <c:order val="1"/>
          <c:tx>
            <c:strRef>
              <c:f>[66]COVID_pomoc_box!$O$5</c:f>
              <c:strCache>
                <c:ptCount val="1"/>
                <c:pt idx="0">
                  <c:v>Sociálna pomoc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940331925951177E-3"/>
                  <c:y val="8.6947058446961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C-4745-9A9C-263485C5A39E}"/>
                </c:ext>
              </c:extLst>
            </c:dLbl>
            <c:dLbl>
              <c:idx val="4"/>
              <c:layout>
                <c:manualLayout>
                  <c:x val="2.5331035105514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EC-4745-9A9C-263485C5A39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[66]COVID_pomoc_box!$P$5:$T$5</c:f>
              <c:numCache>
                <c:formatCode>General</c:formatCode>
                <c:ptCount val="5"/>
                <c:pt idx="0">
                  <c:v>0.32652243362411065</c:v>
                </c:pt>
                <c:pt idx="2">
                  <c:v>0.52432473412024605</c:v>
                </c:pt>
                <c:pt idx="4">
                  <c:v>0.13748933716615505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EC-4745-9A9C-263485C5A39E}"/>
            </c:ext>
          </c:extLst>
        </c:ser>
        <c:ser>
          <c:idx val="2"/>
          <c:order val="2"/>
          <c:tx>
            <c:strRef>
              <c:f>[66]COVID_pomoc_box!$O$6</c:f>
              <c:strCache>
                <c:ptCount val="1"/>
                <c:pt idx="0">
                  <c:v>Odpustenie daní a odvodov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880663851902598E-3"/>
                  <c:y val="1.1292490877664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EC-4745-9A9C-263485C5A3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EC-4745-9A9C-263485C5A39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[66]COVID_pomoc_box!$P$6:$S$6</c:f>
              <c:numCache>
                <c:formatCode>General</c:formatCode>
                <c:ptCount val="4"/>
                <c:pt idx="0">
                  <c:v>9.6079189521661293E-2</c:v>
                </c:pt>
                <c:pt idx="2">
                  <c:v>1.6140252678624213E-2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EC-4745-9A9C-263485C5A39E}"/>
            </c:ext>
          </c:extLst>
        </c:ser>
        <c:ser>
          <c:idx val="3"/>
          <c:order val="3"/>
          <c:tx>
            <c:strRef>
              <c:f>[66]COVID_pomoc_box!$O$7</c:f>
              <c:strCache>
                <c:ptCount val="1"/>
                <c:pt idx="0">
                  <c:v>Zvýšené výdavky v zdravotníctve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1582323481658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EC-4745-9A9C-263485C5A39E}"/>
                </c:ext>
              </c:extLst>
            </c:dLbl>
            <c:dLbl>
              <c:idx val="4"/>
              <c:layout>
                <c:manualLayout>
                  <c:x val="-1.1515013488732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46696901925553E-2"/>
                      <c:h val="6.89371142533231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7EC-4745-9A9C-263485C5A39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[66]COVID_pomoc_box!$P$7:$T$7</c:f>
              <c:numCache>
                <c:formatCode>General</c:formatCode>
                <c:ptCount val="5"/>
                <c:pt idx="0">
                  <c:v>0.40971585314663667</c:v>
                </c:pt>
                <c:pt idx="2">
                  <c:v>0.66356584319540468</c:v>
                </c:pt>
                <c:pt idx="4">
                  <c:v>0.18288640224975597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EC-4745-9A9C-263485C5A39E}"/>
            </c:ext>
          </c:extLst>
        </c:ser>
        <c:ser>
          <c:idx val="4"/>
          <c:order val="4"/>
          <c:tx>
            <c:strRef>
              <c:f>[66]COVID_pomoc_box!$O$8</c:f>
              <c:strCache>
                <c:ptCount val="1"/>
                <c:pt idx="0">
                  <c:v>Iné opatrenia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07253923590573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EC-4745-9A9C-263485C5A39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[66]COVID_pomoc_box!$P$8:$T$8</c:f>
              <c:numCache>
                <c:formatCode>General</c:formatCode>
                <c:ptCount val="5"/>
                <c:pt idx="0">
                  <c:v>0.28877923455786503</c:v>
                </c:pt>
                <c:pt idx="2">
                  <c:v>0.20323766763900736</c:v>
                </c:pt>
                <c:pt idx="4">
                  <c:v>9.3807335488968649E-2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EC-4745-9A9C-263485C5A39E}"/>
            </c:ext>
          </c:extLst>
        </c:ser>
        <c:ser>
          <c:idx val="5"/>
          <c:order val="5"/>
          <c:tx>
            <c:strRef>
              <c:f>[66]COVID_pomoc_box!$O$9</c:f>
              <c:strCache>
                <c:ptCount val="1"/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[66]COVID_pomoc_box!$P$9:$S$9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C-97EC-4745-9A9C-263485C5A39E}"/>
            </c:ext>
          </c:extLst>
        </c:ser>
        <c:ser>
          <c:idx val="6"/>
          <c:order val="6"/>
          <c:tx>
            <c:strRef>
              <c:f>[66]COVID_pomoc_box!$O$10</c:f>
              <c:strCache>
                <c:ptCount val="1"/>
                <c:pt idx="0">
                  <c:v>Odklad daní a odvodov </c:v>
                </c:pt>
              </c:strCache>
            </c:strRef>
          </c:tx>
          <c:spPr>
            <a:pattFill prst="pct7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[66]COVID_pomoc_box!$P$10:$S$10</c:f>
              <c:numCache>
                <c:formatCode>General</c:formatCode>
                <c:ptCount val="4"/>
                <c:pt idx="1">
                  <c:v>0.49834072778036181</c:v>
                </c:pt>
                <c:pt idx="3">
                  <c:v>5.8178586275804828E-2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EC-4745-9A9C-263485C5A39E}"/>
            </c:ext>
          </c:extLst>
        </c:ser>
        <c:ser>
          <c:idx val="7"/>
          <c:order val="7"/>
          <c:tx>
            <c:strRef>
              <c:f>[66]COVID_pomoc_box!$O$11</c:f>
              <c:strCache>
                <c:ptCount val="1"/>
                <c:pt idx="0">
                  <c:v>Bankové garancie </c:v>
                </c:pt>
              </c:strCache>
            </c:strRef>
          </c:tx>
          <c:spPr>
            <a:pattFill prst="pct70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[66]COVID_pomoc_box!$P$11:$S$11</c:f>
              <c:numCache>
                <c:formatCode>General</c:formatCode>
                <c:ptCount val="4"/>
                <c:pt idx="1">
                  <c:v>1.1274418136298303</c:v>
                </c:pt>
                <c:pt idx="3">
                  <c:v>0.34559318421689361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EC-4745-9A9C-263485C5A39E}"/>
            </c:ext>
          </c:extLst>
        </c:ser>
        <c:ser>
          <c:idx val="9"/>
          <c:order val="9"/>
          <c:tx>
            <c:strRef>
              <c:f>[66]COVID_pomoc_box!$O$12</c:f>
              <c:strCache>
                <c:ptCount val="1"/>
                <c:pt idx="0">
                  <c:v>Financovanie z EÚ fondov</c:v>
                </c:pt>
              </c:strCache>
            </c:strRef>
          </c:tx>
          <c:spPr>
            <a:solidFill>
              <a:srgbClr val="C5E0B4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-0,4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EC-4745-9A9C-263485C5A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[66]COVID_pomoc_box!$P$12:$S$12</c:f>
              <c:numCache>
                <c:formatCode>General</c:formatCode>
                <c:ptCount val="4"/>
                <c:pt idx="0">
                  <c:v>-0.37246283915878425</c:v>
                </c:pt>
                <c:pt idx="2">
                  <c:v>-0.15022928129097662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EC-4745-9A9C-263485C5A39E}"/>
            </c:ext>
          </c:extLst>
        </c:ser>
        <c:ser>
          <c:idx val="10"/>
          <c:order val="10"/>
          <c:tx>
            <c:strRef>
              <c:f>[66]COVID_pomoc_box!$O$13</c:f>
              <c:strCache>
                <c:ptCount val="1"/>
                <c:pt idx="0">
                  <c:v>Odložené splátky</c:v>
                </c:pt>
              </c:strCache>
            </c:strRef>
          </c:tx>
          <c:spPr>
            <a:pattFill prst="wave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2540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[66]COVID_pomoc_box!$P$13:$S$13</c:f>
              <c:numCache>
                <c:formatCode>General</c:formatCode>
                <c:ptCount val="4"/>
                <c:pt idx="1">
                  <c:v>0.53106425613596153</c:v>
                </c:pt>
                <c:pt idx="3">
                  <c:v>9.8419929540285001E-2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7EC-4745-9A9C-263485C5A39E}"/>
            </c:ext>
          </c:extLst>
        </c:ser>
        <c:ser>
          <c:idx val="11"/>
          <c:order val="11"/>
          <c:tx>
            <c:strRef>
              <c:f>[66]COVID_pomoc_box!$O$14</c:f>
              <c:strCache>
                <c:ptCount val="1"/>
                <c:pt idx="0">
                  <c:v>Transfery v rámci verejnej správy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80">
                <a:fgClr>
                  <a:schemeClr val="bg1">
                    <a:lumMod val="95000"/>
                  </a:schemeClr>
                </a:fgClr>
                <a:bgClr>
                  <a:schemeClr val="bg1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7EC-4745-9A9C-263485C5A39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[66]COVID_pomoc_box!$P$14:$S$14</c:f>
              <c:numCache>
                <c:formatCode>General</c:formatCode>
                <c:ptCount val="4"/>
                <c:pt idx="1">
                  <c:v>1.063466697541519</c:v>
                </c:pt>
                <c:pt idx="3">
                  <c:v>0.30788299126262247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7EC-4745-9A9C-263485C5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283432"/>
        <c:axId val="320283824"/>
      </c:barChart>
      <c:lineChart>
        <c:grouping val="stacked"/>
        <c:varyColors val="0"/>
        <c:ser>
          <c:idx val="8"/>
          <c:order val="8"/>
          <c:tx>
            <c:strRef>
              <c:f>[66]COVID_pomoc_box!$O$15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910497888926789E-2"/>
                  <c:y val="-9.756097560975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EC-4745-9A9C-263485C5A39E}"/>
                </c:ext>
              </c:extLst>
            </c:dLbl>
            <c:dLbl>
              <c:idx val="1"/>
              <c:layout>
                <c:manualLayout>
                  <c:x val="-3.8910497888926816E-2"/>
                  <c:y val="-4.87804878048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EC-4745-9A9C-263485C5A39E}"/>
                </c:ext>
              </c:extLst>
            </c:dLbl>
            <c:dLbl>
              <c:idx val="2"/>
              <c:layout>
                <c:manualLayout>
                  <c:x val="-3.8910497888926865E-2"/>
                  <c:y val="-6.0975609756097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EC-4745-9A9C-263485C5A39E}"/>
                </c:ext>
              </c:extLst>
            </c:dLbl>
            <c:dLbl>
              <c:idx val="3"/>
              <c:layout>
                <c:manualLayout>
                  <c:x val="-4.1504531081521981E-2"/>
                  <c:y val="-6.09756097560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EC-4745-9A9C-263485C5A39E}"/>
                </c:ext>
              </c:extLst>
            </c:dLbl>
            <c:dLbl>
              <c:idx val="4"/>
              <c:layout>
                <c:manualLayout>
                  <c:x val="-3.4542320598428933E-2"/>
                  <c:y val="-5.753889229600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EC-4745-9A9C-263485C5A39E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[66]COVID_pomoc_box!$P$3:$T$3</c:f>
              <c:strCache>
                <c:ptCount val="5"/>
                <c:pt idx="0">
                  <c:v>Pomoc s vplyvom na deficit</c:v>
                </c:pt>
                <c:pt idx="1">
                  <c:v>Ostatné opatrenia bez vplyvu na deficit</c:v>
                </c:pt>
                <c:pt idx="2">
                  <c:v>Pomoc s vplyvom na deficit</c:v>
                </c:pt>
                <c:pt idx="3">
                  <c:v>Ostatné opatrenia bez vplyvu na deficit</c:v>
                </c:pt>
                <c:pt idx="4">
                  <c:v>Pomoc s vplyvom na deficit</c:v>
                </c:pt>
              </c:strCache>
            </c:strRef>
          </c:cat>
          <c:val>
            <c:numRef>
              <c:f>[66]COVID_pomoc_box!$P$15:$T$15</c:f>
              <c:numCache>
                <c:formatCode>General</c:formatCode>
                <c:ptCount val="5"/>
                <c:pt idx="0">
                  <c:v>1.7551495275689324</c:v>
                </c:pt>
                <c:pt idx="1">
                  <c:v>3.2203134950876722</c:v>
                </c:pt>
                <c:pt idx="2">
                  <c:v>3.1148359739200964</c:v>
                </c:pt>
                <c:pt idx="3">
                  <c:v>0.81007469129560583</c:v>
                </c:pt>
                <c:pt idx="4">
                  <c:v>0.72687419320144186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7EC-4745-9A9C-263485C5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83432"/>
        <c:axId val="320283824"/>
      </c:lineChart>
      <c:catAx>
        <c:axId val="32028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0283824"/>
        <c:crosses val="autoZero"/>
        <c:auto val="1"/>
        <c:lblAlgn val="ctr"/>
        <c:lblOffset val="100"/>
        <c:noMultiLvlLbl val="0"/>
      </c:catAx>
      <c:valAx>
        <c:axId val="320283824"/>
        <c:scaling>
          <c:orientation val="minMax"/>
          <c:max val="4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V 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202834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7.0243559291326474E-2"/>
          <c:y val="0.80017412457589143"/>
          <c:w val="0.92975644070867358"/>
          <c:h val="0.19930350169643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'[63]Zhrnutie '!$A$49</c:f>
              <c:strCache>
                <c:ptCount val="1"/>
                <c:pt idx="0">
                  <c:v>General government 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-1,33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88-4311-B6ED-8060C2E5DB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-5,5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88-4311-B6ED-8060C2E5DB87}"/>
                </c:ext>
              </c:extLst>
            </c:dLbl>
            <c:dLbl>
              <c:idx val="3"/>
              <c:layout>
                <c:manualLayout>
                  <c:x val="-1.203459804797872E-2"/>
                  <c:y val="0.10521227404732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A-4B5E-AA9E-A6BC726B6D36}"/>
                </c:ext>
              </c:extLst>
            </c:dLbl>
            <c:dLbl>
              <c:idx val="4"/>
              <c:layout>
                <c:manualLayout>
                  <c:x val="-1.50432475599734E-2"/>
                  <c:y val="9.99516603449553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-2,68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A-4B5E-AA9E-A6BC726B6D36}"/>
                </c:ext>
              </c:extLst>
            </c:dLbl>
            <c:dLbl>
              <c:idx val="5"/>
              <c:layout>
                <c:manualLayout>
                  <c:x val="-1.8051897071967971E-2"/>
                  <c:y val="9.99516603449553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A-4B5E-AA9E-A6BC726B6D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'!$B$48:$G$48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'!$B$49:$G$49</c:f>
              <c:numCache>
                <c:formatCode>General</c:formatCode>
                <c:ptCount val="6"/>
                <c:pt idx="0">
                  <c:v>-1.331659961458199</c:v>
                </c:pt>
                <c:pt idx="1">
                  <c:v>-5.4972654915000234</c:v>
                </c:pt>
                <c:pt idx="2">
                  <c:v>-7.92</c:v>
                </c:pt>
                <c:pt idx="3">
                  <c:v>-4.9400000000000004</c:v>
                </c:pt>
                <c:pt idx="4">
                  <c:v>-2.6760906917588114</c:v>
                </c:pt>
                <c:pt idx="5">
                  <c:v>-2.5997988270923895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EA-4B5E-AA9E-A6BC726B6D36}"/>
            </c:ext>
          </c:extLst>
        </c:ser>
        <c:ser>
          <c:idx val="3"/>
          <c:order val="3"/>
          <c:tx>
            <c:strRef>
              <c:f>'[63]Zhrnutie '!$A$50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'!$B$48:$G$48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'!$B$50:$G$50</c:f>
              <c:numCache>
                <c:formatCode>General</c:formatCode>
                <c:ptCount val="6"/>
                <c:pt idx="0">
                  <c:v>-2.034494137395904</c:v>
                </c:pt>
                <c:pt idx="1">
                  <c:v>-2.4356621546077144</c:v>
                </c:pt>
                <c:pt idx="2">
                  <c:v>-4.2757747817135785</c:v>
                </c:pt>
                <c:pt idx="3">
                  <c:v>-4.0771795915916851</c:v>
                </c:pt>
                <c:pt idx="4">
                  <c:v>-3.0767713629137114</c:v>
                </c:pt>
                <c:pt idx="5">
                  <c:v>-2.0767713629137114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A-4B5E-AA9E-A6BC726B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234616"/>
        <c:axId val="3172350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'[63]Zhrnutie '!$B$48:$G$48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-0.76824761672633235</c:v>
                    </c:pt>
                    <c:pt idx="1">
                      <c:v>-0.48303497501143366</c:v>
                    </c:pt>
                    <c:pt idx="2">
                      <c:v>-0.40937913778683582</c:v>
                    </c:pt>
                    <c:pt idx="3">
                      <c:v>-0.26601868576682675</c:v>
                    </c:pt>
                    <c:pt idx="4">
                      <c:v>8.2188494979382049E-2</c:v>
                    </c:pt>
                    <c:pt idx="5">
                      <c:v>0.65512676216840304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8-DCEA-4B5E-AA9E-A6BC726B6D3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'[63]Zhrnutie '!$B$48:$G$48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-1.2519740276885707E-3</c:v>
                    </c:pt>
                    <c:pt idx="1">
                      <c:v>-0.31213125928600882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CEA-4B5E-AA9E-A6BC726B6D3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'[63]Zhrnutie '!$B$48:$G$48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0.4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CEA-4B5E-AA9E-A6BC726B6D3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'[63]Zhrnutie '!$A$51</c:f>
              <c:strCache>
                <c:ptCount val="1"/>
                <c:pt idx="0">
                  <c:v>Consolidation effort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068439432450252E-2"/>
                  <c:y val="-4.2939862900950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A-4B5E-AA9E-A6BC726B6D36}"/>
                </c:ext>
              </c:extLst>
            </c:dLbl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A-4B5E-AA9E-A6BC726B6D3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'[63]Zhrnutie '!$B$51:$G$51</c:f>
              <c:numCache>
                <c:formatCode>General</c:formatCode>
                <c:ptCount val="6"/>
                <c:pt idx="0">
                  <c:v>-0.42022344974479364</c:v>
                </c:pt>
                <c:pt idx="1">
                  <c:v>-0.40116801721181039</c:v>
                </c:pt>
                <c:pt idx="2">
                  <c:v>-1.8401126271058641</c:v>
                </c:pt>
                <c:pt idx="3">
                  <c:v>0.19859519012189342</c:v>
                </c:pt>
                <c:pt idx="4">
                  <c:v>1.0004082286779736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EA-4B5E-AA9E-A6BC726B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34616"/>
        <c:axId val="31723500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#ODKAZ!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6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</c:numLit>
                </c:cat>
                <c:val>
                  <c:numLit>
                    <c:formatCode>General</c:formatCode>
                    <c:ptCount val="6"/>
                    <c:pt idx="0">
                      <c:v>-0.36519077765016172</c:v>
                    </c:pt>
                    <c:pt idx="1">
                      <c:v>-0.25433335645657884</c:v>
                    </c:pt>
                    <c:pt idx="2">
                      <c:v>0.4542129034893938</c:v>
                    </c:pt>
                    <c:pt idx="3">
                      <c:v>0.69663954797999073</c:v>
                    </c:pt>
                    <c:pt idx="4">
                      <c:v>0.50179281925379127</c:v>
                    </c:pt>
                    <c:pt idx="5">
                      <c:v>2.2188494979382023E-2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A-DCEA-4B5E-AA9E-A6BC726B6D36}"/>
                  </c:ext>
                </c:extLst>
              </c15:ser>
            </c15:filteredLineSeries>
          </c:ext>
        </c:extLst>
      </c:lineChart>
      <c:catAx>
        <c:axId val="31723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7235008"/>
        <c:crosses val="autoZero"/>
        <c:auto val="1"/>
        <c:lblAlgn val="ctr"/>
        <c:lblOffset val="100"/>
        <c:noMultiLvlLbl val="0"/>
      </c:catAx>
      <c:valAx>
        <c:axId val="317235008"/>
        <c:scaling>
          <c:orientation val="minMax"/>
          <c:max val="1.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72346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091181979942504E-2"/>
          <c:y val="3.2723502558025227E-3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[67]Hárok1!$C$5</c:f>
              <c:strCache>
                <c:ptCount val="1"/>
                <c:pt idx="0">
                  <c:v>SB - European Fiscal Rules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-2,4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3A-4353-A829-E0CB620B02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A-4353-A829-E0CB620B02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-4,1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3A-4353-A829-E0CB620B02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-3,1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3A-4353-A829-E0CB620B02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-2,1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3A-4353-A829-E0CB620B0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[67]Hárok1!$D$5:$H$5</c:f>
              <c:numCache>
                <c:formatCode>General</c:formatCode>
                <c:ptCount val="5"/>
                <c:pt idx="0">
                  <c:v>-2.4356621546077144</c:v>
                </c:pt>
                <c:pt idx="1">
                  <c:v>-4.2757747817135785</c:v>
                </c:pt>
                <c:pt idx="2">
                  <c:v>-4.0771795915916851</c:v>
                </c:pt>
                <c:pt idx="3">
                  <c:v>-3.0767713629137114</c:v>
                </c:pt>
                <c:pt idx="4">
                  <c:v>-2.0767713629137114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98F-8665-EE93A7CF0044}"/>
            </c:ext>
          </c:extLst>
        </c:ser>
        <c:ser>
          <c:idx val="3"/>
          <c:order val="3"/>
          <c:tx>
            <c:strRef>
              <c:f>[67]Hárok1!$C$7</c:f>
              <c:strCache>
                <c:ptCount val="1"/>
                <c:pt idx="0">
                  <c:v>SB - Amendment to the Act (UZoRZ)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[67]Hárok1!$D$7:$H$7</c:f>
              <c:numCache>
                <c:formatCode>General</c:formatCode>
                <c:ptCount val="5"/>
                <c:pt idx="2">
                  <c:v>-4.0976527675217262</c:v>
                </c:pt>
                <c:pt idx="3">
                  <c:v>-2.4976527675217262</c:v>
                </c:pt>
                <c:pt idx="4">
                  <c:v>-1.6976527675217263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98F-8665-EE93A7CF0044}"/>
            </c:ext>
          </c:extLst>
        </c:ser>
        <c:ser>
          <c:idx val="5"/>
          <c:order val="5"/>
          <c:tx>
            <c:strRef>
              <c:f>[67]Hárok1!$C$9</c:f>
              <c:strCache>
                <c:ptCount val="1"/>
                <c:pt idx="0">
                  <c:v>SB - Applicable Act (UZoRZ)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[67]Hárok1!$D$9:$H$9</c:f>
              <c:numCache>
                <c:formatCode>General</c:formatCode>
                <c:ptCount val="5"/>
                <c:pt idx="2">
                  <c:v>-4.0771795915916851</c:v>
                </c:pt>
                <c:pt idx="3">
                  <c:v>-3.0767713629137114</c:v>
                </c:pt>
                <c:pt idx="4">
                  <c:v>0.52302746417867818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A-498F-8665-EE93A7CF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445432"/>
        <c:axId val="4724458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[67]Hárok1!$C$4</c15:sqref>
                        </c15:formulaRef>
                      </c:ext>
                    </c:extLst>
                    <c:strCache>
                      <c:ptCount val="1"/>
                      <c:pt idx="0">
                        <c:v>NB - European Fiscal Rules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[67]Hárok1!$D$4:$H$4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-5.4972654915000234</c:v>
                      </c:pt>
                      <c:pt idx="1">
                        <c:v>-7.92</c:v>
                      </c:pt>
                      <c:pt idx="2">
                        <c:v>-4.9400000000000004</c:v>
                      </c:pt>
                      <c:pt idx="3">
                        <c:v>-2.6760906917588114</c:v>
                      </c:pt>
                      <c:pt idx="4">
                        <c:v>-2.5997988270923895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3DA-498F-8665-EE93A7CF004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[67]Hárok1!$C$6</c15:sqref>
                        </c15:formulaRef>
                      </c:ext>
                    </c:extLst>
                    <c:strCache>
                      <c:ptCount val="1"/>
                      <c:pt idx="0">
                        <c:v>NB - Amendment to the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-4.9400000000000004</c:v>
                      </c:pt>
                      <c:pt idx="3">
                        <c:v>-2.0969720963668261</c:v>
                      </c:pt>
                      <c:pt idx="4">
                        <c:v>-2.2206802317004044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3DA-498F-8665-EE93A7CF004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[67]Hárok1!$C$8</c15:sqref>
                        </c15:formulaRef>
                      </c:ext>
                    </c:extLst>
                    <c:strCache>
                      <c:ptCount val="1"/>
                      <c:pt idx="0">
                        <c:v>NB - Applicable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[67]Hárok1!$D$8:$H$8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-4.9400000000000004</c:v>
                      </c:pt>
                      <c:pt idx="3">
                        <c:v>-2.6760906917588114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3DA-498F-8665-EE93A7CF0044}"/>
                  </c:ext>
                </c:extLst>
              </c15:ser>
            </c15:filteredLineSeries>
          </c:ext>
        </c:extLst>
      </c:lineChart>
      <c:catAx>
        <c:axId val="47244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5824"/>
        <c:crosses val="autoZero"/>
        <c:auto val="1"/>
        <c:lblAlgn val="ctr"/>
        <c:lblOffset val="100"/>
        <c:noMultiLvlLbl val="0"/>
      </c:catAx>
      <c:valAx>
        <c:axId val="472445824"/>
        <c:scaling>
          <c:orientation val="minMax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[67]Hárok1!$C$4</c:f>
              <c:strCache>
                <c:ptCount val="1"/>
                <c:pt idx="0">
                  <c:v>NB - European Fiscal Rules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5-4B29-B72F-D93E437382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5-4B29-B72F-D93E437382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E5-4B29-B72F-D93E437382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-2,7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5-4B29-B72F-D93E437382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-2,6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5-4B29-B72F-D93E43738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[67]Hárok1!$D$4:$H$4</c:f>
              <c:numCache>
                <c:formatCode>General</c:formatCode>
                <c:ptCount val="5"/>
                <c:pt idx="0">
                  <c:v>-5.4972654915000234</c:v>
                </c:pt>
                <c:pt idx="1">
                  <c:v>-7.92</c:v>
                </c:pt>
                <c:pt idx="2">
                  <c:v>-4.9400000000000004</c:v>
                </c:pt>
                <c:pt idx="3">
                  <c:v>-2.6760906917588114</c:v>
                </c:pt>
                <c:pt idx="4">
                  <c:v>-2.5997988270923895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487-487F-A90A-00934EB77342}"/>
            </c:ext>
          </c:extLst>
        </c:ser>
        <c:ser>
          <c:idx val="2"/>
          <c:order val="2"/>
          <c:tx>
            <c:strRef>
              <c:f>[67]Hárok1!$C$6</c:f>
              <c:strCache>
                <c:ptCount val="1"/>
                <c:pt idx="0">
                  <c:v>NB - Amendment to the Act (UZoRZ)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[67]Hárok1!$D$6:$H$6</c:f>
              <c:numCache>
                <c:formatCode>General</c:formatCode>
                <c:ptCount val="5"/>
                <c:pt idx="2">
                  <c:v>-4.9400000000000004</c:v>
                </c:pt>
                <c:pt idx="3">
                  <c:v>-2.0969720963668261</c:v>
                </c:pt>
                <c:pt idx="4">
                  <c:v>-2.2206802317004044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487-487F-A90A-00934EB77342}"/>
            </c:ext>
          </c:extLst>
        </c:ser>
        <c:ser>
          <c:idx val="4"/>
          <c:order val="4"/>
          <c:tx>
            <c:strRef>
              <c:f>[67]Hárok1!$C$8</c:f>
              <c:strCache>
                <c:ptCount val="1"/>
                <c:pt idx="0">
                  <c:v>NB - Applicable Act (UZoRZ)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[67]Hárok1!$D$8:$H$8</c:f>
              <c:numCache>
                <c:formatCode>General</c:formatCode>
                <c:ptCount val="5"/>
                <c:pt idx="2">
                  <c:v>-4.9400000000000004</c:v>
                </c:pt>
                <c:pt idx="3">
                  <c:v>-2.6760906917588114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487-487F-A90A-00934EB7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446608"/>
        <c:axId val="4724470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[67]Hárok1!$C$5</c15:sqref>
                        </c15:formulaRef>
                      </c:ext>
                    </c:extLst>
                    <c:strCache>
                      <c:ptCount val="1"/>
                      <c:pt idx="0">
                        <c:v>SB - European Fiscal Rules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[67]Hárok1!$D$5:$H$5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-2.4356621546077144</c:v>
                      </c:pt>
                      <c:pt idx="1">
                        <c:v>-4.2757747817135785</c:v>
                      </c:pt>
                      <c:pt idx="2">
                        <c:v>-4.0771795915916851</c:v>
                      </c:pt>
                      <c:pt idx="3">
                        <c:v>-3.0767713629137114</c:v>
                      </c:pt>
                      <c:pt idx="4">
                        <c:v>-2.0767713629137114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487-487F-A90A-00934EB7734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[67]Hárok1!$C$7</c15:sqref>
                        </c15:formulaRef>
                      </c:ext>
                    </c:extLst>
                    <c:strCache>
                      <c:ptCount val="1"/>
                      <c:pt idx="0">
                        <c:v>SB - Amendment to the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65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[67]Hárok1!$D$7:$H$7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-4.0976527675217262</c:v>
                      </c:pt>
                      <c:pt idx="3">
                        <c:v>-2.4976527675217262</c:v>
                      </c:pt>
                      <c:pt idx="4">
                        <c:v>-1.6976527675217263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487-487F-A90A-00934EB7734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[67]Hárok1!$C$9</c15:sqref>
                        </c15:formulaRef>
                      </c:ext>
                    </c:extLst>
                    <c:strCache>
                      <c:ptCount val="1"/>
                      <c:pt idx="0">
                        <c:v>SB - Applicable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65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[67]Hárok1!$D$9:$H$9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-4.0771795915916851</c:v>
                      </c:pt>
                      <c:pt idx="3">
                        <c:v>-3.0767713629137114</c:v>
                      </c:pt>
                      <c:pt idx="4">
                        <c:v>0.52302746417867818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487-487F-A90A-00934EB77342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[67]Hárok1!$C$10</c15:sqref>
                        </c15:formulaRef>
                      </c:ext>
                    </c:extLst>
                    <c:strCache>
                      <c:ptCount val="1"/>
                      <c:pt idx="0">
                        <c:v>ŠŠ - Prienik všetkých 3 pravidiel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[67]Hárok1!$D$10:$H$10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-2.4356621546077144</c:v>
                      </c:pt>
                      <c:pt idx="1">
                        <c:v>-4.2757747817135785</c:v>
                      </c:pt>
                      <c:pt idx="2">
                        <c:v>-4.0771795915916851</c:v>
                      </c:pt>
                      <c:pt idx="3">
                        <c:v>-2.4976527675217262</c:v>
                      </c:pt>
                      <c:pt idx="4">
                        <c:v>0.52302746417867818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487-487F-A90A-00934EB77342}"/>
                  </c:ext>
                </c:extLst>
              </c15:ser>
            </c15:filteredLineSeries>
          </c:ext>
        </c:extLst>
      </c:lineChart>
      <c:catAx>
        <c:axId val="4724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7000"/>
        <c:crosses val="autoZero"/>
        <c:auto val="1"/>
        <c:lblAlgn val="ctr"/>
        <c:lblOffset val="100"/>
        <c:noMultiLvlLbl val="0"/>
      </c:catAx>
      <c:valAx>
        <c:axId val="4724470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[67]Hárok1!$C$5</c:f>
              <c:strCache>
                <c:ptCount val="1"/>
                <c:pt idx="0">
                  <c:v>SB - European Fiscal Rules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-2,4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61-4624-9127-AFB1FEAC6C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61-4624-9127-AFB1FEAC6C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-4,1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61-4624-9127-AFB1FEAC6C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-3,1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61-4624-9127-AFB1FEAC6C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-2,1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61-4624-9127-AFB1FEAC6C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[67]Hárok1!$D$5:$H$5</c:f>
              <c:numCache>
                <c:formatCode>General</c:formatCode>
                <c:ptCount val="5"/>
                <c:pt idx="0">
                  <c:v>-2.4356621546077144</c:v>
                </c:pt>
                <c:pt idx="1">
                  <c:v>-4.2757747817135785</c:v>
                </c:pt>
                <c:pt idx="2">
                  <c:v>-4.0771795915916851</c:v>
                </c:pt>
                <c:pt idx="3">
                  <c:v>-3.0767713629137114</c:v>
                </c:pt>
                <c:pt idx="4">
                  <c:v>-2.0767713629137114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C-43FB-B112-FF1D6BA94A5F}"/>
            </c:ext>
          </c:extLst>
        </c:ser>
        <c:ser>
          <c:idx val="3"/>
          <c:order val="3"/>
          <c:tx>
            <c:strRef>
              <c:f>[67]Hárok1!$C$7</c:f>
              <c:strCache>
                <c:ptCount val="1"/>
                <c:pt idx="0">
                  <c:v>SB - Amendment to the Act (UZoRZ)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[67]Hárok1!$D$7:$H$7</c:f>
              <c:numCache>
                <c:formatCode>General</c:formatCode>
                <c:ptCount val="5"/>
                <c:pt idx="2">
                  <c:v>-4.0976527675217262</c:v>
                </c:pt>
                <c:pt idx="3">
                  <c:v>-2.4976527675217262</c:v>
                </c:pt>
                <c:pt idx="4">
                  <c:v>-1.6976527675217263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C-43FB-B112-FF1D6BA94A5F}"/>
            </c:ext>
          </c:extLst>
        </c:ser>
        <c:ser>
          <c:idx val="5"/>
          <c:order val="5"/>
          <c:tx>
            <c:strRef>
              <c:f>[67]Hárok1!$C$9</c:f>
              <c:strCache>
                <c:ptCount val="1"/>
                <c:pt idx="0">
                  <c:v>SB - Applicable Act (UZoRZ)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[67]Hárok1!$D$9:$H$9</c:f>
              <c:numCache>
                <c:formatCode>General</c:formatCode>
                <c:ptCount val="5"/>
                <c:pt idx="2">
                  <c:v>-4.0771795915916851</c:v>
                </c:pt>
                <c:pt idx="3">
                  <c:v>-3.0767713629137114</c:v>
                </c:pt>
                <c:pt idx="4">
                  <c:v>0.52302746417867818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C-43FB-B112-FF1D6BA94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447784"/>
        <c:axId val="472448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[67]Hárok1!$C$4</c15:sqref>
                        </c15:formulaRef>
                      </c:ext>
                    </c:extLst>
                    <c:strCache>
                      <c:ptCount val="1"/>
                      <c:pt idx="0">
                        <c:v>NB - European Fiscal Rules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[67]Hárok1!$D$4:$H$4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-5.4972654915000234</c:v>
                      </c:pt>
                      <c:pt idx="1">
                        <c:v>-7.92</c:v>
                      </c:pt>
                      <c:pt idx="2">
                        <c:v>-4.9400000000000004</c:v>
                      </c:pt>
                      <c:pt idx="3">
                        <c:v>-2.6760906917588114</c:v>
                      </c:pt>
                      <c:pt idx="4">
                        <c:v>-2.5997988270923895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5DC-43FB-B112-FF1D6BA94A5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[67]Hárok1!$C$6</c15:sqref>
                        </c15:formulaRef>
                      </c:ext>
                    </c:extLst>
                    <c:strCache>
                      <c:ptCount val="1"/>
                      <c:pt idx="0">
                        <c:v>NB - Amendment to the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-4.9400000000000004</c:v>
                      </c:pt>
                      <c:pt idx="3">
                        <c:v>-2.0969720963668261</c:v>
                      </c:pt>
                      <c:pt idx="4">
                        <c:v>-2.2206802317004044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DC-43FB-B112-FF1D6BA94A5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[67]Hárok1!$C$8</c15:sqref>
                        </c15:formulaRef>
                      </c:ext>
                    </c:extLst>
                    <c:strCache>
                      <c:ptCount val="1"/>
                      <c:pt idx="0">
                        <c:v>NB - Applicable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[67]Hárok1!$D$8:$H$8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-4.9400000000000004</c:v>
                      </c:pt>
                      <c:pt idx="3">
                        <c:v>-2.6760906917588114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DC-43FB-B112-FF1D6BA94A5F}"/>
                  </c:ext>
                </c:extLst>
              </c15:ser>
            </c15:filteredLineSeries>
          </c:ext>
        </c:extLst>
      </c:lineChart>
      <c:catAx>
        <c:axId val="47244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8176"/>
        <c:crosses val="autoZero"/>
        <c:auto val="1"/>
        <c:lblAlgn val="ctr"/>
        <c:lblOffset val="100"/>
        <c:noMultiLvlLbl val="0"/>
      </c:catAx>
      <c:valAx>
        <c:axId val="472448176"/>
        <c:scaling>
          <c:orientation val="minMax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[67]Hárok1!$C$4</c:f>
              <c:strCache>
                <c:ptCount val="1"/>
                <c:pt idx="0">
                  <c:v>NB - European Fiscal Rules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3-4C73-82AC-E1B934C384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3-4C73-82AC-E1B934C384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3-4C73-82AC-E1B934C384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-2,1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3-4C73-82AC-E1B934C384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-2,6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33-4C73-82AC-E1B934C38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[67]Hárok1!$D$4:$H$4</c:f>
              <c:numCache>
                <c:formatCode>General</c:formatCode>
                <c:ptCount val="5"/>
                <c:pt idx="0">
                  <c:v>-5.4972654915000234</c:v>
                </c:pt>
                <c:pt idx="1">
                  <c:v>-7.92</c:v>
                </c:pt>
                <c:pt idx="2">
                  <c:v>-4.9400000000000004</c:v>
                </c:pt>
                <c:pt idx="3">
                  <c:v>-2.6760906917588114</c:v>
                </c:pt>
                <c:pt idx="4">
                  <c:v>-2.5997988270923895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F5D-413F-BA63-597FA816750B}"/>
            </c:ext>
          </c:extLst>
        </c:ser>
        <c:ser>
          <c:idx val="2"/>
          <c:order val="2"/>
          <c:tx>
            <c:strRef>
              <c:f>[67]Hárok1!$C$6</c:f>
              <c:strCache>
                <c:ptCount val="1"/>
                <c:pt idx="0">
                  <c:v>NB - Amendment to the Act (UZoRZ)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[67]Hárok1!$D$6:$H$6</c:f>
              <c:numCache>
                <c:formatCode>General</c:formatCode>
                <c:ptCount val="5"/>
                <c:pt idx="2">
                  <c:v>-4.9400000000000004</c:v>
                </c:pt>
                <c:pt idx="3">
                  <c:v>-2.0969720963668261</c:v>
                </c:pt>
                <c:pt idx="4">
                  <c:v>-2.2206802317004044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F5D-413F-BA63-597FA816750B}"/>
            </c:ext>
          </c:extLst>
        </c:ser>
        <c:ser>
          <c:idx val="4"/>
          <c:order val="4"/>
          <c:tx>
            <c:strRef>
              <c:f>[67]Hárok1!$C$8</c:f>
              <c:strCache>
                <c:ptCount val="1"/>
                <c:pt idx="0">
                  <c:v>NB - Applicable Act (UZoRZ)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[67]Hárok1!$D$3:$H$3</c:f>
              <c:strCache>
                <c:ptCount val="5"/>
                <c:pt idx="0">
                  <c:v>2020 S</c:v>
                </c:pt>
                <c:pt idx="1">
                  <c:v>2021 OS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  <c:extLst xmlns:c15="http://schemas.microsoft.com/office/drawing/2012/chart"/>
            </c:strRef>
          </c:cat>
          <c:val>
            <c:numRef>
              <c:f>[67]Hárok1!$D$8:$H$8</c:f>
              <c:numCache>
                <c:formatCode>General</c:formatCode>
                <c:ptCount val="5"/>
                <c:pt idx="2">
                  <c:v>-4.9400000000000004</c:v>
                </c:pt>
                <c:pt idx="3">
                  <c:v>-2.6760906917588114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F5D-413F-BA63-597FA816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448960"/>
        <c:axId val="4724493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[67]Hárok1!$C$5</c15:sqref>
                        </c15:formulaRef>
                      </c:ext>
                    </c:extLst>
                    <c:strCache>
                      <c:ptCount val="1"/>
                      <c:pt idx="0">
                        <c:v>SB - European Fiscal Rules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[67]Hárok1!$D$5:$H$5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-2.4356621546077144</c:v>
                      </c:pt>
                      <c:pt idx="1">
                        <c:v>-4.2757747817135785</c:v>
                      </c:pt>
                      <c:pt idx="2">
                        <c:v>-4.0771795915916851</c:v>
                      </c:pt>
                      <c:pt idx="3">
                        <c:v>-3.0767713629137114</c:v>
                      </c:pt>
                      <c:pt idx="4">
                        <c:v>-2.0767713629137114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F5D-413F-BA63-597FA816750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[67]Hárok1!$C$7</c15:sqref>
                        </c15:formulaRef>
                      </c:ext>
                    </c:extLst>
                    <c:strCache>
                      <c:ptCount val="1"/>
                      <c:pt idx="0">
                        <c:v>SB - Amendment to the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65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[67]Hárok1!$D$7:$H$7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-4.0976527675217262</c:v>
                      </c:pt>
                      <c:pt idx="3">
                        <c:v>-2.4976527675217262</c:v>
                      </c:pt>
                      <c:pt idx="4">
                        <c:v>-1.6976527675217263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F5D-413F-BA63-597FA816750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[67]Hárok1!$C$9</c15:sqref>
                        </c15:formulaRef>
                      </c:ext>
                    </c:extLst>
                    <c:strCache>
                      <c:ptCount val="1"/>
                      <c:pt idx="0">
                        <c:v>SB - Applicable Act (UZoRZ)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65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[67]Hárok1!$D$3:$H$3</c15:sqref>
                        </c15:formulaRef>
                      </c:ext>
                    </c:extLst>
                    <c:strCache>
                      <c:ptCount val="5"/>
                      <c:pt idx="0">
                        <c:v>2020 S</c:v>
                      </c:pt>
                      <c:pt idx="1">
                        <c:v>2021 OS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[67]Hárok1!$D$9:$H$9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2">
                        <c:v>-4.0771795915916851</c:v>
                      </c:pt>
                      <c:pt idx="3">
                        <c:v>-3.0767713629137114</c:v>
                      </c:pt>
                      <c:pt idx="4">
                        <c:v>0.52302746417867818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F5D-413F-BA63-597FA816750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[67]Hárok1!$C$10</c15:sqref>
                        </c15:formulaRef>
                      </c:ext>
                    </c:extLst>
                    <c:strCache>
                      <c:ptCount val="1"/>
                      <c:pt idx="0">
                        <c:v>ŠŠ - Prienik všetkých 3 pravidiel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[67]Hárok1!$D$10:$H$10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-2.4356621546077144</c:v>
                      </c:pt>
                      <c:pt idx="1">
                        <c:v>-4.2757747817135785</c:v>
                      </c:pt>
                      <c:pt idx="2">
                        <c:v>-4.0771795915916851</c:v>
                      </c:pt>
                      <c:pt idx="3">
                        <c:v>-2.4976527675217262</c:v>
                      </c:pt>
                      <c:pt idx="4">
                        <c:v>0.52302746417867818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F5D-413F-BA63-597FA816750B}"/>
                  </c:ext>
                </c:extLst>
              </c15:ser>
            </c15:filteredLineSeries>
          </c:ext>
        </c:extLst>
      </c:lineChart>
      <c:catAx>
        <c:axId val="47244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9352"/>
        <c:crosses val="autoZero"/>
        <c:auto val="1"/>
        <c:lblAlgn val="ctr"/>
        <c:lblOffset val="100"/>
        <c:noMultiLvlLbl val="0"/>
      </c:catAx>
      <c:valAx>
        <c:axId val="472449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244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546330720175949E-3"/>
          <c:y val="0.18727080367612547"/>
          <c:w val="0.93562215289320394"/>
          <c:h val="0.67933503828393782"/>
        </c:manualLayout>
      </c:layout>
      <c:areaChart>
        <c:grouping val="stacked"/>
        <c:varyColors val="0"/>
        <c:ser>
          <c:idx val="2"/>
          <c:order val="0"/>
          <c:tx>
            <c:strRef>
              <c:f>'Graf 17'!$A$26</c:f>
              <c:strCache>
                <c:ptCount val="1"/>
                <c:pt idx="0">
                  <c:v>Čistý dlh VS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AAD3F2"/>
              </a:solidFill>
            </a:ln>
          </c:spP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17'!$B$26:$R$26</c:f>
              <c:numCache>
                <c:formatCode>0</c:formatCode>
                <c:ptCount val="17"/>
                <c:pt idx="0">
                  <c:v>22.198844266178185</c:v>
                </c:pt>
                <c:pt idx="1">
                  <c:v>32.226589818236747</c:v>
                </c:pt>
                <c:pt idx="2">
                  <c:v>37.357310514490159</c:v>
                </c:pt>
                <c:pt idx="3">
                  <c:v>41.200523147099474</c:v>
                </c:pt>
                <c:pt idx="4">
                  <c:v>45.400060982130192</c:v>
                </c:pt>
                <c:pt idx="5">
                  <c:v>47.889145623261001</c:v>
                </c:pt>
                <c:pt idx="6">
                  <c:v>49.588322764352675</c:v>
                </c:pt>
                <c:pt idx="7">
                  <c:v>47.489162179917855</c:v>
                </c:pt>
                <c:pt idx="8">
                  <c:v>47.056008180675356</c:v>
                </c:pt>
                <c:pt idx="9">
                  <c:v>45.905535062080141</c:v>
                </c:pt>
                <c:pt idx="10">
                  <c:v>43.603528640369625</c:v>
                </c:pt>
                <c:pt idx="11">
                  <c:v>43.289922926936711</c:v>
                </c:pt>
                <c:pt idx="12">
                  <c:v>49.667590157361516</c:v>
                </c:pt>
                <c:pt idx="13">
                  <c:v>55.539639120867143</c:v>
                </c:pt>
                <c:pt idx="14">
                  <c:v>56.266498444765055</c:v>
                </c:pt>
                <c:pt idx="15">
                  <c:v>54.855306549053758</c:v>
                </c:pt>
                <c:pt idx="16">
                  <c:v>55.813826783905583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8-40D9-8019-96A897D45E68}"/>
            </c:ext>
          </c:extLst>
        </c:ser>
        <c:ser>
          <c:idx val="1"/>
          <c:order val="1"/>
          <c:tx>
            <c:strRef>
              <c:f>'Graf 17'!$A$27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17'!$B$27:$R$27</c:f>
              <c:numCache>
                <c:formatCode>0</c:formatCode>
                <c:ptCount val="17"/>
                <c:pt idx="0">
                  <c:v>6.4000000000000021</c:v>
                </c:pt>
                <c:pt idx="1">
                  <c:v>4.1342983742748061</c:v>
                </c:pt>
                <c:pt idx="2">
                  <c:v>3.6583809158314793</c:v>
                </c:pt>
                <c:pt idx="3">
                  <c:v>2.3017820823199671</c:v>
                </c:pt>
                <c:pt idx="4">
                  <c:v>6.4455003442798571</c:v>
                </c:pt>
                <c:pt idx="5">
                  <c:v>6.9048627564215863</c:v>
                </c:pt>
                <c:pt idx="6">
                  <c:v>3.973465329665963</c:v>
                </c:pt>
                <c:pt idx="7">
                  <c:v>4.4345284731733798</c:v>
                </c:pt>
                <c:pt idx="8">
                  <c:v>5.3567177085768662</c:v>
                </c:pt>
                <c:pt idx="9">
                  <c:v>5.6943828232260927</c:v>
                </c:pt>
                <c:pt idx="10">
                  <c:v>6.0260521449473785</c:v>
                </c:pt>
                <c:pt idx="11">
                  <c:v>4.8525204136911597</c:v>
                </c:pt>
                <c:pt idx="12">
                  <c:v>10.074147756172607</c:v>
                </c:pt>
                <c:pt idx="13">
                  <c:v>5.9992241889249058</c:v>
                </c:pt>
                <c:pt idx="14">
                  <c:v>5.2144803359998591</c:v>
                </c:pt>
                <c:pt idx="15">
                  <c:v>3.7509634105293799</c:v>
                </c:pt>
                <c:pt idx="16">
                  <c:v>2.874670195155872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450136"/>
        <c:axId val="472450528"/>
      </c:areaChart>
      <c:lineChart>
        <c:grouping val="standard"/>
        <c:varyColors val="0"/>
        <c:ser>
          <c:idx val="4"/>
          <c:order val="2"/>
          <c:tx>
            <c:strRef>
              <c:f>'Graf 17'!$A$29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17'!$B$29:$R$29</c:f>
              <c:numCache>
                <c:formatCode>General</c:formatCode>
                <c:ptCount val="17"/>
                <c:pt idx="4" formatCode="0">
                  <c:v>60</c:v>
                </c:pt>
                <c:pt idx="5" formatCode="0">
                  <c:v>60</c:v>
                </c:pt>
                <c:pt idx="6" formatCode="0">
                  <c:v>60</c:v>
                </c:pt>
                <c:pt idx="7" formatCode="0">
                  <c:v>60</c:v>
                </c:pt>
                <c:pt idx="8" formatCode="0">
                  <c:v>60</c:v>
                </c:pt>
                <c:pt idx="9" formatCode="0">
                  <c:v>60</c:v>
                </c:pt>
                <c:pt idx="10" formatCode="0">
                  <c:v>59</c:v>
                </c:pt>
                <c:pt idx="11" formatCode="0">
                  <c:v>58</c:v>
                </c:pt>
                <c:pt idx="12" formatCode="0">
                  <c:v>57</c:v>
                </c:pt>
                <c:pt idx="13" formatCode="0">
                  <c:v>56</c:v>
                </c:pt>
                <c:pt idx="14" formatCode="0">
                  <c:v>55</c:v>
                </c:pt>
                <c:pt idx="15" formatCode="0">
                  <c:v>54</c:v>
                </c:pt>
                <c:pt idx="16" formatCode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00-499E-BB05-62ECB20CEBE0}"/>
            </c:ext>
          </c:extLst>
        </c:ser>
        <c:ser>
          <c:idx val="5"/>
          <c:order val="3"/>
          <c:tx>
            <c:strRef>
              <c:f>'Graf 17'!$A$30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17'!$B$30:$R$30</c:f>
              <c:numCache>
                <c:formatCode>General</c:formatCode>
                <c:ptCount val="17"/>
                <c:pt idx="4" formatCode="0">
                  <c:v>57</c:v>
                </c:pt>
                <c:pt idx="5" formatCode="0">
                  <c:v>57</c:v>
                </c:pt>
                <c:pt idx="6" formatCode="0">
                  <c:v>57</c:v>
                </c:pt>
                <c:pt idx="7" formatCode="0">
                  <c:v>57</c:v>
                </c:pt>
                <c:pt idx="8" formatCode="0">
                  <c:v>57</c:v>
                </c:pt>
                <c:pt idx="9" formatCode="0">
                  <c:v>57</c:v>
                </c:pt>
                <c:pt idx="10" formatCode="0">
                  <c:v>56</c:v>
                </c:pt>
                <c:pt idx="11" formatCode="0">
                  <c:v>55</c:v>
                </c:pt>
                <c:pt idx="12" formatCode="0">
                  <c:v>54</c:v>
                </c:pt>
                <c:pt idx="13" formatCode="0">
                  <c:v>53</c:v>
                </c:pt>
                <c:pt idx="14" formatCode="0">
                  <c:v>52</c:v>
                </c:pt>
                <c:pt idx="15" formatCode="0">
                  <c:v>51</c:v>
                </c:pt>
                <c:pt idx="16" formatCode="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00-499E-BB05-62ECB20CEBE0}"/>
            </c:ext>
          </c:extLst>
        </c:ser>
        <c:ser>
          <c:idx val="6"/>
          <c:order val="4"/>
          <c:tx>
            <c:strRef>
              <c:f>'Graf 17'!$A$31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17'!$B$31:$R$31</c:f>
              <c:numCache>
                <c:formatCode>General</c:formatCode>
                <c:ptCount val="17"/>
                <c:pt idx="4" formatCode="0">
                  <c:v>55</c:v>
                </c:pt>
                <c:pt idx="5" formatCode="0">
                  <c:v>55</c:v>
                </c:pt>
                <c:pt idx="6" formatCode="0">
                  <c:v>55</c:v>
                </c:pt>
                <c:pt idx="7" formatCode="0">
                  <c:v>55</c:v>
                </c:pt>
                <c:pt idx="8" formatCode="0">
                  <c:v>55</c:v>
                </c:pt>
                <c:pt idx="9" formatCode="0">
                  <c:v>55</c:v>
                </c:pt>
                <c:pt idx="10" formatCode="0">
                  <c:v>54</c:v>
                </c:pt>
                <c:pt idx="11" formatCode="0">
                  <c:v>53</c:v>
                </c:pt>
                <c:pt idx="12" formatCode="0">
                  <c:v>52</c:v>
                </c:pt>
                <c:pt idx="13" formatCode="0">
                  <c:v>51</c:v>
                </c:pt>
                <c:pt idx="14" formatCode="0">
                  <c:v>50</c:v>
                </c:pt>
                <c:pt idx="15" formatCode="0">
                  <c:v>49</c:v>
                </c:pt>
                <c:pt idx="16" formatCode="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00-499E-BB05-62ECB20CEBE0}"/>
            </c:ext>
          </c:extLst>
        </c:ser>
        <c:ser>
          <c:idx val="7"/>
          <c:order val="5"/>
          <c:tx>
            <c:strRef>
              <c:f>'Graf 17'!$A$32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17'!$B$32:$R$32</c:f>
              <c:numCache>
                <c:formatCode>General</c:formatCode>
                <c:ptCount val="17"/>
                <c:pt idx="4" formatCode="0">
                  <c:v>53</c:v>
                </c:pt>
                <c:pt idx="5" formatCode="0">
                  <c:v>53</c:v>
                </c:pt>
                <c:pt idx="6" formatCode="0">
                  <c:v>53</c:v>
                </c:pt>
                <c:pt idx="7" formatCode="0">
                  <c:v>53</c:v>
                </c:pt>
                <c:pt idx="8" formatCode="0">
                  <c:v>53</c:v>
                </c:pt>
                <c:pt idx="9" formatCode="0">
                  <c:v>53</c:v>
                </c:pt>
                <c:pt idx="10" formatCode="0">
                  <c:v>52</c:v>
                </c:pt>
                <c:pt idx="11" formatCode="0">
                  <c:v>51</c:v>
                </c:pt>
                <c:pt idx="12" formatCode="0">
                  <c:v>50</c:v>
                </c:pt>
                <c:pt idx="13" formatCode="0">
                  <c:v>49</c:v>
                </c:pt>
                <c:pt idx="14" formatCode="0">
                  <c:v>48</c:v>
                </c:pt>
                <c:pt idx="15" formatCode="0">
                  <c:v>47</c:v>
                </c:pt>
                <c:pt idx="16" formatCode="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00-499E-BB05-62ECB20CEBE0}"/>
            </c:ext>
          </c:extLst>
        </c:ser>
        <c:ser>
          <c:idx val="8"/>
          <c:order val="6"/>
          <c:tx>
            <c:strRef>
              <c:f>'Graf 17'!$A$33</c:f>
              <c:strCache>
                <c:ptCount val="1"/>
                <c:pt idx="0">
                  <c:v>Sankčné pásma (hrubý dlh)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17'!$B$33:$R$33</c:f>
              <c:numCache>
                <c:formatCode>General</c:formatCode>
                <c:ptCount val="17"/>
                <c:pt idx="4" formatCode="0">
                  <c:v>50</c:v>
                </c:pt>
                <c:pt idx="5" formatCode="0">
                  <c:v>50</c:v>
                </c:pt>
                <c:pt idx="6" formatCode="0">
                  <c:v>50</c:v>
                </c:pt>
                <c:pt idx="7" formatCode="0">
                  <c:v>50</c:v>
                </c:pt>
                <c:pt idx="8" formatCode="0">
                  <c:v>50</c:v>
                </c:pt>
                <c:pt idx="9" formatCode="0">
                  <c:v>50</c:v>
                </c:pt>
                <c:pt idx="10" formatCode="0">
                  <c:v>49</c:v>
                </c:pt>
                <c:pt idx="11" formatCode="0">
                  <c:v>48</c:v>
                </c:pt>
                <c:pt idx="12" formatCode="0">
                  <c:v>47</c:v>
                </c:pt>
                <c:pt idx="13" formatCode="0">
                  <c:v>46</c:v>
                </c:pt>
                <c:pt idx="14" formatCode="0">
                  <c:v>45</c:v>
                </c:pt>
                <c:pt idx="15" formatCode="0">
                  <c:v>44</c:v>
                </c:pt>
                <c:pt idx="16" formatCode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00-499E-BB05-62ECB20CEBE0}"/>
            </c:ext>
          </c:extLst>
        </c:ser>
        <c:ser>
          <c:idx val="3"/>
          <c:order val="7"/>
          <c:tx>
            <c:strRef>
              <c:f>'Graf 17'!$A$25</c:f>
              <c:strCache>
                <c:ptCount val="1"/>
                <c:pt idx="0">
                  <c:v>Hrubý dlh VS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F-400D-B3DF-801C16DDF0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F-400D-B3DF-801C16DDF0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4F-400D-B3DF-801C16DDF0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4F-400D-B3DF-801C16DDF0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4F-400D-B3DF-801C16DDF0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4F-400D-B3DF-801C16DDF0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4F-400D-B3DF-801C16DDF0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4F-400D-B3DF-801C16DDF0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4F-400D-B3DF-801C16DDF0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4F-400D-B3DF-801C16DDF0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4F-400D-B3DF-801C16DDF09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17'!$B$25:$R$25</c:f>
              <c:numCache>
                <c:formatCode>0</c:formatCode>
                <c:ptCount val="17"/>
                <c:pt idx="0">
                  <c:v>28.598844266178187</c:v>
                </c:pt>
                <c:pt idx="1">
                  <c:v>36.360888192511553</c:v>
                </c:pt>
                <c:pt idx="2">
                  <c:v>41.015691430321638</c:v>
                </c:pt>
                <c:pt idx="3">
                  <c:v>43.502305229419441</c:v>
                </c:pt>
                <c:pt idx="4">
                  <c:v>51.845561326410049</c:v>
                </c:pt>
                <c:pt idx="5">
                  <c:v>54.794008379682587</c:v>
                </c:pt>
                <c:pt idx="6">
                  <c:v>53.561788094018638</c:v>
                </c:pt>
                <c:pt idx="7">
                  <c:v>51.923690653091235</c:v>
                </c:pt>
                <c:pt idx="8">
                  <c:v>52.412725889252222</c:v>
                </c:pt>
                <c:pt idx="9">
                  <c:v>51.599917885306233</c:v>
                </c:pt>
                <c:pt idx="10">
                  <c:v>49.629580785317003</c:v>
                </c:pt>
                <c:pt idx="11">
                  <c:v>48.142443340627871</c:v>
                </c:pt>
                <c:pt idx="12">
                  <c:v>59.741737913534124</c:v>
                </c:pt>
                <c:pt idx="13">
                  <c:v>61.538863309792049</c:v>
                </c:pt>
                <c:pt idx="14">
                  <c:v>61.480978780764914</c:v>
                </c:pt>
                <c:pt idx="15">
                  <c:v>58.606269959583138</c:v>
                </c:pt>
                <c:pt idx="16">
                  <c:v>58.688496979061455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8-40D9-8019-96A897D45E68}"/>
            </c:ext>
          </c:extLst>
        </c:ser>
        <c:ser>
          <c:idx val="9"/>
          <c:order val="8"/>
          <c:tx>
            <c:strRef>
              <c:f>'Graf 17'!$A$26</c:f>
              <c:strCache>
                <c:ptCount val="1"/>
                <c:pt idx="0">
                  <c:v>Čistý dlh VS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2C9ADC"/>
              </a:solidFill>
              <a:ln w="3175">
                <a:solidFill>
                  <a:sysClr val="windowText" lastClr="000000"/>
                </a:solidFill>
              </a:ln>
            </c:spPr>
          </c:marker>
          <c:dLbls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4F-400D-B3DF-801C16DDF09B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4F-400D-B3DF-801C16DDF09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8-40D9-8019-96A897D45E68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8-40D9-8019-96A897D45E68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8-40D9-8019-96A897D45E68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8-40D9-8019-96A897D45E68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8-40D9-8019-96A897D45E68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18-40D9-8019-96A897D45E68}"/>
                </c:ext>
              </c:extLst>
            </c:dLbl>
            <c:dLbl>
              <c:idx val="2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18-40D9-8019-96A897D45E68}"/>
                </c:ext>
              </c:extLst>
            </c:dLbl>
            <c:dLbl>
              <c:idx val="3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18-40D9-8019-96A897D45E6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17'!$B$26:$R$26</c:f>
              <c:numCache>
                <c:formatCode>0</c:formatCode>
                <c:ptCount val="17"/>
                <c:pt idx="0">
                  <c:v>22.198844266178185</c:v>
                </c:pt>
                <c:pt idx="1">
                  <c:v>32.226589818236747</c:v>
                </c:pt>
                <c:pt idx="2">
                  <c:v>37.357310514490159</c:v>
                </c:pt>
                <c:pt idx="3">
                  <c:v>41.200523147099474</c:v>
                </c:pt>
                <c:pt idx="4">
                  <c:v>45.400060982130192</c:v>
                </c:pt>
                <c:pt idx="5">
                  <c:v>47.889145623261001</c:v>
                </c:pt>
                <c:pt idx="6">
                  <c:v>49.588322764352675</c:v>
                </c:pt>
                <c:pt idx="7">
                  <c:v>47.489162179917855</c:v>
                </c:pt>
                <c:pt idx="8">
                  <c:v>47.056008180675356</c:v>
                </c:pt>
                <c:pt idx="9">
                  <c:v>45.905535062080141</c:v>
                </c:pt>
                <c:pt idx="10">
                  <c:v>43.603528640369625</c:v>
                </c:pt>
                <c:pt idx="11">
                  <c:v>43.289922926936711</c:v>
                </c:pt>
                <c:pt idx="12">
                  <c:v>49.667590157361516</c:v>
                </c:pt>
                <c:pt idx="13">
                  <c:v>55.539639120867143</c:v>
                </c:pt>
                <c:pt idx="14">
                  <c:v>56.266498444765055</c:v>
                </c:pt>
                <c:pt idx="15">
                  <c:v>54.855306549053758</c:v>
                </c:pt>
                <c:pt idx="16">
                  <c:v>55.813826783905583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18-40D9-8019-96A897D4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50136"/>
        <c:axId val="472450528"/>
      </c:lineChart>
      <c:dateAx>
        <c:axId val="47245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2450528"/>
        <c:crosses val="autoZero"/>
        <c:auto val="0"/>
        <c:lblOffset val="100"/>
        <c:baseTimeUnit val="days"/>
      </c:dateAx>
      <c:valAx>
        <c:axId val="472450528"/>
        <c:scaling>
          <c:orientation val="minMax"/>
          <c:max val="70"/>
          <c:min val="20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72450136"/>
        <c:crosses val="max"/>
        <c:crossBetween val="between"/>
      </c:valAx>
      <c:spPr>
        <a:noFill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ayout>
        <c:manualLayout>
          <c:xMode val="edge"/>
          <c:yMode val="edge"/>
          <c:x val="3.7279800410542727E-2"/>
          <c:y val="2.7782817654809527E-2"/>
          <c:w val="0.89188072727272727"/>
          <c:h val="0.122870363699840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546330720175949E-3"/>
          <c:y val="0.18727080367612547"/>
          <c:w val="0.93562215289320394"/>
          <c:h val="0.67933503828393782"/>
        </c:manualLayout>
      </c:layout>
      <c:areaChart>
        <c:grouping val="stacked"/>
        <c:varyColors val="0"/>
        <c:ser>
          <c:idx val="2"/>
          <c:order val="0"/>
          <c:tx>
            <c:strRef>
              <c:f>'Graf 17'!$S$26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rgbClr val="AAD3F2"/>
              </a:solidFill>
            </a:ln>
          </c:spP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17'!$B$26:$R$26</c:f>
              <c:numCache>
                <c:formatCode>0</c:formatCode>
                <c:ptCount val="17"/>
                <c:pt idx="0">
                  <c:v>22.198844266178185</c:v>
                </c:pt>
                <c:pt idx="1">
                  <c:v>32.226589818236747</c:v>
                </c:pt>
                <c:pt idx="2">
                  <c:v>37.357310514490159</c:v>
                </c:pt>
                <c:pt idx="3">
                  <c:v>41.200523147099474</c:v>
                </c:pt>
                <c:pt idx="4">
                  <c:v>45.400060982130192</c:v>
                </c:pt>
                <c:pt idx="5">
                  <c:v>47.889145623261001</c:v>
                </c:pt>
                <c:pt idx="6">
                  <c:v>49.588322764352675</c:v>
                </c:pt>
                <c:pt idx="7">
                  <c:v>47.489162179917855</c:v>
                </c:pt>
                <c:pt idx="8">
                  <c:v>47.056008180675356</c:v>
                </c:pt>
                <c:pt idx="9">
                  <c:v>45.905535062080141</c:v>
                </c:pt>
                <c:pt idx="10">
                  <c:v>43.603528640369625</c:v>
                </c:pt>
                <c:pt idx="11">
                  <c:v>43.289922926936711</c:v>
                </c:pt>
                <c:pt idx="12">
                  <c:v>49.667590157361516</c:v>
                </c:pt>
                <c:pt idx="13">
                  <c:v>55.539639120867143</c:v>
                </c:pt>
                <c:pt idx="14">
                  <c:v>56.266498444765055</c:v>
                </c:pt>
                <c:pt idx="15">
                  <c:v>54.855306549053758</c:v>
                </c:pt>
                <c:pt idx="16">
                  <c:v>55.813826783905583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8-4D85-9A41-EAF4C78A897A}"/>
            </c:ext>
          </c:extLst>
        </c:ser>
        <c:ser>
          <c:idx val="1"/>
          <c:order val="1"/>
          <c:tx>
            <c:strRef>
              <c:f>'Graf 17'!$S$27</c:f>
              <c:strCache>
                <c:ptCount val="1"/>
                <c:pt idx="0">
                  <c:v>Liquid financial assests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17'!$B$27:$R$27</c:f>
              <c:numCache>
                <c:formatCode>0</c:formatCode>
                <c:ptCount val="17"/>
                <c:pt idx="0">
                  <c:v>6.4000000000000021</c:v>
                </c:pt>
                <c:pt idx="1">
                  <c:v>4.1342983742748061</c:v>
                </c:pt>
                <c:pt idx="2">
                  <c:v>3.6583809158314793</c:v>
                </c:pt>
                <c:pt idx="3">
                  <c:v>2.3017820823199671</c:v>
                </c:pt>
                <c:pt idx="4">
                  <c:v>6.4455003442798571</c:v>
                </c:pt>
                <c:pt idx="5">
                  <c:v>6.9048627564215863</c:v>
                </c:pt>
                <c:pt idx="6">
                  <c:v>3.973465329665963</c:v>
                </c:pt>
                <c:pt idx="7">
                  <c:v>4.4345284731733798</c:v>
                </c:pt>
                <c:pt idx="8">
                  <c:v>5.3567177085768662</c:v>
                </c:pt>
                <c:pt idx="9">
                  <c:v>5.6943828232260927</c:v>
                </c:pt>
                <c:pt idx="10">
                  <c:v>6.0260521449473785</c:v>
                </c:pt>
                <c:pt idx="11">
                  <c:v>4.8525204136911597</c:v>
                </c:pt>
                <c:pt idx="12">
                  <c:v>10.074147756172607</c:v>
                </c:pt>
                <c:pt idx="13">
                  <c:v>5.9992241889249058</c:v>
                </c:pt>
                <c:pt idx="14">
                  <c:v>5.2144803359998591</c:v>
                </c:pt>
                <c:pt idx="15">
                  <c:v>3.7509634105293799</c:v>
                </c:pt>
                <c:pt idx="16">
                  <c:v>2.874670195155872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451312"/>
        <c:axId val="472451704"/>
      </c:areaChart>
      <c:lineChart>
        <c:grouping val="standard"/>
        <c:varyColors val="0"/>
        <c:ser>
          <c:idx val="4"/>
          <c:order val="2"/>
          <c:tx>
            <c:strRef>
              <c:f>'Graf 17'!$S$29</c:f>
              <c:strCache>
                <c:ptCount val="1"/>
                <c:pt idx="0">
                  <c:v>Sanction bands (gross debt)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17'!$B$29:$R$29</c:f>
              <c:numCache>
                <c:formatCode>General</c:formatCode>
                <c:ptCount val="17"/>
                <c:pt idx="4" formatCode="0">
                  <c:v>60</c:v>
                </c:pt>
                <c:pt idx="5" formatCode="0">
                  <c:v>60</c:v>
                </c:pt>
                <c:pt idx="6" formatCode="0">
                  <c:v>60</c:v>
                </c:pt>
                <c:pt idx="7" formatCode="0">
                  <c:v>60</c:v>
                </c:pt>
                <c:pt idx="8" formatCode="0">
                  <c:v>60</c:v>
                </c:pt>
                <c:pt idx="9" formatCode="0">
                  <c:v>60</c:v>
                </c:pt>
                <c:pt idx="10" formatCode="0">
                  <c:v>59</c:v>
                </c:pt>
                <c:pt idx="11" formatCode="0">
                  <c:v>58</c:v>
                </c:pt>
                <c:pt idx="12" formatCode="0">
                  <c:v>57</c:v>
                </c:pt>
                <c:pt idx="13" formatCode="0">
                  <c:v>56</c:v>
                </c:pt>
                <c:pt idx="14" formatCode="0">
                  <c:v>55</c:v>
                </c:pt>
                <c:pt idx="15" formatCode="0">
                  <c:v>54</c:v>
                </c:pt>
                <c:pt idx="16" formatCode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00-499E-BB05-62ECB20CEBE0}"/>
            </c:ext>
          </c:extLst>
        </c:ser>
        <c:ser>
          <c:idx val="5"/>
          <c:order val="3"/>
          <c:tx>
            <c:strRef>
              <c:f>'Graf 17'!$S$30</c:f>
              <c:strCache>
                <c:ptCount val="1"/>
                <c:pt idx="0">
                  <c:v>Sanction bands (gross debt)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17'!$B$30:$R$30</c:f>
              <c:numCache>
                <c:formatCode>General</c:formatCode>
                <c:ptCount val="17"/>
                <c:pt idx="4" formatCode="0">
                  <c:v>57</c:v>
                </c:pt>
                <c:pt idx="5" formatCode="0">
                  <c:v>57</c:v>
                </c:pt>
                <c:pt idx="6" formatCode="0">
                  <c:v>57</c:v>
                </c:pt>
                <c:pt idx="7" formatCode="0">
                  <c:v>57</c:v>
                </c:pt>
                <c:pt idx="8" formatCode="0">
                  <c:v>57</c:v>
                </c:pt>
                <c:pt idx="9" formatCode="0">
                  <c:v>57</c:v>
                </c:pt>
                <c:pt idx="10" formatCode="0">
                  <c:v>56</c:v>
                </c:pt>
                <c:pt idx="11" formatCode="0">
                  <c:v>55</c:v>
                </c:pt>
                <c:pt idx="12" formatCode="0">
                  <c:v>54</c:v>
                </c:pt>
                <c:pt idx="13" formatCode="0">
                  <c:v>53</c:v>
                </c:pt>
                <c:pt idx="14" formatCode="0">
                  <c:v>52</c:v>
                </c:pt>
                <c:pt idx="15" formatCode="0">
                  <c:v>51</c:v>
                </c:pt>
                <c:pt idx="16" formatCode="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00-499E-BB05-62ECB20CEBE0}"/>
            </c:ext>
          </c:extLst>
        </c:ser>
        <c:ser>
          <c:idx val="6"/>
          <c:order val="4"/>
          <c:tx>
            <c:strRef>
              <c:f>'Graf 17'!$S$31</c:f>
              <c:strCache>
                <c:ptCount val="1"/>
                <c:pt idx="0">
                  <c:v>Sanction bands (gross debt)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17'!$B$31:$R$31</c:f>
              <c:numCache>
                <c:formatCode>General</c:formatCode>
                <c:ptCount val="17"/>
                <c:pt idx="4" formatCode="0">
                  <c:v>55</c:v>
                </c:pt>
                <c:pt idx="5" formatCode="0">
                  <c:v>55</c:v>
                </c:pt>
                <c:pt idx="6" formatCode="0">
                  <c:v>55</c:v>
                </c:pt>
                <c:pt idx="7" formatCode="0">
                  <c:v>55</c:v>
                </c:pt>
                <c:pt idx="8" formatCode="0">
                  <c:v>55</c:v>
                </c:pt>
                <c:pt idx="9" formatCode="0">
                  <c:v>55</c:v>
                </c:pt>
                <c:pt idx="10" formatCode="0">
                  <c:v>54</c:v>
                </c:pt>
                <c:pt idx="11" formatCode="0">
                  <c:v>53</c:v>
                </c:pt>
                <c:pt idx="12" formatCode="0">
                  <c:v>52</c:v>
                </c:pt>
                <c:pt idx="13" formatCode="0">
                  <c:v>51</c:v>
                </c:pt>
                <c:pt idx="14" formatCode="0">
                  <c:v>50</c:v>
                </c:pt>
                <c:pt idx="15" formatCode="0">
                  <c:v>49</c:v>
                </c:pt>
                <c:pt idx="16" formatCode="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00-499E-BB05-62ECB20CEBE0}"/>
            </c:ext>
          </c:extLst>
        </c:ser>
        <c:ser>
          <c:idx val="7"/>
          <c:order val="5"/>
          <c:tx>
            <c:strRef>
              <c:f>'Graf 17'!$S$32</c:f>
              <c:strCache>
                <c:ptCount val="1"/>
                <c:pt idx="0">
                  <c:v>Sanction bands (gross debt)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17'!$B$32:$R$32</c:f>
              <c:numCache>
                <c:formatCode>General</c:formatCode>
                <c:ptCount val="17"/>
                <c:pt idx="4" formatCode="0">
                  <c:v>53</c:v>
                </c:pt>
                <c:pt idx="5" formatCode="0">
                  <c:v>53</c:v>
                </c:pt>
                <c:pt idx="6" formatCode="0">
                  <c:v>53</c:v>
                </c:pt>
                <c:pt idx="7" formatCode="0">
                  <c:v>53</c:v>
                </c:pt>
                <c:pt idx="8" formatCode="0">
                  <c:v>53</c:v>
                </c:pt>
                <c:pt idx="9" formatCode="0">
                  <c:v>53</c:v>
                </c:pt>
                <c:pt idx="10" formatCode="0">
                  <c:v>52</c:v>
                </c:pt>
                <c:pt idx="11" formatCode="0">
                  <c:v>51</c:v>
                </c:pt>
                <c:pt idx="12" formatCode="0">
                  <c:v>50</c:v>
                </c:pt>
                <c:pt idx="13" formatCode="0">
                  <c:v>49</c:v>
                </c:pt>
                <c:pt idx="14" formatCode="0">
                  <c:v>48</c:v>
                </c:pt>
                <c:pt idx="15" formatCode="0">
                  <c:v>47</c:v>
                </c:pt>
                <c:pt idx="16" formatCode="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00-499E-BB05-62ECB20CEBE0}"/>
            </c:ext>
          </c:extLst>
        </c:ser>
        <c:ser>
          <c:idx val="8"/>
          <c:order val="6"/>
          <c:tx>
            <c:strRef>
              <c:f>'Graf 17'!$S$33</c:f>
              <c:strCache>
                <c:ptCount val="1"/>
                <c:pt idx="0">
                  <c:v>Sanction bands (gross debt)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17'!$B$33:$R$33</c:f>
              <c:numCache>
                <c:formatCode>General</c:formatCode>
                <c:ptCount val="17"/>
                <c:pt idx="4" formatCode="0">
                  <c:v>50</c:v>
                </c:pt>
                <c:pt idx="5" formatCode="0">
                  <c:v>50</c:v>
                </c:pt>
                <c:pt idx="6" formatCode="0">
                  <c:v>50</c:v>
                </c:pt>
                <c:pt idx="7" formatCode="0">
                  <c:v>50</c:v>
                </c:pt>
                <c:pt idx="8" formatCode="0">
                  <c:v>50</c:v>
                </c:pt>
                <c:pt idx="9" formatCode="0">
                  <c:v>50</c:v>
                </c:pt>
                <c:pt idx="10" formatCode="0">
                  <c:v>49</c:v>
                </c:pt>
                <c:pt idx="11" formatCode="0">
                  <c:v>48</c:v>
                </c:pt>
                <c:pt idx="12" formatCode="0">
                  <c:v>47</c:v>
                </c:pt>
                <c:pt idx="13" formatCode="0">
                  <c:v>46</c:v>
                </c:pt>
                <c:pt idx="14" formatCode="0">
                  <c:v>45</c:v>
                </c:pt>
                <c:pt idx="15" formatCode="0">
                  <c:v>44</c:v>
                </c:pt>
                <c:pt idx="16" formatCode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00-499E-BB05-62ECB20CEBE0}"/>
            </c:ext>
          </c:extLst>
        </c:ser>
        <c:ser>
          <c:idx val="3"/>
          <c:order val="7"/>
          <c:tx>
            <c:strRef>
              <c:f>'Graf 17'!$S$25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6F-4381-A7C3-56E6B6044B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6F-4381-A7C3-56E6B6044B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6F-4381-A7C3-56E6B6044B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6F-4381-A7C3-56E6B6044B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6F-4381-A7C3-56E6B6044B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6F-4381-A7C3-56E6B6044B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6F-4381-A7C3-56E6B6044B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6F-4381-A7C3-56E6B6044B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6F-4381-A7C3-56E6B6044BD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6F-4381-A7C3-56E6B6044B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6F-4381-A7C3-56E6B6044B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17'!$B$25:$R$25</c:f>
              <c:numCache>
                <c:formatCode>0</c:formatCode>
                <c:ptCount val="17"/>
                <c:pt idx="0">
                  <c:v>28.598844266178187</c:v>
                </c:pt>
                <c:pt idx="1">
                  <c:v>36.360888192511553</c:v>
                </c:pt>
                <c:pt idx="2">
                  <c:v>41.015691430321638</c:v>
                </c:pt>
                <c:pt idx="3">
                  <c:v>43.502305229419441</c:v>
                </c:pt>
                <c:pt idx="4">
                  <c:v>51.845561326410049</c:v>
                </c:pt>
                <c:pt idx="5">
                  <c:v>54.794008379682587</c:v>
                </c:pt>
                <c:pt idx="6">
                  <c:v>53.561788094018638</c:v>
                </c:pt>
                <c:pt idx="7">
                  <c:v>51.923690653091235</c:v>
                </c:pt>
                <c:pt idx="8">
                  <c:v>52.412725889252222</c:v>
                </c:pt>
                <c:pt idx="9">
                  <c:v>51.599917885306233</c:v>
                </c:pt>
                <c:pt idx="10">
                  <c:v>49.629580785317003</c:v>
                </c:pt>
                <c:pt idx="11">
                  <c:v>48.142443340627871</c:v>
                </c:pt>
                <c:pt idx="12">
                  <c:v>59.741737913534124</c:v>
                </c:pt>
                <c:pt idx="13">
                  <c:v>61.538863309792049</c:v>
                </c:pt>
                <c:pt idx="14">
                  <c:v>61.480978780764914</c:v>
                </c:pt>
                <c:pt idx="15">
                  <c:v>58.606269959583138</c:v>
                </c:pt>
                <c:pt idx="16">
                  <c:v>58.688496979061455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8-4D85-9A41-EAF4C78A897A}"/>
            </c:ext>
          </c:extLst>
        </c:ser>
        <c:ser>
          <c:idx val="9"/>
          <c:order val="8"/>
          <c:tx>
            <c:strRef>
              <c:f>'Graf 17'!$S$26</c:f>
              <c:strCache>
                <c:ptCount val="1"/>
                <c:pt idx="0">
                  <c:v>Net debt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dLbls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6F-4381-A7C3-56E6B6044BDB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6F-4381-A7C3-56E6B6044BD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8-4D85-9A41-EAF4C78A897A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68-4D85-9A41-EAF4C78A897A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8-4D85-9A41-EAF4C78A897A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8-4D85-9A41-EAF4C78A897A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68-4D85-9A41-EAF4C78A897A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68-4D85-9A41-EAF4C78A897A}"/>
                </c:ext>
              </c:extLst>
            </c:dLbl>
            <c:dLbl>
              <c:idx val="2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68-4D85-9A41-EAF4C78A897A}"/>
                </c:ext>
              </c:extLst>
            </c:dLbl>
            <c:dLbl>
              <c:idx val="3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68-4D85-9A41-EAF4C78A897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17'!$B$24:$R$24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'Graf 17'!$B$26:$R$26</c:f>
              <c:numCache>
                <c:formatCode>0</c:formatCode>
                <c:ptCount val="17"/>
                <c:pt idx="0">
                  <c:v>22.198844266178185</c:v>
                </c:pt>
                <c:pt idx="1">
                  <c:v>32.226589818236747</c:v>
                </c:pt>
                <c:pt idx="2">
                  <c:v>37.357310514490159</c:v>
                </c:pt>
                <c:pt idx="3">
                  <c:v>41.200523147099474</c:v>
                </c:pt>
                <c:pt idx="4">
                  <c:v>45.400060982130192</c:v>
                </c:pt>
                <c:pt idx="5">
                  <c:v>47.889145623261001</c:v>
                </c:pt>
                <c:pt idx="6">
                  <c:v>49.588322764352675</c:v>
                </c:pt>
                <c:pt idx="7">
                  <c:v>47.489162179917855</c:v>
                </c:pt>
                <c:pt idx="8">
                  <c:v>47.056008180675356</c:v>
                </c:pt>
                <c:pt idx="9">
                  <c:v>45.905535062080141</c:v>
                </c:pt>
                <c:pt idx="10">
                  <c:v>43.603528640369625</c:v>
                </c:pt>
                <c:pt idx="11">
                  <c:v>43.289922926936711</c:v>
                </c:pt>
                <c:pt idx="12">
                  <c:v>49.667590157361516</c:v>
                </c:pt>
                <c:pt idx="13">
                  <c:v>55.539639120867143</c:v>
                </c:pt>
                <c:pt idx="14">
                  <c:v>56.266498444765055</c:v>
                </c:pt>
                <c:pt idx="15">
                  <c:v>54.855306549053758</c:v>
                </c:pt>
                <c:pt idx="16">
                  <c:v>55.813826783905583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68-4D85-9A41-EAF4C78A8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51312"/>
        <c:axId val="472451704"/>
      </c:lineChart>
      <c:dateAx>
        <c:axId val="4724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2451704"/>
        <c:crosses val="autoZero"/>
        <c:auto val="0"/>
        <c:lblOffset val="100"/>
        <c:baseTimeUnit val="days"/>
      </c:dateAx>
      <c:valAx>
        <c:axId val="472451704"/>
        <c:scaling>
          <c:orientation val="minMax"/>
          <c:max val="70"/>
          <c:min val="20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72451312"/>
        <c:crosses val="max"/>
        <c:crossBetween val="between"/>
      </c:valAx>
      <c:spPr>
        <a:noFill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ayout>
        <c:manualLayout>
          <c:xMode val="edge"/>
          <c:yMode val="edge"/>
          <c:x val="3.3548705067009452E-2"/>
          <c:y val="2.7782779130287618E-2"/>
          <c:w val="0.89188072727272727"/>
          <c:h val="0.122870363699840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410895782899028"/>
          <c:h val="0.743561248948029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18'!$A$5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18'!$B$5:$F$5</c:f>
              <c:numCache>
                <c:formatCode>#\ ##0.0</c:formatCode>
                <c:ptCount val="5"/>
                <c:pt idx="0">
                  <c:v>4.8911365516833509</c:v>
                </c:pt>
                <c:pt idx="1">
                  <c:v>6.9718196682844278</c:v>
                </c:pt>
                <c:pt idx="2">
                  <c:v>4.0699079542677721</c:v>
                </c:pt>
                <c:pt idx="3">
                  <c:v>2.2518533473552758</c:v>
                </c:pt>
                <c:pt idx="4">
                  <c:v>2.0791681509323481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C-48D8-915B-B0C3705EC2CF}"/>
            </c:ext>
          </c:extLst>
        </c:ser>
        <c:ser>
          <c:idx val="4"/>
          <c:order val="2"/>
          <c:tx>
            <c:strRef>
              <c:f>'Graf 18'!$A$6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0044CC"/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18'!$B$6:$F$6</c:f>
              <c:numCache>
                <c:formatCode>#\ ##0.0</c:formatCode>
                <c:ptCount val="5"/>
                <c:pt idx="0">
                  <c:v>1.2001009608537985</c:v>
                </c:pt>
                <c:pt idx="1">
                  <c:v>0.94907497748297243</c:v>
                </c:pt>
                <c:pt idx="2">
                  <c:v>0.8700924106743273</c:v>
                </c:pt>
                <c:pt idx="3">
                  <c:v>0.78467406755204694</c:v>
                </c:pt>
                <c:pt idx="4">
                  <c:v>0.84860709602114692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C-48D8-915B-B0C3705EC2CF}"/>
            </c:ext>
          </c:extLst>
        </c:ser>
        <c:ser>
          <c:idx val="1"/>
          <c:order val="3"/>
          <c:tx>
            <c:strRef>
              <c:f>'Graf 18'!$A$7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18'!$B$7:$F$7</c:f>
              <c:numCache>
                <c:formatCode>#\ ##0.0</c:formatCode>
                <c:ptCount val="5"/>
                <c:pt idx="0">
                  <c:v>2.2489204732087344</c:v>
                </c:pt>
                <c:pt idx="1">
                  <c:v>-2.158220743057079</c:v>
                </c:pt>
                <c:pt idx="2">
                  <c:v>-2.5773640841051439</c:v>
                </c:pt>
                <c:pt idx="3">
                  <c:v>-3.0035985438948316</c:v>
                </c:pt>
                <c:pt idx="4">
                  <c:v>-0.42418007915058337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DC-48D8-915B-B0C3705EC2CF}"/>
            </c:ext>
          </c:extLst>
        </c:ser>
        <c:ser>
          <c:idx val="3"/>
          <c:order val="4"/>
          <c:tx>
            <c:strRef>
              <c:f>'Graf 18'!$A$8</c:f>
              <c:strCache>
                <c:ptCount val="1"/>
                <c:pt idx="0">
                  <c:v>Deflátor HDP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18'!$B$8:$F$8</c:f>
              <c:numCache>
                <c:formatCode>#\ ##0.0</c:formatCode>
                <c:ptCount val="5"/>
                <c:pt idx="0">
                  <c:v>-1.219569381490373</c:v>
                </c:pt>
                <c:pt idx="1">
                  <c:v>-1.1283000135534329</c:v>
                </c:pt>
                <c:pt idx="2">
                  <c:v>-2.1434088438819807</c:v>
                </c:pt>
                <c:pt idx="3">
                  <c:v>-1.5061416159572012</c:v>
                </c:pt>
                <c:pt idx="4">
                  <c:v>-1.2268316532988308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DC-48D8-915B-B0C3705EC2CF}"/>
            </c:ext>
          </c:extLst>
        </c:ser>
        <c:ser>
          <c:idx val="7"/>
          <c:order val="5"/>
          <c:tx>
            <c:strRef>
              <c:f>'Graf 18'!$A$9</c:f>
              <c:strCache>
                <c:ptCount val="1"/>
                <c:pt idx="0">
                  <c:v>Zmena hotovosti VS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28575">
              <a:noFill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18'!$B$9:$F$9</c:f>
              <c:numCache>
                <c:formatCode>#\ ##0.0</c:formatCode>
                <c:ptCount val="5"/>
                <c:pt idx="0">
                  <c:v>5.1536984123882936</c:v>
                </c:pt>
                <c:pt idx="1">
                  <c:v>-3.5207231562428913</c:v>
                </c:pt>
                <c:pt idx="2">
                  <c:v>-0.32453101153030234</c:v>
                </c:pt>
                <c:pt idx="3">
                  <c:v>-1.0810254321604473</c:v>
                </c:pt>
                <c:pt idx="4">
                  <c:v>-0.77062389700461098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2-499F-B991-B2FB145179A1}"/>
            </c:ext>
          </c:extLst>
        </c:ser>
        <c:ser>
          <c:idx val="6"/>
          <c:order val="6"/>
          <c:tx>
            <c:strRef>
              <c:f>'Graf 18'!$A$10</c:f>
              <c:strCache>
                <c:ptCount val="1"/>
                <c:pt idx="0">
                  <c:v>Zosúladenie deficitu a dlhu - bez hotovosti VS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18'!$B$10:$F$10</c:f>
              <c:numCache>
                <c:formatCode>#\ ##0.0</c:formatCode>
                <c:ptCount val="5"/>
                <c:pt idx="0">
                  <c:v>-0.67499244373755207</c:v>
                </c:pt>
                <c:pt idx="1">
                  <c:v>0.68347466334392859</c:v>
                </c:pt>
                <c:pt idx="2">
                  <c:v>4.7419045548193262E-2</c:v>
                </c:pt>
                <c:pt idx="3">
                  <c:v>-0.3204706440766194</c:v>
                </c:pt>
                <c:pt idx="4">
                  <c:v>-0.42391259802115255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C-48D8-915B-B0C3705E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452488"/>
        <c:axId val="473558312"/>
        <c:extLst/>
      </c:barChart>
      <c:lineChart>
        <c:grouping val="standard"/>
        <c:varyColors val="0"/>
        <c:ser>
          <c:idx val="0"/>
          <c:order val="1"/>
          <c:tx>
            <c:strRef>
              <c:f>'Graf 18'!$A$3</c:f>
              <c:strCache>
                <c:ptCount val="1"/>
                <c:pt idx="0">
                  <c:v>Zmena hrubého dlhu VS</c:v>
                </c:pt>
              </c:strCache>
            </c:strRef>
          </c:tx>
          <c:spPr>
            <a:ln w="25400" cmpd="sng">
              <a:noFill/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9525">
                <a:solidFill>
                  <a:sysClr val="window" lastClr="FFFFFF"/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65B2-499F-B991-B2FB145179A1}"/>
              </c:ext>
            </c:extLst>
          </c:dPt>
          <c:dLbls>
            <c:numFmt formatCode="#,##0.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18'!$B$3:$F$3</c:f>
              <c:numCache>
                <c:formatCode>#\ ##0.0</c:formatCode>
                <c:ptCount val="5"/>
                <c:pt idx="0">
                  <c:v>11.599294572906253</c:v>
                </c:pt>
                <c:pt idx="1">
                  <c:v>1.7971253962579254</c:v>
                </c:pt>
                <c:pt idx="2">
                  <c:v>-5.788452902713459E-2</c:v>
                </c:pt>
                <c:pt idx="3">
                  <c:v>-2.8747088211817768</c:v>
                </c:pt>
                <c:pt idx="4">
                  <c:v>8.2227019478317231E-2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DC-48D8-915B-B0C3705E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52488"/>
        <c:axId val="473558312"/>
      </c:lineChart>
      <c:catAx>
        <c:axId val="4724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3558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558312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2452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8588617389977551E-2"/>
          <c:y val="0.88532168178873027"/>
          <c:w val="0.95042686604035442"/>
          <c:h val="0.1146783182112698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410895782899028"/>
          <c:h val="0.743561248948029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18'!$G$5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18'!$B$5:$F$5</c:f>
              <c:numCache>
                <c:formatCode>#\ ##0.0</c:formatCode>
                <c:ptCount val="5"/>
                <c:pt idx="0">
                  <c:v>4.8911365516833509</c:v>
                </c:pt>
                <c:pt idx="1">
                  <c:v>6.9718196682844278</c:v>
                </c:pt>
                <c:pt idx="2">
                  <c:v>4.0699079542677721</c:v>
                </c:pt>
                <c:pt idx="3">
                  <c:v>2.2518533473552758</c:v>
                </c:pt>
                <c:pt idx="4">
                  <c:v>2.0791681509323481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C-48D8-915B-B0C3705EC2CF}"/>
            </c:ext>
          </c:extLst>
        </c:ser>
        <c:ser>
          <c:idx val="4"/>
          <c:order val="2"/>
          <c:tx>
            <c:strRef>
              <c:f>'Graf 18'!$G$6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44CC"/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18'!$B$6:$F$6</c:f>
              <c:numCache>
                <c:formatCode>#\ ##0.0</c:formatCode>
                <c:ptCount val="5"/>
                <c:pt idx="0">
                  <c:v>1.2001009608537985</c:v>
                </c:pt>
                <c:pt idx="1">
                  <c:v>0.94907497748297243</c:v>
                </c:pt>
                <c:pt idx="2">
                  <c:v>0.8700924106743273</c:v>
                </c:pt>
                <c:pt idx="3">
                  <c:v>0.78467406755204694</c:v>
                </c:pt>
                <c:pt idx="4">
                  <c:v>0.84860709602114692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C-48D8-915B-B0C3705EC2CF}"/>
            </c:ext>
          </c:extLst>
        </c:ser>
        <c:ser>
          <c:idx val="1"/>
          <c:order val="3"/>
          <c:tx>
            <c:strRef>
              <c:f>'Graf 18'!$G$7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18'!$B$7:$F$7</c:f>
              <c:numCache>
                <c:formatCode>#\ ##0.0</c:formatCode>
                <c:ptCount val="5"/>
                <c:pt idx="0">
                  <c:v>2.2489204732087344</c:v>
                </c:pt>
                <c:pt idx="1">
                  <c:v>-2.158220743057079</c:v>
                </c:pt>
                <c:pt idx="2">
                  <c:v>-2.5773640841051439</c:v>
                </c:pt>
                <c:pt idx="3">
                  <c:v>-3.0035985438948316</c:v>
                </c:pt>
                <c:pt idx="4">
                  <c:v>-0.42418007915058337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DC-48D8-915B-B0C3705EC2CF}"/>
            </c:ext>
          </c:extLst>
        </c:ser>
        <c:ser>
          <c:idx val="3"/>
          <c:order val="4"/>
          <c:tx>
            <c:strRef>
              <c:f>'Graf 18'!$G$8</c:f>
              <c:strCache>
                <c:ptCount val="1"/>
                <c:pt idx="0">
                  <c:v>GDP deflator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18'!$B$8:$F$8</c:f>
              <c:numCache>
                <c:formatCode>#\ ##0.0</c:formatCode>
                <c:ptCount val="5"/>
                <c:pt idx="0">
                  <c:v>-1.219569381490373</c:v>
                </c:pt>
                <c:pt idx="1">
                  <c:v>-1.1283000135534329</c:v>
                </c:pt>
                <c:pt idx="2">
                  <c:v>-2.1434088438819807</c:v>
                </c:pt>
                <c:pt idx="3">
                  <c:v>-1.5061416159572012</c:v>
                </c:pt>
                <c:pt idx="4">
                  <c:v>-1.2268316532988308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DC-48D8-915B-B0C3705EC2CF}"/>
            </c:ext>
          </c:extLst>
        </c:ser>
        <c:ser>
          <c:idx val="7"/>
          <c:order val="5"/>
          <c:tx>
            <c:strRef>
              <c:f>'Graf 18'!$G$9</c:f>
              <c:strCache>
                <c:ptCount val="1"/>
                <c:pt idx="0">
                  <c:v>Change in cash and deposits of GG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28575">
              <a:noFill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18'!$B$9:$F$9</c:f>
              <c:numCache>
                <c:formatCode>#\ ##0.0</c:formatCode>
                <c:ptCount val="5"/>
                <c:pt idx="0">
                  <c:v>5.1536984123882936</c:v>
                </c:pt>
                <c:pt idx="1">
                  <c:v>-3.5207231562428913</c:v>
                </c:pt>
                <c:pt idx="2">
                  <c:v>-0.32453101153030234</c:v>
                </c:pt>
                <c:pt idx="3">
                  <c:v>-1.0810254321604473</c:v>
                </c:pt>
                <c:pt idx="4">
                  <c:v>-0.77062389700461098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894-A760-BAED0414D050}"/>
            </c:ext>
          </c:extLst>
        </c:ser>
        <c:ser>
          <c:idx val="6"/>
          <c:order val="6"/>
          <c:tx>
            <c:strRef>
              <c:f>'Graf 18'!$G$10</c:f>
              <c:strCache>
                <c:ptCount val="1"/>
                <c:pt idx="0">
                  <c:v>Stock-flow adjustment (without GG cash and deposits)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18'!$B$10:$F$10</c:f>
              <c:numCache>
                <c:formatCode>#\ ##0.0</c:formatCode>
                <c:ptCount val="5"/>
                <c:pt idx="0">
                  <c:v>-0.67499244373755207</c:v>
                </c:pt>
                <c:pt idx="1">
                  <c:v>0.68347466334392859</c:v>
                </c:pt>
                <c:pt idx="2">
                  <c:v>4.7419045548193262E-2</c:v>
                </c:pt>
                <c:pt idx="3">
                  <c:v>-0.3204706440766194</c:v>
                </c:pt>
                <c:pt idx="4">
                  <c:v>-0.42391259802115255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C-48D8-915B-B0C3705E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559096"/>
        <c:axId val="473559488"/>
        <c:extLst/>
      </c:barChart>
      <c:lineChart>
        <c:grouping val="standard"/>
        <c:varyColors val="0"/>
        <c:ser>
          <c:idx val="0"/>
          <c:order val="1"/>
          <c:tx>
            <c:strRef>
              <c:f>'Graf 18'!$G$3</c:f>
              <c:strCache>
                <c:ptCount val="1"/>
                <c:pt idx="0">
                  <c:v>Y-o-y change of gross debt</c:v>
                </c:pt>
              </c:strCache>
            </c:strRef>
          </c:tx>
          <c:spPr>
            <a:ln w="25400" cmpd="sng">
              <a:noFill/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9525">
                <a:solidFill>
                  <a:sysClr val="window" lastClr="FFFFFF"/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CEB3-4894-A760-BAED0414D050}"/>
              </c:ext>
            </c:extLst>
          </c:dPt>
          <c:dLbls>
            <c:numFmt formatCode="#,##0.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18'!$B$2:$F$2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 18'!$B$3:$F$3</c:f>
              <c:numCache>
                <c:formatCode>#\ ##0.0</c:formatCode>
                <c:ptCount val="5"/>
                <c:pt idx="0">
                  <c:v>11.599294572906253</c:v>
                </c:pt>
                <c:pt idx="1">
                  <c:v>1.7971253962579254</c:v>
                </c:pt>
                <c:pt idx="2">
                  <c:v>-5.788452902713459E-2</c:v>
                </c:pt>
                <c:pt idx="3">
                  <c:v>-2.8747088211817768</c:v>
                </c:pt>
                <c:pt idx="4">
                  <c:v>8.2227019478317231E-2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DC-48D8-915B-B0C3705EC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59096"/>
        <c:axId val="473559488"/>
      </c:lineChart>
      <c:catAx>
        <c:axId val="4735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355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559488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3559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8588617389977551E-2"/>
          <c:y val="0.88532168178873027"/>
          <c:w val="0.95042686604035442"/>
          <c:h val="0.1146783182112698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 19'!$A$4</c:f>
              <c:strCache>
                <c:ptCount val="1"/>
                <c:pt idx="0">
                  <c:v>Čistý dlh (% HDP)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19'!$B$2:$Z$2</c15:sqref>
                  </c15:fullRef>
                </c:ext>
              </c:extLst>
              <c:f>'Graf 19'!$G$2:$Z$2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19'!$B$4:$Z$4</c15:sqref>
                  </c15:fullRef>
                </c:ext>
              </c:extLst>
              <c:f>'Graf 19'!$G$4:$Z$4</c:f>
              <c:numCache>
                <c:formatCode>0.0</c:formatCode>
                <c:ptCount val="20"/>
                <c:pt idx="0">
                  <c:v>55.534097227024418</c:v>
                </c:pt>
                <c:pt idx="1">
                  <c:v>56.26138144222881</c:v>
                </c:pt>
                <c:pt idx="2">
                  <c:v>55.207092190266629</c:v>
                </c:pt>
                <c:pt idx="3">
                  <c:v>56.482624234173642</c:v>
                </c:pt>
                <c:pt idx="4">
                  <c:v>57.148874337495151</c:v>
                </c:pt>
                <c:pt idx="5">
                  <c:v>59.046884781128838</c:v>
                </c:pt>
                <c:pt idx="6">
                  <c:v>61.763035870661554</c:v>
                </c:pt>
                <c:pt idx="7">
                  <c:v>64.563441797441143</c:v>
                </c:pt>
                <c:pt idx="8">
                  <c:v>66.532923990018418</c:v>
                </c:pt>
                <c:pt idx="9">
                  <c:v>67.224599881721673</c:v>
                </c:pt>
                <c:pt idx="10">
                  <c:v>68.47373994787894</c:v>
                </c:pt>
                <c:pt idx="11">
                  <c:v>69.898922309892242</c:v>
                </c:pt>
                <c:pt idx="12">
                  <c:v>71.502364598160611</c:v>
                </c:pt>
                <c:pt idx="13">
                  <c:v>73.270985457725828</c:v>
                </c:pt>
                <c:pt idx="14">
                  <c:v>75.267749563303852</c:v>
                </c:pt>
                <c:pt idx="15">
                  <c:v>77.514940374713177</c:v>
                </c:pt>
                <c:pt idx="16">
                  <c:v>80.041645525203265</c:v>
                </c:pt>
                <c:pt idx="17">
                  <c:v>82.825491136230156</c:v>
                </c:pt>
                <c:pt idx="18">
                  <c:v>85.850532447563666</c:v>
                </c:pt>
                <c:pt idx="19">
                  <c:v>89.08293668400627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D-468A-8473-FA58D0378B4D}"/>
            </c:ext>
          </c:extLst>
        </c:ser>
        <c:ser>
          <c:idx val="1"/>
          <c:order val="1"/>
          <c:tx>
            <c:strRef>
              <c:f>'Graf 19'!$A$5</c:f>
              <c:strCache>
                <c:ptCount val="1"/>
                <c:pt idx="0">
                  <c:v>Likvidné finančné aktíva (% HDP)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19'!$B$2:$Z$2</c15:sqref>
                  </c15:fullRef>
                </c:ext>
              </c:extLst>
              <c:f>'Graf 19'!$G$2:$Z$2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19'!$B$5:$Z$5</c15:sqref>
                  </c15:fullRef>
                </c:ext>
              </c:extLst>
              <c:f>'Graf 19'!$G$5:$Z$5</c:f>
              <c:numCache>
                <c:formatCode>0.0</c:formatCode>
                <c:ptCount val="20"/>
                <c:pt idx="0">
                  <c:v>6.004766082767631</c:v>
                </c:pt>
                <c:pt idx="1">
                  <c:v>5.2195973385361043</c:v>
                </c:pt>
                <c:pt idx="2">
                  <c:v>3.3991777693165091</c:v>
                </c:pt>
                <c:pt idx="3">
                  <c:v>2.205872744887813</c:v>
                </c:pt>
                <c:pt idx="4" formatCode="General">
                  <c:v>3.9999999999999929</c:v>
                </c:pt>
                <c:pt idx="5" formatCode="General">
                  <c:v>3.9999999999999929</c:v>
                </c:pt>
                <c:pt idx="6" formatCode="General">
                  <c:v>3.9999999999999858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3.9999999999999858</c:v>
                </c:pt>
                <c:pt idx="10" formatCode="General">
                  <c:v>4</c:v>
                </c:pt>
                <c:pt idx="11" formatCode="General">
                  <c:v>4</c:v>
                </c:pt>
                <c:pt idx="12" formatCode="General">
                  <c:v>3.9999999999999858</c:v>
                </c:pt>
                <c:pt idx="13" formatCode="General">
                  <c:v>4</c:v>
                </c:pt>
                <c:pt idx="14" formatCode="General">
                  <c:v>4</c:v>
                </c:pt>
                <c:pt idx="15" formatCode="General">
                  <c:v>4.0000000000000142</c:v>
                </c:pt>
                <c:pt idx="16" formatCode="General">
                  <c:v>4.0000000000000142</c:v>
                </c:pt>
                <c:pt idx="17" formatCode="General">
                  <c:v>4</c:v>
                </c:pt>
                <c:pt idx="18" formatCode="General">
                  <c:v>3.9999999999999858</c:v>
                </c:pt>
                <c:pt idx="19" formatCode="General">
                  <c:v>4.0000000000000142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D-468A-8473-FA58D037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0272"/>
        <c:axId val="473560664"/>
      </c:areaChart>
      <c:lineChart>
        <c:grouping val="standard"/>
        <c:varyColors val="0"/>
        <c:ser>
          <c:idx val="2"/>
          <c:order val="2"/>
          <c:tx>
            <c:strRef>
              <c:f>'Graf 19'!$A$3</c:f>
              <c:strCache>
                <c:ptCount val="1"/>
                <c:pt idx="0">
                  <c:v>Hrubý dlh (% HDP)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3175">
                <a:noFill/>
              </a:ln>
              <a:effectLst/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19'!$B$3:$Z$3</c15:sqref>
                  </c15:fullRef>
                </c:ext>
              </c:extLst>
              <c:f>'Graf 19'!$G$3:$Z$3</c:f>
              <c:numCache>
                <c:formatCode>0.0</c:formatCode>
                <c:ptCount val="20"/>
                <c:pt idx="0">
                  <c:v>61.538863309792049</c:v>
                </c:pt>
                <c:pt idx="1">
                  <c:v>61.480978780764914</c:v>
                </c:pt>
                <c:pt idx="2">
                  <c:v>58.606269959583138</c:v>
                </c:pt>
                <c:pt idx="3">
                  <c:v>58.688496979061455</c:v>
                </c:pt>
                <c:pt idx="4">
                  <c:v>61.148874337495144</c:v>
                </c:pt>
                <c:pt idx="5">
                  <c:v>63.046884781128831</c:v>
                </c:pt>
                <c:pt idx="6">
                  <c:v>65.76303587066154</c:v>
                </c:pt>
                <c:pt idx="7">
                  <c:v>68.563441797441143</c:v>
                </c:pt>
                <c:pt idx="8">
                  <c:v>70.532923990018418</c:v>
                </c:pt>
                <c:pt idx="9">
                  <c:v>71.224599881721659</c:v>
                </c:pt>
                <c:pt idx="10">
                  <c:v>72.47373994787894</c:v>
                </c:pt>
                <c:pt idx="11">
                  <c:v>73.898922309892242</c:v>
                </c:pt>
                <c:pt idx="12">
                  <c:v>75.502364598160597</c:v>
                </c:pt>
                <c:pt idx="13">
                  <c:v>77.270985457725828</c:v>
                </c:pt>
                <c:pt idx="14">
                  <c:v>79.267749563303852</c:v>
                </c:pt>
                <c:pt idx="15">
                  <c:v>81.514940374713191</c:v>
                </c:pt>
                <c:pt idx="16">
                  <c:v>84.041645525203279</c:v>
                </c:pt>
                <c:pt idx="17">
                  <c:v>86.825491136230156</c:v>
                </c:pt>
                <c:pt idx="18">
                  <c:v>89.850532447563651</c:v>
                </c:pt>
                <c:pt idx="19">
                  <c:v>93.082936684006285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D-468A-8473-FA58D0378B4D}"/>
            </c:ext>
          </c:extLst>
        </c:ser>
        <c:ser>
          <c:idx val="3"/>
          <c:order val="3"/>
          <c:tx>
            <c:strRef>
              <c:f>'Graf 19'!$A$7</c:f>
              <c:strCache>
                <c:ptCount val="1"/>
                <c:pt idx="0">
                  <c:v>Pásma aktuálnej dlhovej brzdy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19'!$B$9:$Z$9</c15:sqref>
                  </c15:fullRef>
                </c:ext>
              </c:extLst>
              <c:f>'Graf 19'!$G$9:$Z$9</c:f>
              <c:numCache>
                <c:formatCode>General</c:formatCode>
                <c:ptCount val="20"/>
                <c:pt idx="0">
                  <c:v>56</c:v>
                </c:pt>
                <c:pt idx="1">
                  <c:v>55</c:v>
                </c:pt>
                <c:pt idx="2">
                  <c:v>54</c:v>
                </c:pt>
                <c:pt idx="3">
                  <c:v>53</c:v>
                </c:pt>
                <c:pt idx="4">
                  <c:v>52</c:v>
                </c:pt>
                <c:pt idx="5">
                  <c:v>51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D-468A-8473-FA58D0378B4D}"/>
            </c:ext>
          </c:extLst>
        </c:ser>
        <c:ser>
          <c:idx val="4"/>
          <c:order val="4"/>
          <c:tx>
            <c:strRef>
              <c:f>'Graf 19'!$A$10</c:f>
              <c:strCache>
                <c:ptCount val="1"/>
                <c:pt idx="0">
                  <c:v>4.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19'!$B$10:$Z$10</c15:sqref>
                  </c15:fullRef>
                </c:ext>
              </c:extLst>
              <c:f>'Graf 19'!$G$10:$Z$10</c:f>
              <c:numCache>
                <c:formatCode>General</c:formatCode>
                <c:ptCount val="20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  <c:pt idx="18">
                  <c:v>47</c:v>
                </c:pt>
                <c:pt idx="19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3D-468A-8473-FA58D0378B4D}"/>
            </c:ext>
          </c:extLst>
        </c:ser>
        <c:ser>
          <c:idx val="5"/>
          <c:order val="5"/>
          <c:tx>
            <c:strRef>
              <c:f>'Graf 19'!$A$11</c:f>
              <c:strCache>
                <c:ptCount val="1"/>
                <c:pt idx="0">
                  <c:v>3.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19'!$B$11:$Z$11</c15:sqref>
                  </c15:fullRef>
                </c:ext>
              </c:extLst>
              <c:f>'Graf 19'!$G$11:$Z$11</c:f>
              <c:numCache>
                <c:formatCode>General</c:formatCode>
                <c:ptCount val="20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3D-468A-8473-FA58D0378B4D}"/>
            </c:ext>
          </c:extLst>
        </c:ser>
        <c:ser>
          <c:idx val="6"/>
          <c:order val="6"/>
          <c:tx>
            <c:strRef>
              <c:f>'Graf 19'!$A$12</c:f>
              <c:strCache>
                <c:ptCount val="1"/>
                <c:pt idx="0">
                  <c:v>2.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19'!$B$12:$Z$12</c15:sqref>
                  </c15:fullRef>
                </c:ext>
              </c:extLst>
              <c:f>'Graf 19'!$G$12:$Z$12</c:f>
              <c:numCache>
                <c:formatCode>General</c:formatCode>
                <c:ptCount val="20"/>
                <c:pt idx="0">
                  <c:v>49</c:v>
                </c:pt>
                <c:pt idx="1">
                  <c:v>48</c:v>
                </c:pt>
                <c:pt idx="2">
                  <c:v>47</c:v>
                </c:pt>
                <c:pt idx="3">
                  <c:v>46</c:v>
                </c:pt>
                <c:pt idx="4">
                  <c:v>45</c:v>
                </c:pt>
                <c:pt idx="5">
                  <c:v>44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  <c:pt idx="18">
                  <c:v>43</c:v>
                </c:pt>
                <c:pt idx="19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3D-468A-8473-FA58D0378B4D}"/>
            </c:ext>
          </c:extLst>
        </c:ser>
        <c:ser>
          <c:idx val="7"/>
          <c:order val="7"/>
          <c:tx>
            <c:strRef>
              <c:f>'Graf 19'!$A$13</c:f>
              <c:strCache>
                <c:ptCount val="1"/>
                <c:pt idx="0">
                  <c:v>1.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19'!$B$13:$Z$13</c15:sqref>
                  </c15:fullRef>
                </c:ext>
              </c:extLst>
              <c:f>'Graf 19'!$G$13:$Z$13</c:f>
              <c:numCache>
                <c:formatCode>General</c:formatCode>
                <c:ptCount val="20"/>
                <c:pt idx="0">
                  <c:v>46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42</c:v>
                </c:pt>
                <c:pt idx="5">
                  <c:v>41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3D-468A-8473-FA58D037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0272"/>
        <c:axId val="473560664"/>
      </c:lineChart>
      <c:catAx>
        <c:axId val="4735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0664"/>
        <c:crosses val="autoZero"/>
        <c:auto val="1"/>
        <c:lblAlgn val="ctr"/>
        <c:lblOffset val="100"/>
        <c:noMultiLvlLbl val="0"/>
      </c:catAx>
      <c:valAx>
        <c:axId val="473560664"/>
        <c:scaling>
          <c:orientation val="minMax"/>
          <c:min val="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 19'!$AA$4</c:f>
              <c:strCache>
                <c:ptCount val="1"/>
                <c:pt idx="0">
                  <c:v>Net debt (% of GDP)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19'!$B$2:$Z$2</c15:sqref>
                  </c15:fullRef>
                </c:ext>
              </c:extLst>
              <c:f>'Graf 19'!$G$2:$Z$2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19'!$B$4:$Z$4</c15:sqref>
                  </c15:fullRef>
                </c:ext>
              </c:extLst>
              <c:f>'Graf 19'!$G$4:$Z$4</c:f>
              <c:numCache>
                <c:formatCode>0.0</c:formatCode>
                <c:ptCount val="20"/>
                <c:pt idx="0">
                  <c:v>55.534097227024418</c:v>
                </c:pt>
                <c:pt idx="1">
                  <c:v>56.26138144222881</c:v>
                </c:pt>
                <c:pt idx="2">
                  <c:v>55.207092190266629</c:v>
                </c:pt>
                <c:pt idx="3">
                  <c:v>56.482624234173642</c:v>
                </c:pt>
                <c:pt idx="4">
                  <c:v>57.148874337495151</c:v>
                </c:pt>
                <c:pt idx="5">
                  <c:v>59.046884781128838</c:v>
                </c:pt>
                <c:pt idx="6">
                  <c:v>61.763035870661554</c:v>
                </c:pt>
                <c:pt idx="7">
                  <c:v>64.563441797441143</c:v>
                </c:pt>
                <c:pt idx="8">
                  <c:v>66.532923990018418</c:v>
                </c:pt>
                <c:pt idx="9">
                  <c:v>67.224599881721673</c:v>
                </c:pt>
                <c:pt idx="10">
                  <c:v>68.47373994787894</c:v>
                </c:pt>
                <c:pt idx="11">
                  <c:v>69.898922309892242</c:v>
                </c:pt>
                <c:pt idx="12">
                  <c:v>71.502364598160611</c:v>
                </c:pt>
                <c:pt idx="13">
                  <c:v>73.270985457725828</c:v>
                </c:pt>
                <c:pt idx="14">
                  <c:v>75.267749563303852</c:v>
                </c:pt>
                <c:pt idx="15">
                  <c:v>77.514940374713177</c:v>
                </c:pt>
                <c:pt idx="16">
                  <c:v>80.041645525203265</c:v>
                </c:pt>
                <c:pt idx="17">
                  <c:v>82.825491136230156</c:v>
                </c:pt>
                <c:pt idx="18">
                  <c:v>85.850532447563666</c:v>
                </c:pt>
                <c:pt idx="19">
                  <c:v>89.08293668400627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5-415B-A237-DA9D07FBB034}"/>
            </c:ext>
          </c:extLst>
        </c:ser>
        <c:ser>
          <c:idx val="1"/>
          <c:order val="1"/>
          <c:tx>
            <c:strRef>
              <c:f>'Graf 19'!$AA$5</c:f>
              <c:strCache>
                <c:ptCount val="1"/>
                <c:pt idx="0">
                  <c:v>Liquid financial assests (% of GDP)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'Graf 19'!$B$2:$Z$2</c15:sqref>
                  </c15:fullRef>
                </c:ext>
              </c:extLst>
              <c:f>'Graf 19'!$G$2:$Z$2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19'!$B$5:$Z$5</c15:sqref>
                  </c15:fullRef>
                </c:ext>
              </c:extLst>
              <c:f>'Graf 19'!$G$5:$Z$5</c:f>
              <c:numCache>
                <c:formatCode>0.0</c:formatCode>
                <c:ptCount val="20"/>
                <c:pt idx="0">
                  <c:v>6.004766082767631</c:v>
                </c:pt>
                <c:pt idx="1">
                  <c:v>5.2195973385361043</c:v>
                </c:pt>
                <c:pt idx="2">
                  <c:v>3.3991777693165091</c:v>
                </c:pt>
                <c:pt idx="3">
                  <c:v>2.205872744887813</c:v>
                </c:pt>
                <c:pt idx="4" formatCode="General">
                  <c:v>3.9999999999999929</c:v>
                </c:pt>
                <c:pt idx="5" formatCode="General">
                  <c:v>3.9999999999999929</c:v>
                </c:pt>
                <c:pt idx="6" formatCode="General">
                  <c:v>3.9999999999999858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3.9999999999999858</c:v>
                </c:pt>
                <c:pt idx="10" formatCode="General">
                  <c:v>4</c:v>
                </c:pt>
                <c:pt idx="11" formatCode="General">
                  <c:v>4</c:v>
                </c:pt>
                <c:pt idx="12" formatCode="General">
                  <c:v>3.9999999999999858</c:v>
                </c:pt>
                <c:pt idx="13" formatCode="General">
                  <c:v>4</c:v>
                </c:pt>
                <c:pt idx="14" formatCode="General">
                  <c:v>4</c:v>
                </c:pt>
                <c:pt idx="15" formatCode="General">
                  <c:v>4.0000000000000142</c:v>
                </c:pt>
                <c:pt idx="16" formatCode="General">
                  <c:v>4.0000000000000142</c:v>
                </c:pt>
                <c:pt idx="17" formatCode="General">
                  <c:v>4</c:v>
                </c:pt>
                <c:pt idx="18" formatCode="General">
                  <c:v>3.9999999999999858</c:v>
                </c:pt>
                <c:pt idx="19" formatCode="General">
                  <c:v>4.0000000000000142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5-415B-A237-DA9D07FB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1448"/>
        <c:axId val="473561840"/>
      </c:areaChart>
      <c:lineChart>
        <c:grouping val="standard"/>
        <c:varyColors val="0"/>
        <c:ser>
          <c:idx val="2"/>
          <c:order val="2"/>
          <c:tx>
            <c:strRef>
              <c:f>'Graf 19'!$AA$3</c:f>
              <c:strCache>
                <c:ptCount val="1"/>
                <c:pt idx="0">
                  <c:v>Gross debt (% of GDP)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3175">
                <a:noFill/>
              </a:ln>
              <a:effectLst/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19'!$B$3:$Z$3</c15:sqref>
                  </c15:fullRef>
                </c:ext>
              </c:extLst>
              <c:f>'Graf 19'!$G$3:$Z$3</c:f>
              <c:numCache>
                <c:formatCode>0.0</c:formatCode>
                <c:ptCount val="20"/>
                <c:pt idx="0">
                  <c:v>61.538863309792049</c:v>
                </c:pt>
                <c:pt idx="1">
                  <c:v>61.480978780764914</c:v>
                </c:pt>
                <c:pt idx="2">
                  <c:v>58.606269959583138</c:v>
                </c:pt>
                <c:pt idx="3">
                  <c:v>58.688496979061455</c:v>
                </c:pt>
                <c:pt idx="4">
                  <c:v>61.148874337495144</c:v>
                </c:pt>
                <c:pt idx="5">
                  <c:v>63.046884781128831</c:v>
                </c:pt>
                <c:pt idx="6">
                  <c:v>65.76303587066154</c:v>
                </c:pt>
                <c:pt idx="7">
                  <c:v>68.563441797441143</c:v>
                </c:pt>
                <c:pt idx="8">
                  <c:v>70.532923990018418</c:v>
                </c:pt>
                <c:pt idx="9">
                  <c:v>71.224599881721659</c:v>
                </c:pt>
                <c:pt idx="10">
                  <c:v>72.47373994787894</c:v>
                </c:pt>
                <c:pt idx="11">
                  <c:v>73.898922309892242</c:v>
                </c:pt>
                <c:pt idx="12">
                  <c:v>75.502364598160597</c:v>
                </c:pt>
                <c:pt idx="13">
                  <c:v>77.270985457725828</c:v>
                </c:pt>
                <c:pt idx="14">
                  <c:v>79.267749563303852</c:v>
                </c:pt>
                <c:pt idx="15">
                  <c:v>81.514940374713191</c:v>
                </c:pt>
                <c:pt idx="16">
                  <c:v>84.041645525203279</c:v>
                </c:pt>
                <c:pt idx="17">
                  <c:v>86.825491136230156</c:v>
                </c:pt>
                <c:pt idx="18">
                  <c:v>89.850532447563651</c:v>
                </c:pt>
                <c:pt idx="19">
                  <c:v>93.082936684006285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5-415B-A237-DA9D07FBB034}"/>
            </c:ext>
          </c:extLst>
        </c:ser>
        <c:ser>
          <c:idx val="3"/>
          <c:order val="3"/>
          <c:tx>
            <c:strRef>
              <c:f>'Graf 19'!$AA$7</c:f>
              <c:strCache>
                <c:ptCount val="1"/>
                <c:pt idx="0">
                  <c:v>Sanction bands of current debt break rule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19'!$B$9:$Z$9</c15:sqref>
                  </c15:fullRef>
                </c:ext>
              </c:extLst>
              <c:f>'Graf 19'!$G$9:$Z$9</c:f>
              <c:numCache>
                <c:formatCode>General</c:formatCode>
                <c:ptCount val="20"/>
                <c:pt idx="0">
                  <c:v>56</c:v>
                </c:pt>
                <c:pt idx="1">
                  <c:v>55</c:v>
                </c:pt>
                <c:pt idx="2">
                  <c:v>54</c:v>
                </c:pt>
                <c:pt idx="3">
                  <c:v>53</c:v>
                </c:pt>
                <c:pt idx="4">
                  <c:v>52</c:v>
                </c:pt>
                <c:pt idx="5">
                  <c:v>51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15-415B-A237-DA9D07FBB034}"/>
            </c:ext>
          </c:extLst>
        </c:ser>
        <c:ser>
          <c:idx val="4"/>
          <c:order val="4"/>
          <c:tx>
            <c:strRef>
              <c:f>'Graf 19'!$A$10</c:f>
              <c:strCache>
                <c:ptCount val="1"/>
                <c:pt idx="0">
                  <c:v>4.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19'!$B$10:$Z$10</c15:sqref>
                  </c15:fullRef>
                </c:ext>
              </c:extLst>
              <c:f>'Graf 19'!$G$10:$Z$10</c:f>
              <c:numCache>
                <c:formatCode>General</c:formatCode>
                <c:ptCount val="20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  <c:pt idx="18">
                  <c:v>47</c:v>
                </c:pt>
                <c:pt idx="19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15-415B-A237-DA9D07FBB034}"/>
            </c:ext>
          </c:extLst>
        </c:ser>
        <c:ser>
          <c:idx val="5"/>
          <c:order val="5"/>
          <c:tx>
            <c:strRef>
              <c:f>'Graf 19'!$A$11</c:f>
              <c:strCache>
                <c:ptCount val="1"/>
                <c:pt idx="0">
                  <c:v>3.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19'!$B$11:$Z$11</c15:sqref>
                  </c15:fullRef>
                </c:ext>
              </c:extLst>
              <c:f>'Graf 19'!$G$11:$Z$11</c:f>
              <c:numCache>
                <c:formatCode>General</c:formatCode>
                <c:ptCount val="20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15-415B-A237-DA9D07FBB034}"/>
            </c:ext>
          </c:extLst>
        </c:ser>
        <c:ser>
          <c:idx val="6"/>
          <c:order val="6"/>
          <c:tx>
            <c:strRef>
              <c:f>'Graf 19'!$A$12</c:f>
              <c:strCache>
                <c:ptCount val="1"/>
                <c:pt idx="0">
                  <c:v>2.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19'!$B$12:$Z$12</c15:sqref>
                  </c15:fullRef>
                </c:ext>
              </c:extLst>
              <c:f>'Graf 19'!$G$12:$Z$12</c:f>
              <c:numCache>
                <c:formatCode>General</c:formatCode>
                <c:ptCount val="20"/>
                <c:pt idx="0">
                  <c:v>49</c:v>
                </c:pt>
                <c:pt idx="1">
                  <c:v>48</c:v>
                </c:pt>
                <c:pt idx="2">
                  <c:v>47</c:v>
                </c:pt>
                <c:pt idx="3">
                  <c:v>46</c:v>
                </c:pt>
                <c:pt idx="4">
                  <c:v>45</c:v>
                </c:pt>
                <c:pt idx="5">
                  <c:v>44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  <c:pt idx="18">
                  <c:v>43</c:v>
                </c:pt>
                <c:pt idx="19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15-415B-A237-DA9D07FBB034}"/>
            </c:ext>
          </c:extLst>
        </c:ser>
        <c:ser>
          <c:idx val="7"/>
          <c:order val="7"/>
          <c:tx>
            <c:strRef>
              <c:f>'Graf 19'!$A$13</c:f>
              <c:strCache>
                <c:ptCount val="1"/>
                <c:pt idx="0">
                  <c:v>1. pásmo</c:v>
                </c:pt>
              </c:strCache>
            </c:strRef>
          </c:tx>
          <c:spPr>
            <a:ln w="19050" cap="rnd">
              <a:solidFill>
                <a:srgbClr val="FF7C8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  <c:pt idx="6">
                <c:v>2027</c:v>
              </c:pt>
              <c:pt idx="7">
                <c:v>2028</c:v>
              </c:pt>
              <c:pt idx="8">
                <c:v>2029</c:v>
              </c:pt>
              <c:pt idx="9">
                <c:v>2030</c:v>
              </c:pt>
              <c:pt idx="10">
                <c:v>2031</c:v>
              </c:pt>
              <c:pt idx="11">
                <c:v>2032</c:v>
              </c:pt>
              <c:pt idx="12">
                <c:v>2033</c:v>
              </c:pt>
              <c:pt idx="13">
                <c:v>2034</c:v>
              </c:pt>
              <c:pt idx="14">
                <c:v>2035</c:v>
              </c:pt>
              <c:pt idx="15">
                <c:v>2036</c:v>
              </c:pt>
              <c:pt idx="16">
                <c:v>2037</c:v>
              </c:pt>
              <c:pt idx="17">
                <c:v>2038</c:v>
              </c:pt>
              <c:pt idx="18">
                <c:v>2039</c:v>
              </c:pt>
              <c:pt idx="19">
                <c:v>2040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19'!$B$13:$Z$13</c15:sqref>
                  </c15:fullRef>
                </c:ext>
              </c:extLst>
              <c:f>'Graf 19'!$G$13:$Z$13</c:f>
              <c:numCache>
                <c:formatCode>General</c:formatCode>
                <c:ptCount val="20"/>
                <c:pt idx="0">
                  <c:v>46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42</c:v>
                </c:pt>
                <c:pt idx="5">
                  <c:v>41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15-415B-A237-DA9D07FB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1448"/>
        <c:axId val="473561840"/>
      </c:lineChart>
      <c:catAx>
        <c:axId val="47356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1840"/>
        <c:crosses val="autoZero"/>
        <c:auto val="1"/>
        <c:lblAlgn val="ctr"/>
        <c:lblOffset val="100"/>
        <c:noMultiLvlLbl val="0"/>
      </c:catAx>
      <c:valAx>
        <c:axId val="473561840"/>
        <c:scaling>
          <c:orientation val="minMax"/>
          <c:min val="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areaChart>
        <c:grouping val="stacked"/>
        <c:varyColors val="0"/>
        <c:ser>
          <c:idx val="6"/>
          <c:order val="1"/>
          <c:tx>
            <c:strRef>
              <c:f>'[63]Zhrnutie '!$J$51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'!$K$51:$P$51</c:f>
              <c:numCache>
                <c:formatCode>General</c:formatCode>
                <c:ptCount val="6"/>
                <c:pt idx="0">
                  <c:v>43.250581327947607</c:v>
                </c:pt>
                <c:pt idx="1">
                  <c:v>49.661725644103569</c:v>
                </c:pt>
                <c:pt idx="2">
                  <c:v>55.534097227024418</c:v>
                </c:pt>
                <c:pt idx="3">
                  <c:v>55.621381679478233</c:v>
                </c:pt>
                <c:pt idx="4">
                  <c:v>54.020982830262199</c:v>
                </c:pt>
                <c:pt idx="5">
                  <c:v>54.753581158659571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0-44B6-BF0A-BE5C46922984}"/>
            </c:ext>
          </c:extLst>
        </c:ser>
        <c:ser>
          <c:idx val="8"/>
          <c:order val="7"/>
          <c:tx>
            <c:strRef>
              <c:f>'[63]Zhrnutie '!$J$50</c:f>
              <c:strCache>
                <c:ptCount val="1"/>
                <c:pt idx="0">
                  <c:v>LFA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'!$K$50:$P$50</c:f>
              <c:numCache>
                <c:formatCode>General</c:formatCode>
                <c:ptCount val="6"/>
                <c:pt idx="0">
                  <c:v>4.8918620126802637</c:v>
                </c:pt>
                <c:pt idx="1">
                  <c:v>10.080012269430554</c:v>
                </c:pt>
                <c:pt idx="2">
                  <c:v>6.004766082767631</c:v>
                </c:pt>
                <c:pt idx="3">
                  <c:v>5.8595971012867025</c:v>
                </c:pt>
                <c:pt idx="4">
                  <c:v>4.5852871293209461</c:v>
                </c:pt>
                <c:pt idx="5">
                  <c:v>3.9349158204018835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0-44B6-BF0A-BE5C46922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235792"/>
        <c:axId val="317236184"/>
      </c:areaChart>
      <c:lineChart>
        <c:grouping val="standard"/>
        <c:varyColors val="0"/>
        <c:ser>
          <c:idx val="0"/>
          <c:order val="0"/>
          <c:tx>
            <c:strRef>
              <c:f>'[63]Zhrnutie '!$J$49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20-44B6-BF0A-BE5C46922984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20-44B6-BF0A-BE5C46922984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20-44B6-BF0A-BE5C46922984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20-44B6-BF0A-BE5C4692298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20-44B6-BF0A-BE5C4692298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48,1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A0-4D80-B85C-D69438D4D2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59,7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20-44B6-BF0A-BE5C469229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61,5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20-44B6-BF0A-BE5C469229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61,5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20-44B6-BF0A-BE5C469229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58,6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20-44B6-BF0A-BE5C4692298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58,7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20-44B6-BF0A-BE5C46922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'!$K$49:$P$49</c:f>
              <c:numCache>
                <c:formatCode>General</c:formatCode>
                <c:ptCount val="6"/>
                <c:pt idx="0">
                  <c:v>48.142443340627871</c:v>
                </c:pt>
                <c:pt idx="1">
                  <c:v>59.741737913534124</c:v>
                </c:pt>
                <c:pt idx="2">
                  <c:v>61.538863309792049</c:v>
                </c:pt>
                <c:pt idx="3">
                  <c:v>61.480978780764936</c:v>
                </c:pt>
                <c:pt idx="4">
                  <c:v>58.606269959583145</c:v>
                </c:pt>
                <c:pt idx="5">
                  <c:v>58.688496979061455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20-44B6-BF0A-BE5C46922984}"/>
            </c:ext>
          </c:extLst>
        </c:ser>
        <c:ser>
          <c:idx val="1"/>
          <c:order val="2"/>
          <c:tx>
            <c:strRef>
              <c:f>'[63]Zhrnutie '!$J$25</c:f>
              <c:strCache>
                <c:ptCount val="1"/>
                <c:pt idx="0">
                  <c:v>4. sankčné pásmo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'!$K$25:$P$25</c:f>
              <c:numCache>
                <c:formatCode>General</c:formatCode>
                <c:ptCount val="6"/>
                <c:pt idx="0">
                  <c:v>55</c:v>
                </c:pt>
                <c:pt idx="1">
                  <c:v>54</c:v>
                </c:pt>
                <c:pt idx="2">
                  <c:v>53</c:v>
                </c:pt>
                <c:pt idx="3">
                  <c:v>52</c:v>
                </c:pt>
                <c:pt idx="4">
                  <c:v>51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20-44B6-BF0A-BE5C46922984}"/>
            </c:ext>
          </c:extLst>
        </c:ser>
        <c:ser>
          <c:idx val="2"/>
          <c:order val="3"/>
          <c:tx>
            <c:strRef>
              <c:f>'[63]Zhrnutie '!$J$57</c:f>
              <c:strCache>
                <c:ptCount val="1"/>
                <c:pt idx="0">
                  <c:v>Lowest sanction threshold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'!$K$57:$P$57</c:f>
              <c:numCache>
                <c:formatCode>General</c:formatCode>
                <c:ptCount val="6"/>
                <c:pt idx="0">
                  <c:v>48</c:v>
                </c:pt>
                <c:pt idx="1">
                  <c:v>47</c:v>
                </c:pt>
                <c:pt idx="2">
                  <c:v>46</c:v>
                </c:pt>
                <c:pt idx="3">
                  <c:v>45</c:v>
                </c:pt>
                <c:pt idx="4">
                  <c:v>44</c:v>
                </c:pt>
                <c:pt idx="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20-44B6-BF0A-BE5C46922984}"/>
            </c:ext>
          </c:extLst>
        </c:ser>
        <c:ser>
          <c:idx val="3"/>
          <c:order val="4"/>
          <c:tx>
            <c:strRef>
              <c:f>'[63]Zhrnutie '!$J$55</c:f>
              <c:strCache>
                <c:ptCount val="1"/>
                <c:pt idx="0">
                  <c:v>3. sanction threshold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'!$K$55:$P$55</c:f>
              <c:numCache>
                <c:formatCode>General</c:formatCode>
                <c:ptCount val="6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20-44B6-BF0A-BE5C46922984}"/>
            </c:ext>
          </c:extLst>
        </c:ser>
        <c:ser>
          <c:idx val="4"/>
          <c:order val="5"/>
          <c:tx>
            <c:strRef>
              <c:f>'[63]Zhrnutie '!$J$56</c:f>
              <c:strCache>
                <c:ptCount val="1"/>
                <c:pt idx="0">
                  <c:v>2. sanction threshold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'!$K$56:$P$56</c:f>
              <c:numCache>
                <c:formatCode>General</c:formatCode>
                <c:ptCount val="6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620-44B6-BF0A-BE5C46922984}"/>
            </c:ext>
          </c:extLst>
        </c:ser>
        <c:ser>
          <c:idx val="5"/>
          <c:order val="6"/>
          <c:tx>
            <c:strRef>
              <c:f>'[63]Zhrnutie '!$J$53</c:f>
              <c:strCache>
                <c:ptCount val="1"/>
                <c:pt idx="0">
                  <c:v>Debt break rule (gross debt)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'!$K$53:$P$53</c:f>
              <c:numCache>
                <c:formatCode>General</c:formatCode>
                <c:ptCount val="6"/>
                <c:pt idx="0">
                  <c:v>58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20-44B6-BF0A-BE5C46922984}"/>
            </c:ext>
          </c:extLst>
        </c:ser>
        <c:ser>
          <c:idx val="7"/>
          <c:order val="8"/>
          <c:tx>
            <c:strRef>
              <c:f>'[63]Zhrnutie '!$J$51</c:f>
              <c:strCache>
                <c:ptCount val="1"/>
                <c:pt idx="0">
                  <c:v>Net debt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'[63]Zhrnutie '!$K$20:$P$20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'[63]Zhrnutie '!$K$51:$P$51</c:f>
              <c:numCache>
                <c:formatCode>General</c:formatCode>
                <c:ptCount val="6"/>
                <c:pt idx="0">
                  <c:v>43.250581327947607</c:v>
                </c:pt>
                <c:pt idx="1">
                  <c:v>49.661725644103569</c:v>
                </c:pt>
                <c:pt idx="2">
                  <c:v>55.534097227024418</c:v>
                </c:pt>
                <c:pt idx="3">
                  <c:v>55.621381679478233</c:v>
                </c:pt>
                <c:pt idx="4">
                  <c:v>54.020982830262199</c:v>
                </c:pt>
                <c:pt idx="5">
                  <c:v>54.753581158659571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620-44B6-BF0A-BE5C46922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35792"/>
        <c:axId val="317236184"/>
      </c:lineChart>
      <c:catAx>
        <c:axId val="3172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7236184"/>
        <c:crosses val="autoZero"/>
        <c:auto val="1"/>
        <c:lblAlgn val="ctr"/>
        <c:lblOffset val="100"/>
        <c:noMultiLvlLbl val="0"/>
      </c:catAx>
      <c:valAx>
        <c:axId val="317236184"/>
        <c:scaling>
          <c:orientation val="minMax"/>
          <c:max val="7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72357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ayout>
        <c:manualLayout>
          <c:xMode val="edge"/>
          <c:yMode val="edge"/>
          <c:x val="3.9716728317815579E-2"/>
          <c:y val="0"/>
          <c:w val="0.87007698308874071"/>
          <c:h val="0.1820897680329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4740065950497356"/>
          <c:h val="0.73033224360085636"/>
        </c:manualLayout>
      </c:layout>
      <c:areaChart>
        <c:grouping val="standard"/>
        <c:varyColors val="0"/>
        <c:ser>
          <c:idx val="3"/>
          <c:order val="2"/>
          <c:tx>
            <c:strRef>
              <c:f>'Graf 20'!$B$9</c:f>
              <c:strCache>
                <c:ptCount val="1"/>
                <c:pt idx="0">
                  <c:v>Vysoké riziko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20'!$C$9:$N$9</c15:sqref>
                  </c15:fullRef>
                </c:ext>
              </c:extLst>
              <c:f>'Graf 20'!$C$9:$M$9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3"/>
          <c:tx>
            <c:strRef>
              <c:f>'Graf 20'!$B$8</c:f>
              <c:strCache>
                <c:ptCount val="1"/>
                <c:pt idx="0">
                  <c:v>Stredné riziko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20'!$C$8:$N$8</c15:sqref>
                  </c15:fullRef>
                </c:ext>
              </c:extLst>
              <c:f>'Graf 20'!$C$8:$M$8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4"/>
          <c:tx>
            <c:strRef>
              <c:f>'Graf 20'!$B$7</c:f>
              <c:strCache>
                <c:ptCount val="1"/>
                <c:pt idx="0">
                  <c:v>Nízke riziko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20'!$C$7:$N$7</c15:sqref>
                  </c15:fullRef>
                </c:ext>
              </c:extLst>
              <c:f>'Graf 20'!$C$7:$M$7</c:f>
              <c:numCache>
                <c:formatCode>0.0</c:formatCode>
                <c:ptCount val="11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2624"/>
        <c:axId val="473563016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20'!$B$4</c:f>
              <c:strCache>
                <c:ptCount val="1"/>
                <c:pt idx="0">
                  <c:v>EK (ref. úroveň dlhu - 60 % HDP)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20'!$C$3:$N$3</c15:sqref>
                  </c15:fullRef>
                </c:ext>
              </c:extLst>
              <c:f>'Graf 20'!$C$3:$M$3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20'!$C$4:$N$4</c15:sqref>
                  </c15:fullRef>
                </c:ext>
              </c:extLst>
              <c:f>'Graf 20'!$C$4:$M$4</c:f>
              <c:numCache>
                <c:formatCode>0.0</c:formatCode>
                <c:ptCount val="11"/>
                <c:pt idx="1">
                  <c:v>1.3</c:v>
                </c:pt>
                <c:pt idx="2">
                  <c:v>5.7</c:v>
                </c:pt>
                <c:pt idx="3">
                  <c:v>2.2000000000000002</c:v>
                </c:pt>
                <c:pt idx="4">
                  <c:v>-0.7</c:v>
                </c:pt>
                <c:pt idx="5">
                  <c:v>-2.1</c:v>
                </c:pt>
                <c:pt idx="6">
                  <c:v>-2.6</c:v>
                </c:pt>
                <c:pt idx="7">
                  <c:v>-2.9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20'!$B$5</c:f>
              <c:strCache>
                <c:ptCount val="1"/>
                <c:pt idx="0">
                  <c:v>Návrh rozpočtového plánu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E-4D79-9C8A-9310499D8B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E-4D79-9C8A-9310499D8B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E-4D79-9C8A-9310499D8B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E-4D79-9C8A-9310499D8B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E-4D79-9C8A-9310499D8B95}"/>
                </c:ext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E-4D79-9C8A-9310499D8B95}"/>
                </c:ext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E-4D79-9C8A-9310499D8B95}"/>
                </c:ext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9-4704-B7B6-3693FC42D9DF}"/>
                </c:ext>
              </c:extLst>
            </c:dLbl>
            <c:dLbl>
              <c:idx val="10"/>
              <c:layout>
                <c:manualLayout>
                  <c:x val="0"/>
                  <c:y val="5.6574364329105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A-40E6-B15A-69AC57218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20'!$C$3:$N$3</c15:sqref>
                  </c15:fullRef>
                </c:ext>
              </c:extLst>
              <c:f>'Graf 20'!$C$3:$M$3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20'!$C$5:$N$5</c15:sqref>
                  </c15:fullRef>
                </c:ext>
              </c:extLst>
              <c:f>'Graf 20'!$C$5:$M$5</c:f>
              <c:numCache>
                <c:formatCode>0.0</c:formatCode>
                <c:ptCount val="11"/>
                <c:pt idx="8">
                  <c:v>3.8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0"/>
        <c:axId val="473562624"/>
        <c:axId val="473563016"/>
        <c:extLst/>
      </c:barChart>
      <c:lineChart>
        <c:grouping val="standard"/>
        <c:varyColors val="0"/>
        <c:ser>
          <c:idx val="4"/>
          <c:order val="5"/>
          <c:tx>
            <c:strRef>
              <c:f>'Graf 20'!$B$10</c:f>
              <c:strCache>
                <c:ptCount val="1"/>
                <c:pt idx="0">
                  <c:v>Hranica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[69]Mar_2021_RRP_21!$B$105:$M$105</c15:sqref>
                  </c15:fullRef>
                </c:ext>
              </c:extLst>
              <c:f>[69]Mar_2021_RRP_21!$B$105:$L$105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20'!$C$10:$N$10</c15:sqref>
                  </c15:fullRef>
                </c:ext>
              </c:extLst>
              <c:f>'Graf 20'!$C$10:$M$10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2624"/>
        <c:axId val="473563016"/>
      </c:lineChart>
      <c:catAx>
        <c:axId val="473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3016"/>
        <c:crosses val="autoZero"/>
        <c:auto val="0"/>
        <c:lblAlgn val="ctr"/>
        <c:lblOffset val="100"/>
        <c:noMultiLvlLbl val="0"/>
      </c:catAx>
      <c:valAx>
        <c:axId val="473563016"/>
        <c:scaling>
          <c:orientation val="minMax"/>
          <c:max val="6"/>
          <c:min val="-5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589685031877437E-3"/>
          <c:y val="0.83364930578476015"/>
          <c:w val="0.96920203084586642"/>
          <c:h val="0.11389131944480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4740065950497356"/>
          <c:h val="0.73033224360085636"/>
        </c:manualLayout>
      </c:layout>
      <c:areaChart>
        <c:grouping val="standard"/>
        <c:varyColors val="0"/>
        <c:ser>
          <c:idx val="3"/>
          <c:order val="2"/>
          <c:tx>
            <c:strRef>
              <c:f>'Graf 20'!$O$9</c:f>
              <c:strCache>
                <c:ptCount val="1"/>
                <c:pt idx="0">
                  <c:v>High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20'!$C$9:$N$9</c15:sqref>
                  </c15:fullRef>
                </c:ext>
              </c:extLst>
              <c:f>'Graf 20'!$C$9:$M$9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3"/>
          <c:tx>
            <c:strRef>
              <c:f>'Graf 20'!$O$8</c:f>
              <c:strCache>
                <c:ptCount val="1"/>
                <c:pt idx="0">
                  <c:v>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20'!$C$8:$N$8</c15:sqref>
                  </c15:fullRef>
                </c:ext>
              </c:extLst>
              <c:f>'Graf 20'!$C$8:$M$8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4"/>
          <c:tx>
            <c:strRef>
              <c:f>'Graf 20'!$O$7</c:f>
              <c:strCache>
                <c:ptCount val="1"/>
                <c:pt idx="0">
                  <c:v>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20'!$C$7:$N$7</c15:sqref>
                  </c15:fullRef>
                </c:ext>
              </c:extLst>
              <c:f>'Graf 20'!$C$7:$M$7</c:f>
              <c:numCache>
                <c:formatCode>0.0</c:formatCode>
                <c:ptCount val="11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3800"/>
        <c:axId val="473564192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20'!$O$4</c:f>
              <c:strCache>
                <c:ptCount val="1"/>
                <c:pt idx="0">
                  <c:v>EC (ref. value of debt at 60 % of GDP)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20'!$C$3:$N$3</c15:sqref>
                  </c15:fullRef>
                </c:ext>
              </c:extLst>
              <c:f>'Graf 20'!$C$3:$M$3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20'!$C$4:$N$4</c15:sqref>
                  </c15:fullRef>
                </c:ext>
              </c:extLst>
              <c:f>'Graf 20'!$C$4:$M$4</c:f>
              <c:numCache>
                <c:formatCode>0.0</c:formatCode>
                <c:ptCount val="11"/>
                <c:pt idx="1">
                  <c:v>1.3</c:v>
                </c:pt>
                <c:pt idx="2">
                  <c:v>5.7</c:v>
                </c:pt>
                <c:pt idx="3">
                  <c:v>2.2000000000000002</c:v>
                </c:pt>
                <c:pt idx="4">
                  <c:v>-0.7</c:v>
                </c:pt>
                <c:pt idx="5">
                  <c:v>-2.1</c:v>
                </c:pt>
                <c:pt idx="6">
                  <c:v>-2.6</c:v>
                </c:pt>
                <c:pt idx="7">
                  <c:v>-2.9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20'!$O$5</c:f>
              <c:strCache>
                <c:ptCount val="1"/>
                <c:pt idx="0">
                  <c:v>Draft budgetary plan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E-4D79-9C8A-9310499D8B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E-4D79-9C8A-9310499D8B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E-4D79-9C8A-9310499D8B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E-4D79-9C8A-9310499D8B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E-4D79-9C8A-9310499D8B95}"/>
                </c:ext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E-4D79-9C8A-9310499D8B95}"/>
                </c:ext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E-4D79-9C8A-9310499D8B95}"/>
                </c:ext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9-4704-B7B6-3693FC42D9DF}"/>
                </c:ext>
              </c:extLst>
            </c:dLbl>
            <c:dLbl>
              <c:idx val="10"/>
              <c:layout>
                <c:manualLayout>
                  <c:x val="0"/>
                  <c:y val="5.6574364329105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A-40E6-B15A-69AC57218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20'!$C$3:$N$3</c15:sqref>
                  </c15:fullRef>
                </c:ext>
              </c:extLst>
              <c:f>'Graf 20'!$C$3:$M$3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20'!$C$5:$N$5</c15:sqref>
                  </c15:fullRef>
                </c:ext>
              </c:extLst>
              <c:f>'Graf 20'!$C$5:$M$5</c:f>
              <c:numCache>
                <c:formatCode>0.0</c:formatCode>
                <c:ptCount val="11"/>
                <c:pt idx="8">
                  <c:v>3.8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0"/>
        <c:axId val="473563800"/>
        <c:axId val="473564192"/>
        <c:extLst/>
      </c:barChart>
      <c:lineChart>
        <c:grouping val="standard"/>
        <c:varyColors val="0"/>
        <c:ser>
          <c:idx val="4"/>
          <c:order val="5"/>
          <c:tx>
            <c:strRef>
              <c:f>'Graf 20'!$O$10</c:f>
              <c:strCache>
                <c:ptCount val="1"/>
                <c:pt idx="0">
                  <c:v>Threshold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[69]Mar_2021_RRP_21!$B$105:$M$105</c15:sqref>
                  </c15:fullRef>
                </c:ext>
              </c:extLst>
              <c:f>[69]Mar_2021_RRP_21!$B$105:$L$105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20'!$C$10:$N$10</c15:sqref>
                  </c15:fullRef>
                </c:ext>
              </c:extLst>
              <c:f>'Graf 20'!$C$10:$M$10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3800"/>
        <c:axId val="473564192"/>
      </c:lineChart>
      <c:catAx>
        <c:axId val="473563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4192"/>
        <c:crosses val="autoZero"/>
        <c:auto val="0"/>
        <c:lblAlgn val="ctr"/>
        <c:lblOffset val="100"/>
        <c:noMultiLvlLbl val="0"/>
      </c:catAx>
      <c:valAx>
        <c:axId val="473564192"/>
        <c:scaling>
          <c:orientation val="minMax"/>
          <c:max val="6"/>
          <c:min val="-5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589685031877437E-3"/>
          <c:y val="0.83364930578476015"/>
          <c:w val="0.96920203084586642"/>
          <c:h val="0.11389131944480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4740065950497356"/>
          <c:h val="0.73033224360085636"/>
        </c:manualLayout>
      </c:layout>
      <c:areaChart>
        <c:grouping val="standard"/>
        <c:varyColors val="0"/>
        <c:ser>
          <c:idx val="3"/>
          <c:order val="2"/>
          <c:tx>
            <c:strRef>
              <c:f>'Graf 21'!$B$9</c:f>
              <c:strCache>
                <c:ptCount val="1"/>
                <c:pt idx="0">
                  <c:v>Vysoké riziko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21'!$C$9:$N$9</c15:sqref>
                  </c15:fullRef>
                </c:ext>
              </c:extLst>
              <c:f>'Graf 21'!$C$9:$M$9</c:f>
              <c:numCache>
                <c:formatCode>0.0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3"/>
          <c:tx>
            <c:strRef>
              <c:f>'Graf 21'!$B$8</c:f>
              <c:strCache>
                <c:ptCount val="1"/>
                <c:pt idx="0">
                  <c:v>Stredné riziko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21'!$C$8:$N$8</c15:sqref>
                  </c15:fullRef>
                </c:ext>
              </c:extLst>
              <c:f>'Graf 21'!$C$8:$M$8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4"/>
          <c:tx>
            <c:strRef>
              <c:f>'Graf 21'!$B$7</c:f>
              <c:strCache>
                <c:ptCount val="1"/>
                <c:pt idx="0">
                  <c:v>Nízke riziko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21'!$C$7:$N$7</c15:sqref>
                  </c15:fullRef>
                </c:ext>
              </c:extLst>
              <c:f>'Graf 21'!$C$7:$M$7</c:f>
              <c:numCache>
                <c:formatCode>0.0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4976"/>
        <c:axId val="473565368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21'!$B$4</c:f>
              <c:strCache>
                <c:ptCount val="1"/>
                <c:pt idx="0">
                  <c:v>EK (ref. úroveň dlhu - 60 % HDP)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21'!$C$3:$N$3</c15:sqref>
                  </c15:fullRef>
                </c:ext>
              </c:extLst>
              <c:f>'Graf 21'!$C$3:$M$3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21'!$C$4:$N$4</c15:sqref>
                  </c15:fullRef>
                </c:ext>
              </c:extLst>
              <c:f>'Graf 21'!$C$4:$M$4</c:f>
              <c:numCache>
                <c:formatCode>0.0</c:formatCode>
                <c:ptCount val="11"/>
                <c:pt idx="1">
                  <c:v>3</c:v>
                </c:pt>
                <c:pt idx="2">
                  <c:v>7.4</c:v>
                </c:pt>
                <c:pt idx="3">
                  <c:v>6.9</c:v>
                </c:pt>
                <c:pt idx="4">
                  <c:v>3.5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21'!$B$5</c:f>
              <c:strCache>
                <c:ptCount val="1"/>
                <c:pt idx="0">
                  <c:v>Návrh rozpočtového plánu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E-4D79-9C8A-9310499D8B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E-4D79-9C8A-9310499D8B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E-4D79-9C8A-9310499D8B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E-4D79-9C8A-9310499D8B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E-4D79-9C8A-9310499D8B95}"/>
                </c:ext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E-4D79-9C8A-9310499D8B95}"/>
                </c:ext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E-4D79-9C8A-9310499D8B95}"/>
                </c:ext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9-4704-B7B6-3693FC42D9DF}"/>
                </c:ext>
              </c:extLst>
            </c:dLbl>
            <c:dLbl>
              <c:idx val="10"/>
              <c:layout>
                <c:manualLayout>
                  <c:x val="0"/>
                  <c:y val="5.6574364329105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A-40E6-B15A-69AC57218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21'!$C$3:$N$3</c15:sqref>
                  </c15:fullRef>
                </c:ext>
              </c:extLst>
              <c:f>'Graf 21'!$C$3:$M$3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21'!$C$5:$N$5</c15:sqref>
                  </c15:fullRef>
                </c:ext>
              </c:extLst>
              <c:f>'Graf 21'!$C$5:$M$5</c:f>
              <c:numCache>
                <c:formatCode>0.0</c:formatCode>
                <c:ptCount val="11"/>
                <c:pt idx="8">
                  <c:v>11.2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0"/>
        <c:axId val="473564976"/>
        <c:axId val="473565368"/>
        <c:extLst/>
      </c:barChart>
      <c:lineChart>
        <c:grouping val="standard"/>
        <c:varyColors val="0"/>
        <c:ser>
          <c:idx val="4"/>
          <c:order val="5"/>
          <c:tx>
            <c:strRef>
              <c:f>'Graf 21'!$B$10</c:f>
              <c:strCache>
                <c:ptCount val="1"/>
                <c:pt idx="0">
                  <c:v>Hranica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[69]Mar_2021_RRP_21!$B$105:$M$105</c15:sqref>
                  </c15:fullRef>
                </c:ext>
              </c:extLst>
              <c:f>[69]Mar_2021_RRP_21!$B$105:$L$105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21'!$C$10:$N$10</c15:sqref>
                  </c15:fullRef>
                </c:ext>
              </c:extLst>
              <c:f>'Graf 21'!$C$10:$M$10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4976"/>
        <c:axId val="473565368"/>
      </c:lineChart>
      <c:catAx>
        <c:axId val="4735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5368"/>
        <c:crosses val="autoZero"/>
        <c:auto val="0"/>
        <c:lblAlgn val="ctr"/>
        <c:lblOffset val="100"/>
        <c:noMultiLvlLbl val="0"/>
      </c:catAx>
      <c:valAx>
        <c:axId val="473565368"/>
        <c:scaling>
          <c:orientation val="minMax"/>
          <c:max val="14"/>
          <c:min val="-2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589685031877437E-3"/>
          <c:y val="0.83364930578476015"/>
          <c:w val="0.96920203084586642"/>
          <c:h val="0.11389131944480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4740065950497356"/>
          <c:h val="0.73033224360085636"/>
        </c:manualLayout>
      </c:layout>
      <c:areaChart>
        <c:grouping val="standard"/>
        <c:varyColors val="0"/>
        <c:ser>
          <c:idx val="3"/>
          <c:order val="2"/>
          <c:tx>
            <c:strRef>
              <c:f>'Graf 21'!$O$9</c:f>
              <c:strCache>
                <c:ptCount val="1"/>
                <c:pt idx="0">
                  <c:v>High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21'!$C$9:$N$9</c15:sqref>
                  </c15:fullRef>
                </c:ext>
              </c:extLst>
              <c:f>'Graf 21'!$C$9:$M$9</c:f>
              <c:numCache>
                <c:formatCode>0.0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3"/>
          <c:tx>
            <c:strRef>
              <c:f>'Graf 21'!$O$8</c:f>
              <c:strCache>
                <c:ptCount val="1"/>
                <c:pt idx="0">
                  <c:v>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21'!$C$8:$N$8</c15:sqref>
                  </c15:fullRef>
                </c:ext>
              </c:extLst>
              <c:f>'Graf 21'!$C$8:$M$8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4"/>
          <c:tx>
            <c:strRef>
              <c:f>'Graf 21'!$O$7</c:f>
              <c:strCache>
                <c:ptCount val="1"/>
                <c:pt idx="0">
                  <c:v>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[68]Okt_2021!$B$109:$M$109</c15:sqref>
                  </c15:fullRef>
                </c:ext>
              </c:extLst>
              <c:f>[68]Okt_2021!$B$109:$L$109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21'!$C$7:$N$7</c15:sqref>
                  </c15:fullRef>
                </c:ext>
              </c:extLst>
              <c:f>'Graf 21'!$C$7:$M$7</c:f>
              <c:numCache>
                <c:formatCode>0.0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66152"/>
        <c:axId val="473566544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21'!$O$4</c:f>
              <c:strCache>
                <c:ptCount val="1"/>
                <c:pt idx="0">
                  <c:v>EC (ref. value of debt at 60 % of GDP)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21'!$C$3:$N$3</c15:sqref>
                  </c15:fullRef>
                </c:ext>
              </c:extLst>
              <c:f>'Graf 21'!$C$3:$M$3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21'!$C$4:$N$4</c15:sqref>
                  </c15:fullRef>
                </c:ext>
              </c:extLst>
              <c:f>'Graf 21'!$C$4:$M$4</c:f>
              <c:numCache>
                <c:formatCode>0.0</c:formatCode>
                <c:ptCount val="11"/>
                <c:pt idx="1">
                  <c:v>3</c:v>
                </c:pt>
                <c:pt idx="2">
                  <c:v>7.4</c:v>
                </c:pt>
                <c:pt idx="3">
                  <c:v>6.9</c:v>
                </c:pt>
                <c:pt idx="4">
                  <c:v>3.5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21'!$O$5</c:f>
              <c:strCache>
                <c:ptCount val="1"/>
                <c:pt idx="0">
                  <c:v>Draft budgetary plan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E-4D79-9C8A-9310499D8B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E-4D79-9C8A-9310499D8B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E-4D79-9C8A-9310499D8B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E-4D79-9C8A-9310499D8B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E-4D79-9C8A-9310499D8B95}"/>
                </c:ext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E-4D79-9C8A-9310499D8B95}"/>
                </c:ext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E-4D79-9C8A-9310499D8B95}"/>
                </c:ext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9-4704-B7B6-3693FC42D9DF}"/>
                </c:ext>
              </c:extLst>
            </c:dLbl>
            <c:dLbl>
              <c:idx val="10"/>
              <c:layout>
                <c:manualLayout>
                  <c:x val="0"/>
                  <c:y val="5.6574364329105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A-40E6-B15A-69AC57218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21'!$C$3:$N$3</c15:sqref>
                  </c15:fullRef>
                </c:ext>
              </c:extLst>
              <c:f>'Graf 21'!$C$3:$M$3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21'!$C$5:$N$5</c15:sqref>
                  </c15:fullRef>
                </c:ext>
              </c:extLst>
              <c:f>'Graf 21'!$C$5:$M$5</c:f>
              <c:numCache>
                <c:formatCode>0.0</c:formatCode>
                <c:ptCount val="11"/>
                <c:pt idx="8">
                  <c:v>11.2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0"/>
        <c:axId val="473566152"/>
        <c:axId val="473566544"/>
        <c:extLst/>
      </c:barChart>
      <c:lineChart>
        <c:grouping val="standard"/>
        <c:varyColors val="0"/>
        <c:ser>
          <c:idx val="4"/>
          <c:order val="5"/>
          <c:tx>
            <c:strRef>
              <c:f>'Graf 21'!$O$10</c:f>
              <c:strCache>
                <c:ptCount val="1"/>
                <c:pt idx="0">
                  <c:v>Threshold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[69]Mar_2021_RRP_21!$B$105:$M$105</c15:sqref>
                  </c15:fullRef>
                </c:ext>
              </c:extLst>
              <c:f>[69]Mar_2021_RRP_21!$B$105:$L$105</c:f>
              <c:numCache>
                <c:formatCode>General</c:formatCode>
                <c:ptCount val="11"/>
                <c:pt idx="1">
                  <c:v>2006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21'!$C$10:$N$10</c15:sqref>
                  </c15:fullRef>
                </c:ext>
              </c:extLst>
              <c:f>'Graf 21'!$C$10:$M$10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6152"/>
        <c:axId val="473566544"/>
      </c:lineChart>
      <c:catAx>
        <c:axId val="47356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6544"/>
        <c:crosses val="autoZero"/>
        <c:auto val="0"/>
        <c:lblAlgn val="ctr"/>
        <c:lblOffset val="100"/>
        <c:noMultiLvlLbl val="0"/>
      </c:catAx>
      <c:valAx>
        <c:axId val="473566544"/>
        <c:scaling>
          <c:orientation val="minMax"/>
          <c:max val="14"/>
          <c:min val="-2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356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589685031877437E-3"/>
          <c:y val="0.83364930578476015"/>
          <c:w val="0.96920203084586642"/>
          <c:h val="0.11389131944480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49473972003499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22 + 23'!$A$5</c:f>
              <c:strCache>
                <c:ptCount val="1"/>
                <c:pt idx="0">
                  <c:v>Rast DV so SDŽ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+ 23'!$C$5:$AX$5</c:f>
              <c:numCache>
                <c:formatCode>0.0</c:formatCode>
                <c:ptCount val="48"/>
                <c:pt idx="0">
                  <c:v>4.6930050641734056E-2</c:v>
                </c:pt>
                <c:pt idx="1">
                  <c:v>3.7686236628054814E-2</c:v>
                </c:pt>
                <c:pt idx="2">
                  <c:v>1.5671099147201772E-2</c:v>
                </c:pt>
                <c:pt idx="3">
                  <c:v>2.0466884370407001E-3</c:v>
                </c:pt>
                <c:pt idx="4">
                  <c:v>-5.8836982467767029E-3</c:v>
                </c:pt>
                <c:pt idx="5">
                  <c:v>-2.3026297187033862E-2</c:v>
                </c:pt>
                <c:pt idx="6">
                  <c:v>-4.5948557788264566E-2</c:v>
                </c:pt>
                <c:pt idx="7">
                  <c:v>-7.9664100489065248E-2</c:v>
                </c:pt>
                <c:pt idx="8">
                  <c:v>-0.15420818075634912</c:v>
                </c:pt>
                <c:pt idx="9">
                  <c:v>-0.24921385942447216</c:v>
                </c:pt>
                <c:pt idx="10">
                  <c:v>-0.33970847909250068</c:v>
                </c:pt>
                <c:pt idx="11">
                  <c:v>-0.40971953837171426</c:v>
                </c:pt>
                <c:pt idx="12">
                  <c:v>-0.50541998249067177</c:v>
                </c:pt>
                <c:pt idx="13">
                  <c:v>-0.59785037272093078</c:v>
                </c:pt>
                <c:pt idx="14">
                  <c:v>-0.71248807316017349</c:v>
                </c:pt>
                <c:pt idx="15">
                  <c:v>-0.86251857343298965</c:v>
                </c:pt>
                <c:pt idx="16">
                  <c:v>-0.98265143115754583</c:v>
                </c:pt>
                <c:pt idx="17">
                  <c:v>-1.0620486978089261</c:v>
                </c:pt>
                <c:pt idx="18">
                  <c:v>-1.1825985595097102</c:v>
                </c:pt>
                <c:pt idx="19">
                  <c:v>-1.3155782198733128</c:v>
                </c:pt>
                <c:pt idx="20">
                  <c:v>-1.4469169926635317</c:v>
                </c:pt>
                <c:pt idx="21">
                  <c:v>-1.5408165965709735</c:v>
                </c:pt>
                <c:pt idx="22">
                  <c:v>-1.6223032678463092</c:v>
                </c:pt>
                <c:pt idx="23">
                  <c:v>-1.750585682472412</c:v>
                </c:pt>
                <c:pt idx="24">
                  <c:v>-1.8677535834176986</c:v>
                </c:pt>
                <c:pt idx="25">
                  <c:v>-1.9876199719507426</c:v>
                </c:pt>
                <c:pt idx="26">
                  <c:v>-2.1326189015088879</c:v>
                </c:pt>
                <c:pt idx="27">
                  <c:v>-2.2576615667819837</c:v>
                </c:pt>
                <c:pt idx="28">
                  <c:v>-2.3665247496076276</c:v>
                </c:pt>
                <c:pt idx="29">
                  <c:v>-2.4547625472197865</c:v>
                </c:pt>
                <c:pt idx="30">
                  <c:v>-2.5328943856690671</c:v>
                </c:pt>
                <c:pt idx="31">
                  <c:v>-2.6011696631340442</c:v>
                </c:pt>
                <c:pt idx="32">
                  <c:v>-2.6928807629659417</c:v>
                </c:pt>
                <c:pt idx="33">
                  <c:v>-2.7972439670852651</c:v>
                </c:pt>
                <c:pt idx="34">
                  <c:v>-2.8521444180320046</c:v>
                </c:pt>
                <c:pt idx="35">
                  <c:v>-2.8433407607159076</c:v>
                </c:pt>
                <c:pt idx="36">
                  <c:v>-2.8329114679719538</c:v>
                </c:pt>
                <c:pt idx="37">
                  <c:v>-2.8137645174396937</c:v>
                </c:pt>
                <c:pt idx="38">
                  <c:v>-2.8073256449818125</c:v>
                </c:pt>
                <c:pt idx="39">
                  <c:v>-2.8095849857162172</c:v>
                </c:pt>
                <c:pt idx="40">
                  <c:v>-2.8232080221166171</c:v>
                </c:pt>
                <c:pt idx="41">
                  <c:v>-2.8152696297600066</c:v>
                </c:pt>
                <c:pt idx="42">
                  <c:v>-2.8499341214132627</c:v>
                </c:pt>
                <c:pt idx="43">
                  <c:v>-2.8716704988429846</c:v>
                </c:pt>
                <c:pt idx="44">
                  <c:v>-2.8835062215660869</c:v>
                </c:pt>
                <c:pt idx="45">
                  <c:v>-2.9444279538598686</c:v>
                </c:pt>
                <c:pt idx="46">
                  <c:v>-3.0562325007234357</c:v>
                </c:pt>
                <c:pt idx="47">
                  <c:v>-3.1625445773730441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77-4319-AF14-A361DFB788E2}"/>
            </c:ext>
          </c:extLst>
        </c:ser>
        <c:ser>
          <c:idx val="2"/>
          <c:order val="1"/>
          <c:tx>
            <c:strRef>
              <c:f>'Graf 22 + 23'!$A$6</c:f>
              <c:strCache>
                <c:ptCount val="1"/>
                <c:pt idx="0">
                  <c:v>Znížený rast ADH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+ 23'!$C$6:$AX$6</c:f>
              <c:numCache>
                <c:formatCode>0.0</c:formatCode>
                <c:ptCount val="48"/>
                <c:pt idx="0">
                  <c:v>-8.0570459573436892E-3</c:v>
                </c:pt>
                <c:pt idx="1">
                  <c:v>-1.1236221410094061E-2</c:v>
                </c:pt>
                <c:pt idx="2">
                  <c:v>-1.4552574712482169E-2</c:v>
                </c:pt>
                <c:pt idx="3">
                  <c:v>-1.8365261557960366E-2</c:v>
                </c:pt>
                <c:pt idx="4">
                  <c:v>-2.3460909694847487E-2</c:v>
                </c:pt>
                <c:pt idx="5">
                  <c:v>-2.9293880106592951E-2</c:v>
                </c:pt>
                <c:pt idx="6">
                  <c:v>-3.4971318115701422E-2</c:v>
                </c:pt>
                <c:pt idx="7">
                  <c:v>-4.1829320505854639E-2</c:v>
                </c:pt>
                <c:pt idx="8">
                  <c:v>-4.8858754408332317E-2</c:v>
                </c:pt>
                <c:pt idx="9">
                  <c:v>-5.6279535025545613E-2</c:v>
                </c:pt>
                <c:pt idx="10">
                  <c:v>-6.4687193732659409E-2</c:v>
                </c:pt>
                <c:pt idx="11">
                  <c:v>-7.332110992177121E-2</c:v>
                </c:pt>
                <c:pt idx="12">
                  <c:v>-8.3001801061527658E-2</c:v>
                </c:pt>
                <c:pt idx="13">
                  <c:v>-9.3750223927802523E-2</c:v>
                </c:pt>
                <c:pt idx="14">
                  <c:v>-0.104849158767788</c:v>
                </c:pt>
                <c:pt idx="15">
                  <c:v>-0.11713985446665021</c:v>
                </c:pt>
                <c:pt idx="16">
                  <c:v>-0.1300637765074697</c:v>
                </c:pt>
                <c:pt idx="17">
                  <c:v>-0.14270144450090783</c:v>
                </c:pt>
                <c:pt idx="18">
                  <c:v>-0.15646721681791576</c:v>
                </c:pt>
                <c:pt idx="19">
                  <c:v>-0.170365646120203</c:v>
                </c:pt>
                <c:pt idx="20">
                  <c:v>-0.18444590489568569</c:v>
                </c:pt>
                <c:pt idx="21">
                  <c:v>-0.19880745829812341</c:v>
                </c:pt>
                <c:pt idx="22">
                  <c:v>-0.21363796144480318</c:v>
                </c:pt>
                <c:pt idx="23">
                  <c:v>-0.22799065975887345</c:v>
                </c:pt>
                <c:pt idx="24">
                  <c:v>-0.24343944755788627</c:v>
                </c:pt>
                <c:pt idx="25">
                  <c:v>-0.259256333517218</c:v>
                </c:pt>
                <c:pt idx="26">
                  <c:v>-0.27577152638812663</c:v>
                </c:pt>
                <c:pt idx="27">
                  <c:v>-0.29208292145765213</c:v>
                </c:pt>
                <c:pt idx="28">
                  <c:v>-0.30887676832234234</c:v>
                </c:pt>
                <c:pt idx="29">
                  <c:v>-0.32628130482484252</c:v>
                </c:pt>
                <c:pt idx="30">
                  <c:v>-0.34265217828312089</c:v>
                </c:pt>
                <c:pt idx="31">
                  <c:v>-0.35995331486897086</c:v>
                </c:pt>
                <c:pt idx="32">
                  <c:v>-0.37675392256737439</c:v>
                </c:pt>
                <c:pt idx="33">
                  <c:v>-0.39314824159196604</c:v>
                </c:pt>
                <c:pt idx="34">
                  <c:v>-0.40880341957338828</c:v>
                </c:pt>
                <c:pt idx="35">
                  <c:v>-0.42362160557024353</c:v>
                </c:pt>
                <c:pt idx="36">
                  <c:v>-0.43681975565005615</c:v>
                </c:pt>
                <c:pt idx="37">
                  <c:v>-0.45013204324526157</c:v>
                </c:pt>
                <c:pt idx="38">
                  <c:v>-0.46187100870262299</c:v>
                </c:pt>
                <c:pt idx="39">
                  <c:v>-0.47374451012890972</c:v>
                </c:pt>
                <c:pt idx="40">
                  <c:v>-0.48585215800998327</c:v>
                </c:pt>
                <c:pt idx="41">
                  <c:v>-0.49734804257754206</c:v>
                </c:pt>
                <c:pt idx="42">
                  <c:v>-0.50856420720303319</c:v>
                </c:pt>
                <c:pt idx="43">
                  <c:v>-0.5199544231290929</c:v>
                </c:pt>
                <c:pt idx="44">
                  <c:v>-0.53207916202237016</c:v>
                </c:pt>
                <c:pt idx="45">
                  <c:v>-0.54529424479967048</c:v>
                </c:pt>
                <c:pt idx="46">
                  <c:v>-0.55920997585861798</c:v>
                </c:pt>
                <c:pt idx="47">
                  <c:v>-0.57356697417864666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7-4319-AF14-A361DFB788E2}"/>
            </c:ext>
          </c:extLst>
        </c:ser>
        <c:ser>
          <c:idx val="1"/>
          <c:order val="2"/>
          <c:tx>
            <c:strRef>
              <c:f>'Graf 22 + 23'!$A$7</c:f>
              <c:strCache>
                <c:ptCount val="1"/>
                <c:pt idx="0">
                  <c:v>Rodičovský dôchodok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+ 23'!$C$7:$AX$7</c:f>
              <c:numCache>
                <c:formatCode>0.0</c:formatCode>
                <c:ptCount val="48"/>
                <c:pt idx="0">
                  <c:v>0.54408901748944061</c:v>
                </c:pt>
                <c:pt idx="1">
                  <c:v>0.54604754196876115</c:v>
                </c:pt>
                <c:pt idx="2">
                  <c:v>0.54882310825252745</c:v>
                </c:pt>
                <c:pt idx="3">
                  <c:v>0.548421314832229</c:v>
                </c:pt>
                <c:pt idx="4">
                  <c:v>0.5505867993466822</c:v>
                </c:pt>
                <c:pt idx="5">
                  <c:v>0.55447401176912692</c:v>
                </c:pt>
                <c:pt idx="6">
                  <c:v>0.55730634233753307</c:v>
                </c:pt>
                <c:pt idx="7">
                  <c:v>0.56231474898541478</c:v>
                </c:pt>
                <c:pt idx="8">
                  <c:v>0.56621275014305184</c:v>
                </c:pt>
                <c:pt idx="9">
                  <c:v>0.57000916545499436</c:v>
                </c:pt>
                <c:pt idx="10">
                  <c:v>0.57353120113292277</c:v>
                </c:pt>
                <c:pt idx="11">
                  <c:v>0.57650967291592536</c:v>
                </c:pt>
                <c:pt idx="12">
                  <c:v>0.58029170342210534</c:v>
                </c:pt>
                <c:pt idx="13">
                  <c:v>0.58472878692205299</c:v>
                </c:pt>
                <c:pt idx="14">
                  <c:v>0.58978823326248531</c:v>
                </c:pt>
                <c:pt idx="15">
                  <c:v>0.59521524748851107</c:v>
                </c:pt>
                <c:pt idx="16">
                  <c:v>0.60070651361158056</c:v>
                </c:pt>
                <c:pt idx="17">
                  <c:v>0.60532170015742537</c:v>
                </c:pt>
                <c:pt idx="18">
                  <c:v>0.61069102910346373</c:v>
                </c:pt>
                <c:pt idx="19">
                  <c:v>0.61599396323440914</c:v>
                </c:pt>
                <c:pt idx="20">
                  <c:v>0.62093944968968984</c:v>
                </c:pt>
                <c:pt idx="21">
                  <c:v>0.62539348767863601</c:v>
                </c:pt>
                <c:pt idx="22">
                  <c:v>0.62950000052687827</c:v>
                </c:pt>
                <c:pt idx="23">
                  <c:v>0.63346142496089897</c:v>
                </c:pt>
                <c:pt idx="24">
                  <c:v>0.63732702442568723</c:v>
                </c:pt>
                <c:pt idx="25">
                  <c:v>0.64101635315619632</c:v>
                </c:pt>
                <c:pt idx="26">
                  <c:v>0.64448137247606496</c:v>
                </c:pt>
                <c:pt idx="27">
                  <c:v>0.64756810692722055</c:v>
                </c:pt>
                <c:pt idx="28">
                  <c:v>0.65027621189688389</c:v>
                </c:pt>
                <c:pt idx="29">
                  <c:v>0.65268762907236422</c:v>
                </c:pt>
                <c:pt idx="30">
                  <c:v>0.65485058753323955</c:v>
                </c:pt>
                <c:pt idx="31">
                  <c:v>0.65682470339861965</c:v>
                </c:pt>
                <c:pt idx="32">
                  <c:v>0.65849469679802297</c:v>
                </c:pt>
                <c:pt idx="33">
                  <c:v>0.65968338665949133</c:v>
                </c:pt>
                <c:pt idx="34">
                  <c:v>0.66027120308296361</c:v>
                </c:pt>
                <c:pt idx="35">
                  <c:v>0.66003986962167005</c:v>
                </c:pt>
                <c:pt idx="36">
                  <c:v>0.65909795742637911</c:v>
                </c:pt>
                <c:pt idx="37">
                  <c:v>0.65779699253793211</c:v>
                </c:pt>
                <c:pt idx="38">
                  <c:v>0.65624175089224934</c:v>
                </c:pt>
                <c:pt idx="39">
                  <c:v>0.6543924189380661</c:v>
                </c:pt>
                <c:pt idx="40">
                  <c:v>0.65225920780392954</c:v>
                </c:pt>
                <c:pt idx="41">
                  <c:v>0.64976901618529581</c:v>
                </c:pt>
                <c:pt idx="42">
                  <c:v>0.64690792622666748</c:v>
                </c:pt>
                <c:pt idx="43">
                  <c:v>0.64389868956943275</c:v>
                </c:pt>
                <c:pt idx="44">
                  <c:v>0.64100502850905627</c:v>
                </c:pt>
                <c:pt idx="45">
                  <c:v>0.63832230985566696</c:v>
                </c:pt>
                <c:pt idx="46">
                  <c:v>0.63573839838080914</c:v>
                </c:pt>
                <c:pt idx="47">
                  <c:v>0.63318790180440487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77-4319-AF14-A361DFB788E2}"/>
            </c:ext>
          </c:extLst>
        </c:ser>
        <c:ser>
          <c:idx val="3"/>
          <c:order val="3"/>
          <c:tx>
            <c:strRef>
              <c:f>'Graf 22 + 23'!$A$8</c:f>
              <c:strCache>
                <c:ptCount val="1"/>
                <c:pt idx="0">
                  <c:v>PSD - 40 rokov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+ 23'!$C$8:$AX$8</c:f>
              <c:numCache>
                <c:formatCode>0.0</c:formatCode>
                <c:ptCount val="48"/>
                <c:pt idx="0">
                  <c:v>3.7691361051400918E-2</c:v>
                </c:pt>
                <c:pt idx="1">
                  <c:v>3.6741381884354496E-2</c:v>
                </c:pt>
                <c:pt idx="2">
                  <c:v>3.3721669440673452E-2</c:v>
                </c:pt>
                <c:pt idx="3">
                  <c:v>3.1696009772108624E-2</c:v>
                </c:pt>
                <c:pt idx="4">
                  <c:v>4.2379130858819281E-2</c:v>
                </c:pt>
                <c:pt idx="5">
                  <c:v>4.4589313868549141E-2</c:v>
                </c:pt>
                <c:pt idx="6">
                  <c:v>4.3218620883987313E-2</c:v>
                </c:pt>
                <c:pt idx="7">
                  <c:v>4.6402904876238438E-2</c:v>
                </c:pt>
                <c:pt idx="8">
                  <c:v>4.8912776167792771E-2</c:v>
                </c:pt>
                <c:pt idx="9">
                  <c:v>5.1537862867370166E-2</c:v>
                </c:pt>
                <c:pt idx="10">
                  <c:v>5.4649660112048082E-2</c:v>
                </c:pt>
                <c:pt idx="11">
                  <c:v>5.5957314307867989E-2</c:v>
                </c:pt>
                <c:pt idx="12">
                  <c:v>6.289761775319036E-2</c:v>
                </c:pt>
                <c:pt idx="13">
                  <c:v>6.876710129455077E-2</c:v>
                </c:pt>
                <c:pt idx="14">
                  <c:v>7.5827195500725253E-2</c:v>
                </c:pt>
                <c:pt idx="15">
                  <c:v>8.1090962550877776E-2</c:v>
                </c:pt>
                <c:pt idx="16">
                  <c:v>8.5284618587667893E-2</c:v>
                </c:pt>
                <c:pt idx="17">
                  <c:v>8.380847920986767E-2</c:v>
                </c:pt>
                <c:pt idx="18">
                  <c:v>9.3775459657184257E-2</c:v>
                </c:pt>
                <c:pt idx="19">
                  <c:v>9.7676286799799783E-2</c:v>
                </c:pt>
                <c:pt idx="20">
                  <c:v>0.10048048709533575</c:v>
                </c:pt>
                <c:pt idx="21">
                  <c:v>0.102591780458134</c:v>
                </c:pt>
                <c:pt idx="22">
                  <c:v>0.10523370971948154</c:v>
                </c:pt>
                <c:pt idx="23">
                  <c:v>0.10839945235471049</c:v>
                </c:pt>
                <c:pt idx="24">
                  <c:v>0.11201022826056217</c:v>
                </c:pt>
                <c:pt idx="25">
                  <c:v>0.11537681005943767</c:v>
                </c:pt>
                <c:pt idx="26">
                  <c:v>0.11896776051953495</c:v>
                </c:pt>
                <c:pt idx="27">
                  <c:v>0.12052305445669731</c:v>
                </c:pt>
                <c:pt idx="28">
                  <c:v>0.12197487376500149</c:v>
                </c:pt>
                <c:pt idx="29">
                  <c:v>0.12453144538677208</c:v>
                </c:pt>
                <c:pt idx="30">
                  <c:v>0.12676153705733384</c:v>
                </c:pt>
                <c:pt idx="31">
                  <c:v>0.12984255990094695</c:v>
                </c:pt>
                <c:pt idx="32">
                  <c:v>0.1311546937201058</c:v>
                </c:pt>
                <c:pt idx="33">
                  <c:v>0.13109986430930576</c:v>
                </c:pt>
                <c:pt idx="34">
                  <c:v>0.12904444345355515</c:v>
                </c:pt>
                <c:pt idx="35">
                  <c:v>0.12466890266203023</c:v>
                </c:pt>
                <c:pt idx="36">
                  <c:v>0.12102695206419156</c:v>
                </c:pt>
                <c:pt idx="37">
                  <c:v>0.12148386009396717</c:v>
                </c:pt>
                <c:pt idx="38">
                  <c:v>0.12169435278665475</c:v>
                </c:pt>
                <c:pt idx="39">
                  <c:v>0.1217792307631953</c:v>
                </c:pt>
                <c:pt idx="40">
                  <c:v>0.12154287857347867</c:v>
                </c:pt>
                <c:pt idx="41">
                  <c:v>0.12025031681605469</c:v>
                </c:pt>
                <c:pt idx="42">
                  <c:v>0.11918068407202753</c:v>
                </c:pt>
                <c:pt idx="43">
                  <c:v>0.12001656778651082</c:v>
                </c:pt>
                <c:pt idx="44">
                  <c:v>0.12383679669954972</c:v>
                </c:pt>
                <c:pt idx="45">
                  <c:v>0.12825239615262873</c:v>
                </c:pt>
                <c:pt idx="46">
                  <c:v>0.13106582995436966</c:v>
                </c:pt>
                <c:pt idx="47">
                  <c:v>0.1337721627116828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77-4319-AF14-A361DFB788E2}"/>
            </c:ext>
          </c:extLst>
        </c:ser>
        <c:ser>
          <c:idx val="4"/>
          <c:order val="4"/>
          <c:tx>
            <c:strRef>
              <c:f>'Graf 22 + 23'!$A$9</c:f>
              <c:strCache>
                <c:ptCount val="1"/>
                <c:pt idx="0">
                  <c:v>Zrušenie max. VZ a RZSP</c:v>
                </c:pt>
              </c:strCache>
            </c:strRef>
          </c:tx>
          <c:spPr>
            <a:solidFill>
              <a:srgbClr val="727272"/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+ 23'!$C$9:$AX$9</c:f>
              <c:numCache>
                <c:formatCode>0.0</c:formatCode>
                <c:ptCount val="48"/>
                <c:pt idx="0">
                  <c:v>-0.1030348914756587</c:v>
                </c:pt>
                <c:pt idx="1">
                  <c:v>-0.13246953181208099</c:v>
                </c:pt>
                <c:pt idx="2">
                  <c:v>-0.13143440489217184</c:v>
                </c:pt>
                <c:pt idx="3">
                  <c:v>-0.13050796649492113</c:v>
                </c:pt>
                <c:pt idx="4">
                  <c:v>-0.12904040795501004</c:v>
                </c:pt>
                <c:pt idx="5">
                  <c:v>-0.12906941929314897</c:v>
                </c:pt>
                <c:pt idx="6">
                  <c:v>-0.12910293875582823</c:v>
                </c:pt>
                <c:pt idx="7">
                  <c:v>-0.12913825369237486</c:v>
                </c:pt>
                <c:pt idx="8">
                  <c:v>-0.12917332697143991</c:v>
                </c:pt>
                <c:pt idx="9">
                  <c:v>-0.12920828486249647</c:v>
                </c:pt>
                <c:pt idx="10">
                  <c:v>-0.12924329190526862</c:v>
                </c:pt>
                <c:pt idx="11">
                  <c:v>-0.12927900484525878</c:v>
                </c:pt>
                <c:pt idx="12">
                  <c:v>-0.1293199725148213</c:v>
                </c:pt>
                <c:pt idx="13">
                  <c:v>-0.12936563465896711</c:v>
                </c:pt>
                <c:pt idx="14">
                  <c:v>-0.12941598356612971</c:v>
                </c:pt>
                <c:pt idx="15">
                  <c:v>-0.12946895643010237</c:v>
                </c:pt>
                <c:pt idx="16">
                  <c:v>-0.12952276942252894</c:v>
                </c:pt>
                <c:pt idx="17">
                  <c:v>-0.12956920810670525</c:v>
                </c:pt>
                <c:pt idx="18">
                  <c:v>-0.12961958136919094</c:v>
                </c:pt>
                <c:pt idx="19">
                  <c:v>-0.12967002858028565</c:v>
                </c:pt>
                <c:pt idx="20">
                  <c:v>-0.1297180516437777</c:v>
                </c:pt>
                <c:pt idx="21">
                  <c:v>-0.12976336262124732</c:v>
                </c:pt>
                <c:pt idx="22">
                  <c:v>-0.12980679145230312</c:v>
                </c:pt>
                <c:pt idx="23">
                  <c:v>-0.12985084799502999</c:v>
                </c:pt>
                <c:pt idx="24">
                  <c:v>-0.12989495608945134</c:v>
                </c:pt>
                <c:pt idx="25">
                  <c:v>-0.12993836032111261</c:v>
                </c:pt>
                <c:pt idx="26">
                  <c:v>-0.12997906313995244</c:v>
                </c:pt>
                <c:pt idx="27">
                  <c:v>-0.13001593237629194</c:v>
                </c:pt>
                <c:pt idx="28">
                  <c:v>-0.1300495894855338</c:v>
                </c:pt>
                <c:pt idx="29">
                  <c:v>-0.13008010026971562</c:v>
                </c:pt>
                <c:pt idx="30">
                  <c:v>-0.13010649895161208</c:v>
                </c:pt>
                <c:pt idx="31">
                  <c:v>-0.13013153878551975</c:v>
                </c:pt>
                <c:pt idx="32">
                  <c:v>-0.13015424558167865</c:v>
                </c:pt>
                <c:pt idx="33">
                  <c:v>-0.13017297282009821</c:v>
                </c:pt>
                <c:pt idx="34">
                  <c:v>-0.13018554432265006</c:v>
                </c:pt>
                <c:pt idx="35">
                  <c:v>-0.13019296156672766</c:v>
                </c:pt>
                <c:pt idx="36">
                  <c:v>-0.13020012508315659</c:v>
                </c:pt>
                <c:pt idx="37">
                  <c:v>-0.13020821578610509</c:v>
                </c:pt>
                <c:pt idx="38">
                  <c:v>-0.13021477484135602</c:v>
                </c:pt>
                <c:pt idx="39">
                  <c:v>-0.13021896782571218</c:v>
                </c:pt>
                <c:pt idx="40">
                  <c:v>-0.13022259321641627</c:v>
                </c:pt>
                <c:pt idx="41">
                  <c:v>-0.13022558507545767</c:v>
                </c:pt>
                <c:pt idx="42">
                  <c:v>-0.130227170381783</c:v>
                </c:pt>
                <c:pt idx="43">
                  <c:v>-0.13022912165671485</c:v>
                </c:pt>
                <c:pt idx="44">
                  <c:v>-0.13023215646155961</c:v>
                </c:pt>
                <c:pt idx="45">
                  <c:v>-0.13023601054026557</c:v>
                </c:pt>
                <c:pt idx="46">
                  <c:v>-0.13024028271775023</c:v>
                </c:pt>
                <c:pt idx="47">
                  <c:v>-0.13024486002466773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77-4319-AF14-A361DFB78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572032"/>
        <c:axId val="473572424"/>
      </c:barChart>
      <c:lineChart>
        <c:grouping val="standard"/>
        <c:varyColors val="0"/>
        <c:ser>
          <c:idx val="5"/>
          <c:order val="5"/>
          <c:tx>
            <c:strRef>
              <c:f>'Graf 22 + 23'!$A$10</c:f>
              <c:strCache>
                <c:ptCount val="1"/>
                <c:pt idx="0">
                  <c:v>Celkovo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+ 23'!$C$10:$AX$10</c:f>
              <c:numCache>
                <c:formatCode>0.0</c:formatCode>
                <c:ptCount val="48"/>
                <c:pt idx="0">
                  <c:v>0.51682578424201253</c:v>
                </c:pt>
                <c:pt idx="1">
                  <c:v>0.46823756308720021</c:v>
                </c:pt>
                <c:pt idx="2">
                  <c:v>0.43822868755953337</c:v>
                </c:pt>
                <c:pt idx="3">
                  <c:v>0.41359973573882058</c:v>
                </c:pt>
                <c:pt idx="4">
                  <c:v>0.4115684548326719</c:v>
                </c:pt>
                <c:pt idx="5">
                  <c:v>0.39419617481393132</c:v>
                </c:pt>
                <c:pt idx="6">
                  <c:v>0.36602823594871126</c:v>
                </c:pt>
                <c:pt idx="7">
                  <c:v>0.33030157661250925</c:v>
                </c:pt>
                <c:pt idx="8">
                  <c:v>0.25296386893459299</c:v>
                </c:pt>
                <c:pt idx="9">
                  <c:v>0.15422722134927014</c:v>
                </c:pt>
                <c:pt idx="10">
                  <c:v>5.7436147618819433E-2</c:v>
                </c:pt>
                <c:pt idx="11">
                  <c:v>-1.7931198358599687E-2</c:v>
                </c:pt>
                <c:pt idx="12">
                  <c:v>-0.11481609095138268</c:v>
                </c:pt>
                <c:pt idx="13">
                  <c:v>-0.20749688636810504</c:v>
                </c:pt>
                <c:pt idx="14">
                  <c:v>-0.32195870712942565</c:v>
                </c:pt>
                <c:pt idx="15">
                  <c:v>-0.47354068462697541</c:v>
                </c:pt>
                <c:pt idx="16">
                  <c:v>-0.59735097397314973</c:v>
                </c:pt>
                <c:pt idx="17">
                  <c:v>-0.68691870113614684</c:v>
                </c:pt>
                <c:pt idx="18">
                  <c:v>-0.80952845796063144</c:v>
                </c:pt>
                <c:pt idx="19">
                  <c:v>-0.94700033551345086</c:v>
                </c:pt>
                <c:pt idx="20">
                  <c:v>-1.0878308132851693</c:v>
                </c:pt>
                <c:pt idx="21">
                  <c:v>-1.1891586062761306</c:v>
                </c:pt>
                <c:pt idx="22">
                  <c:v>-1.2789220476368115</c:v>
                </c:pt>
                <c:pt idx="23">
                  <c:v>-1.4143801014049373</c:v>
                </c:pt>
                <c:pt idx="24">
                  <c:v>-1.5392223722704514</c:v>
                </c:pt>
                <c:pt idx="25">
                  <c:v>-1.6678176515968133</c:v>
                </c:pt>
                <c:pt idx="26">
                  <c:v>-1.8240064670040468</c:v>
                </c:pt>
                <c:pt idx="27">
                  <c:v>-1.9591345966355433</c:v>
                </c:pt>
                <c:pt idx="28">
                  <c:v>-2.0797363704431824</c:v>
                </c:pt>
                <c:pt idx="29">
                  <c:v>-2.183410521848959</c:v>
                </c:pt>
                <c:pt idx="30">
                  <c:v>-2.273655690975982</c:v>
                </c:pt>
                <c:pt idx="31">
                  <c:v>-2.353594850111822</c:v>
                </c:pt>
                <c:pt idx="32">
                  <c:v>-2.4587447256840598</c:v>
                </c:pt>
                <c:pt idx="33">
                  <c:v>-2.577414498029146</c:v>
                </c:pt>
                <c:pt idx="34">
                  <c:v>-2.6500779818599334</c:v>
                </c:pt>
                <c:pt idx="35">
                  <c:v>-2.6628274185522365</c:v>
                </c:pt>
                <c:pt idx="36">
                  <c:v>-2.6754459527002297</c:v>
                </c:pt>
                <c:pt idx="37">
                  <c:v>-2.6719242967036827</c:v>
                </c:pt>
                <c:pt idx="38">
                  <c:v>-2.6807244138239525</c:v>
                </c:pt>
                <c:pt idx="39">
                  <c:v>-2.7010939250335326</c:v>
                </c:pt>
                <c:pt idx="40">
                  <c:v>-2.7286298479883619</c:v>
                </c:pt>
                <c:pt idx="41">
                  <c:v>-2.7371293660243374</c:v>
                </c:pt>
                <c:pt idx="42">
                  <c:v>-2.7853049481566501</c:v>
                </c:pt>
                <c:pt idx="43">
                  <c:v>-2.8197076706335338</c:v>
                </c:pt>
                <c:pt idx="44">
                  <c:v>-2.8425198721236242</c:v>
                </c:pt>
                <c:pt idx="45">
                  <c:v>-2.9126623927356903</c:v>
                </c:pt>
                <c:pt idx="46">
                  <c:v>-3.0357884098216701</c:v>
                </c:pt>
                <c:pt idx="47">
                  <c:v>-3.1515314122237434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277-4319-AF14-A361DFB78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72032"/>
        <c:axId val="473572424"/>
      </c:lineChart>
      <c:catAx>
        <c:axId val="4735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73572424"/>
        <c:crosses val="autoZero"/>
        <c:auto val="1"/>
        <c:lblAlgn val="ctr"/>
        <c:lblOffset val="100"/>
        <c:noMultiLvlLbl val="0"/>
      </c:catAx>
      <c:valAx>
        <c:axId val="4735724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47357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2662510936132995E-2"/>
          <c:y val="0.52093285214348206"/>
          <c:w val="0.290501312335958"/>
          <c:h val="0.3463713910761154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0877515310586178E-2"/>
          <c:y val="4.8823828544190706E-2"/>
          <c:w val="0.92839391951006101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22 + 23'!$B$5</c:f>
              <c:strCache>
                <c:ptCount val="1"/>
                <c:pt idx="0">
                  <c:v>Linking retirement age to life expectancy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+ 23'!$C$5:$AX$5</c:f>
              <c:numCache>
                <c:formatCode>0.0</c:formatCode>
                <c:ptCount val="48"/>
                <c:pt idx="0">
                  <c:v>4.6930050641734056E-2</c:v>
                </c:pt>
                <c:pt idx="1">
                  <c:v>3.7686236628054814E-2</c:v>
                </c:pt>
                <c:pt idx="2">
                  <c:v>1.5671099147201772E-2</c:v>
                </c:pt>
                <c:pt idx="3">
                  <c:v>2.0466884370407001E-3</c:v>
                </c:pt>
                <c:pt idx="4">
                  <c:v>-5.8836982467767029E-3</c:v>
                </c:pt>
                <c:pt idx="5">
                  <c:v>-2.3026297187033862E-2</c:v>
                </c:pt>
                <c:pt idx="6">
                  <c:v>-4.5948557788264566E-2</c:v>
                </c:pt>
                <c:pt idx="7">
                  <c:v>-7.9664100489065248E-2</c:v>
                </c:pt>
                <c:pt idx="8">
                  <c:v>-0.15420818075634912</c:v>
                </c:pt>
                <c:pt idx="9">
                  <c:v>-0.24921385942447216</c:v>
                </c:pt>
                <c:pt idx="10">
                  <c:v>-0.33970847909250068</c:v>
                </c:pt>
                <c:pt idx="11">
                  <c:v>-0.40971953837171426</c:v>
                </c:pt>
                <c:pt idx="12">
                  <c:v>-0.50541998249067177</c:v>
                </c:pt>
                <c:pt idx="13">
                  <c:v>-0.59785037272093078</c:v>
                </c:pt>
                <c:pt idx="14">
                  <c:v>-0.71248807316017349</c:v>
                </c:pt>
                <c:pt idx="15">
                  <c:v>-0.86251857343298965</c:v>
                </c:pt>
                <c:pt idx="16">
                  <c:v>-0.98265143115754583</c:v>
                </c:pt>
                <c:pt idx="17">
                  <c:v>-1.0620486978089261</c:v>
                </c:pt>
                <c:pt idx="18">
                  <c:v>-1.1825985595097102</c:v>
                </c:pt>
                <c:pt idx="19">
                  <c:v>-1.3155782198733128</c:v>
                </c:pt>
                <c:pt idx="20">
                  <c:v>-1.4469169926635317</c:v>
                </c:pt>
                <c:pt idx="21">
                  <c:v>-1.5408165965709735</c:v>
                </c:pt>
                <c:pt idx="22">
                  <c:v>-1.6223032678463092</c:v>
                </c:pt>
                <c:pt idx="23">
                  <c:v>-1.750585682472412</c:v>
                </c:pt>
                <c:pt idx="24">
                  <c:v>-1.8677535834176986</c:v>
                </c:pt>
                <c:pt idx="25">
                  <c:v>-1.9876199719507426</c:v>
                </c:pt>
                <c:pt idx="26">
                  <c:v>-2.1326189015088879</c:v>
                </c:pt>
                <c:pt idx="27">
                  <c:v>-2.2576615667819837</c:v>
                </c:pt>
                <c:pt idx="28">
                  <c:v>-2.3665247496076276</c:v>
                </c:pt>
                <c:pt idx="29">
                  <c:v>-2.4547625472197865</c:v>
                </c:pt>
                <c:pt idx="30">
                  <c:v>-2.5328943856690671</c:v>
                </c:pt>
                <c:pt idx="31">
                  <c:v>-2.6011696631340442</c:v>
                </c:pt>
                <c:pt idx="32">
                  <c:v>-2.6928807629659417</c:v>
                </c:pt>
                <c:pt idx="33">
                  <c:v>-2.7972439670852651</c:v>
                </c:pt>
                <c:pt idx="34">
                  <c:v>-2.8521444180320046</c:v>
                </c:pt>
                <c:pt idx="35">
                  <c:v>-2.8433407607159076</c:v>
                </c:pt>
                <c:pt idx="36">
                  <c:v>-2.8329114679719538</c:v>
                </c:pt>
                <c:pt idx="37">
                  <c:v>-2.8137645174396937</c:v>
                </c:pt>
                <c:pt idx="38">
                  <c:v>-2.8073256449818125</c:v>
                </c:pt>
                <c:pt idx="39">
                  <c:v>-2.8095849857162172</c:v>
                </c:pt>
                <c:pt idx="40">
                  <c:v>-2.8232080221166171</c:v>
                </c:pt>
                <c:pt idx="41">
                  <c:v>-2.8152696297600066</c:v>
                </c:pt>
                <c:pt idx="42">
                  <c:v>-2.8499341214132627</c:v>
                </c:pt>
                <c:pt idx="43">
                  <c:v>-2.8716704988429846</c:v>
                </c:pt>
                <c:pt idx="44">
                  <c:v>-2.8835062215660869</c:v>
                </c:pt>
                <c:pt idx="45">
                  <c:v>-2.9444279538598686</c:v>
                </c:pt>
                <c:pt idx="46">
                  <c:v>-3.0562325007234357</c:v>
                </c:pt>
                <c:pt idx="47">
                  <c:v>-3.1625445773730441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4B-4FF4-AC0D-9CA645D8B4F2}"/>
            </c:ext>
          </c:extLst>
        </c:ser>
        <c:ser>
          <c:idx val="8"/>
          <c:order val="1"/>
          <c:tx>
            <c:strRef>
              <c:f>'Graf 22 + 23'!$B$6</c:f>
              <c:strCache>
                <c:ptCount val="1"/>
                <c:pt idx="0">
                  <c:v>Decreased growth of the current pension point value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+ 23'!$C$6:$AX$6</c:f>
              <c:numCache>
                <c:formatCode>0.0</c:formatCode>
                <c:ptCount val="48"/>
                <c:pt idx="0">
                  <c:v>-8.0570459573436892E-3</c:v>
                </c:pt>
                <c:pt idx="1">
                  <c:v>-1.1236221410094061E-2</c:v>
                </c:pt>
                <c:pt idx="2">
                  <c:v>-1.4552574712482169E-2</c:v>
                </c:pt>
                <c:pt idx="3">
                  <c:v>-1.8365261557960366E-2</c:v>
                </c:pt>
                <c:pt idx="4">
                  <c:v>-2.3460909694847487E-2</c:v>
                </c:pt>
                <c:pt idx="5">
                  <c:v>-2.9293880106592951E-2</c:v>
                </c:pt>
                <c:pt idx="6">
                  <c:v>-3.4971318115701422E-2</c:v>
                </c:pt>
                <c:pt idx="7">
                  <c:v>-4.1829320505854639E-2</c:v>
                </c:pt>
                <c:pt idx="8">
                  <c:v>-4.8858754408332317E-2</c:v>
                </c:pt>
                <c:pt idx="9">
                  <c:v>-5.6279535025545613E-2</c:v>
                </c:pt>
                <c:pt idx="10">
                  <c:v>-6.4687193732659409E-2</c:v>
                </c:pt>
                <c:pt idx="11">
                  <c:v>-7.332110992177121E-2</c:v>
                </c:pt>
                <c:pt idx="12">
                  <c:v>-8.3001801061527658E-2</c:v>
                </c:pt>
                <c:pt idx="13">
                  <c:v>-9.3750223927802523E-2</c:v>
                </c:pt>
                <c:pt idx="14">
                  <c:v>-0.104849158767788</c:v>
                </c:pt>
                <c:pt idx="15">
                  <c:v>-0.11713985446665021</c:v>
                </c:pt>
                <c:pt idx="16">
                  <c:v>-0.1300637765074697</c:v>
                </c:pt>
                <c:pt idx="17">
                  <c:v>-0.14270144450090783</c:v>
                </c:pt>
                <c:pt idx="18">
                  <c:v>-0.15646721681791576</c:v>
                </c:pt>
                <c:pt idx="19">
                  <c:v>-0.170365646120203</c:v>
                </c:pt>
                <c:pt idx="20">
                  <c:v>-0.18444590489568569</c:v>
                </c:pt>
                <c:pt idx="21">
                  <c:v>-0.19880745829812341</c:v>
                </c:pt>
                <c:pt idx="22">
                  <c:v>-0.21363796144480318</c:v>
                </c:pt>
                <c:pt idx="23">
                  <c:v>-0.22799065975887345</c:v>
                </c:pt>
                <c:pt idx="24">
                  <c:v>-0.24343944755788627</c:v>
                </c:pt>
                <c:pt idx="25">
                  <c:v>-0.259256333517218</c:v>
                </c:pt>
                <c:pt idx="26">
                  <c:v>-0.27577152638812663</c:v>
                </c:pt>
                <c:pt idx="27">
                  <c:v>-0.29208292145765213</c:v>
                </c:pt>
                <c:pt idx="28">
                  <c:v>-0.30887676832234234</c:v>
                </c:pt>
                <c:pt idx="29">
                  <c:v>-0.32628130482484252</c:v>
                </c:pt>
                <c:pt idx="30">
                  <c:v>-0.34265217828312089</c:v>
                </c:pt>
                <c:pt idx="31">
                  <c:v>-0.35995331486897086</c:v>
                </c:pt>
                <c:pt idx="32">
                  <c:v>-0.37675392256737439</c:v>
                </c:pt>
                <c:pt idx="33">
                  <c:v>-0.39314824159196604</c:v>
                </c:pt>
                <c:pt idx="34">
                  <c:v>-0.40880341957338828</c:v>
                </c:pt>
                <c:pt idx="35">
                  <c:v>-0.42362160557024353</c:v>
                </c:pt>
                <c:pt idx="36">
                  <c:v>-0.43681975565005615</c:v>
                </c:pt>
                <c:pt idx="37">
                  <c:v>-0.45013204324526157</c:v>
                </c:pt>
                <c:pt idx="38">
                  <c:v>-0.46187100870262299</c:v>
                </c:pt>
                <c:pt idx="39">
                  <c:v>-0.47374451012890972</c:v>
                </c:pt>
                <c:pt idx="40">
                  <c:v>-0.48585215800998327</c:v>
                </c:pt>
                <c:pt idx="41">
                  <c:v>-0.49734804257754206</c:v>
                </c:pt>
                <c:pt idx="42">
                  <c:v>-0.50856420720303319</c:v>
                </c:pt>
                <c:pt idx="43">
                  <c:v>-0.5199544231290929</c:v>
                </c:pt>
                <c:pt idx="44">
                  <c:v>-0.53207916202237016</c:v>
                </c:pt>
                <c:pt idx="45">
                  <c:v>-0.54529424479967048</c:v>
                </c:pt>
                <c:pt idx="46">
                  <c:v>-0.55920997585861798</c:v>
                </c:pt>
                <c:pt idx="47">
                  <c:v>-0.57356697417864666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4B-4FF4-AC0D-9CA645D8B4F2}"/>
            </c:ext>
          </c:extLst>
        </c:ser>
        <c:ser>
          <c:idx val="0"/>
          <c:order val="2"/>
          <c:tx>
            <c:strRef>
              <c:f>'Graf 22 + 23'!$B$7</c:f>
              <c:strCache>
                <c:ptCount val="1"/>
                <c:pt idx="0">
                  <c:v>Parental bonus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+ 23'!$C$7:$AX$7</c:f>
              <c:numCache>
                <c:formatCode>0.0</c:formatCode>
                <c:ptCount val="48"/>
                <c:pt idx="0">
                  <c:v>0.54408901748944061</c:v>
                </c:pt>
                <c:pt idx="1">
                  <c:v>0.54604754196876115</c:v>
                </c:pt>
                <c:pt idx="2">
                  <c:v>0.54882310825252745</c:v>
                </c:pt>
                <c:pt idx="3">
                  <c:v>0.548421314832229</c:v>
                </c:pt>
                <c:pt idx="4">
                  <c:v>0.5505867993466822</c:v>
                </c:pt>
                <c:pt idx="5">
                  <c:v>0.55447401176912692</c:v>
                </c:pt>
                <c:pt idx="6">
                  <c:v>0.55730634233753307</c:v>
                </c:pt>
                <c:pt idx="7">
                  <c:v>0.56231474898541478</c:v>
                </c:pt>
                <c:pt idx="8">
                  <c:v>0.56621275014305184</c:v>
                </c:pt>
                <c:pt idx="9">
                  <c:v>0.57000916545499436</c:v>
                </c:pt>
                <c:pt idx="10">
                  <c:v>0.57353120113292277</c:v>
                </c:pt>
                <c:pt idx="11">
                  <c:v>0.57650967291592536</c:v>
                </c:pt>
                <c:pt idx="12">
                  <c:v>0.58029170342210534</c:v>
                </c:pt>
                <c:pt idx="13">
                  <c:v>0.58472878692205299</c:v>
                </c:pt>
                <c:pt idx="14">
                  <c:v>0.58978823326248531</c:v>
                </c:pt>
                <c:pt idx="15">
                  <c:v>0.59521524748851107</c:v>
                </c:pt>
                <c:pt idx="16">
                  <c:v>0.60070651361158056</c:v>
                </c:pt>
                <c:pt idx="17">
                  <c:v>0.60532170015742537</c:v>
                </c:pt>
                <c:pt idx="18">
                  <c:v>0.61069102910346373</c:v>
                </c:pt>
                <c:pt idx="19">
                  <c:v>0.61599396323440914</c:v>
                </c:pt>
                <c:pt idx="20">
                  <c:v>0.62093944968968984</c:v>
                </c:pt>
                <c:pt idx="21">
                  <c:v>0.62539348767863601</c:v>
                </c:pt>
                <c:pt idx="22">
                  <c:v>0.62950000052687827</c:v>
                </c:pt>
                <c:pt idx="23">
                  <c:v>0.63346142496089897</c:v>
                </c:pt>
                <c:pt idx="24">
                  <c:v>0.63732702442568723</c:v>
                </c:pt>
                <c:pt idx="25">
                  <c:v>0.64101635315619632</c:v>
                </c:pt>
                <c:pt idx="26">
                  <c:v>0.64448137247606496</c:v>
                </c:pt>
                <c:pt idx="27">
                  <c:v>0.64756810692722055</c:v>
                </c:pt>
                <c:pt idx="28">
                  <c:v>0.65027621189688389</c:v>
                </c:pt>
                <c:pt idx="29">
                  <c:v>0.65268762907236422</c:v>
                </c:pt>
                <c:pt idx="30">
                  <c:v>0.65485058753323955</c:v>
                </c:pt>
                <c:pt idx="31">
                  <c:v>0.65682470339861965</c:v>
                </c:pt>
                <c:pt idx="32">
                  <c:v>0.65849469679802297</c:v>
                </c:pt>
                <c:pt idx="33">
                  <c:v>0.65968338665949133</c:v>
                </c:pt>
                <c:pt idx="34">
                  <c:v>0.66027120308296361</c:v>
                </c:pt>
                <c:pt idx="35">
                  <c:v>0.66003986962167005</c:v>
                </c:pt>
                <c:pt idx="36">
                  <c:v>0.65909795742637911</c:v>
                </c:pt>
                <c:pt idx="37">
                  <c:v>0.65779699253793211</c:v>
                </c:pt>
                <c:pt idx="38">
                  <c:v>0.65624175089224934</c:v>
                </c:pt>
                <c:pt idx="39">
                  <c:v>0.6543924189380661</c:v>
                </c:pt>
                <c:pt idx="40">
                  <c:v>0.65225920780392954</c:v>
                </c:pt>
                <c:pt idx="41">
                  <c:v>0.64976901618529581</c:v>
                </c:pt>
                <c:pt idx="42">
                  <c:v>0.64690792622666748</c:v>
                </c:pt>
                <c:pt idx="43">
                  <c:v>0.64389868956943275</c:v>
                </c:pt>
                <c:pt idx="44">
                  <c:v>0.64100502850905627</c:v>
                </c:pt>
                <c:pt idx="45">
                  <c:v>0.63832230985566696</c:v>
                </c:pt>
                <c:pt idx="46">
                  <c:v>0.63573839838080914</c:v>
                </c:pt>
                <c:pt idx="47">
                  <c:v>0.63318790180440487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4B-4FF4-AC0D-9CA645D8B4F2}"/>
            </c:ext>
          </c:extLst>
        </c:ser>
        <c:ser>
          <c:idx val="1"/>
          <c:order val="3"/>
          <c:tx>
            <c:strRef>
              <c:f>'Graf 22 + 23'!$B$8</c:f>
              <c:strCache>
                <c:ptCount val="1"/>
                <c:pt idx="0">
                  <c:v>Early retirement after 40 years</c:v>
                </c:pt>
              </c:strCache>
            </c:strRef>
          </c:tx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+ 23'!$C$8:$AX$8</c:f>
              <c:numCache>
                <c:formatCode>0.0</c:formatCode>
                <c:ptCount val="48"/>
                <c:pt idx="0">
                  <c:v>3.7691361051400918E-2</c:v>
                </c:pt>
                <c:pt idx="1">
                  <c:v>3.6741381884354496E-2</c:v>
                </c:pt>
                <c:pt idx="2">
                  <c:v>3.3721669440673452E-2</c:v>
                </c:pt>
                <c:pt idx="3">
                  <c:v>3.1696009772108624E-2</c:v>
                </c:pt>
                <c:pt idx="4">
                  <c:v>4.2379130858819281E-2</c:v>
                </c:pt>
                <c:pt idx="5">
                  <c:v>4.4589313868549141E-2</c:v>
                </c:pt>
                <c:pt idx="6">
                  <c:v>4.3218620883987313E-2</c:v>
                </c:pt>
                <c:pt idx="7">
                  <c:v>4.6402904876238438E-2</c:v>
                </c:pt>
                <c:pt idx="8">
                  <c:v>4.8912776167792771E-2</c:v>
                </c:pt>
                <c:pt idx="9">
                  <c:v>5.1537862867370166E-2</c:v>
                </c:pt>
                <c:pt idx="10">
                  <c:v>5.4649660112048082E-2</c:v>
                </c:pt>
                <c:pt idx="11">
                  <c:v>5.5957314307867989E-2</c:v>
                </c:pt>
                <c:pt idx="12">
                  <c:v>6.289761775319036E-2</c:v>
                </c:pt>
                <c:pt idx="13">
                  <c:v>6.876710129455077E-2</c:v>
                </c:pt>
                <c:pt idx="14">
                  <c:v>7.5827195500725253E-2</c:v>
                </c:pt>
                <c:pt idx="15">
                  <c:v>8.1090962550877776E-2</c:v>
                </c:pt>
                <c:pt idx="16">
                  <c:v>8.5284618587667893E-2</c:v>
                </c:pt>
                <c:pt idx="17">
                  <c:v>8.380847920986767E-2</c:v>
                </c:pt>
                <c:pt idx="18">
                  <c:v>9.3775459657184257E-2</c:v>
                </c:pt>
                <c:pt idx="19">
                  <c:v>9.7676286799799783E-2</c:v>
                </c:pt>
                <c:pt idx="20">
                  <c:v>0.10048048709533575</c:v>
                </c:pt>
                <c:pt idx="21">
                  <c:v>0.102591780458134</c:v>
                </c:pt>
                <c:pt idx="22">
                  <c:v>0.10523370971948154</c:v>
                </c:pt>
                <c:pt idx="23">
                  <c:v>0.10839945235471049</c:v>
                </c:pt>
                <c:pt idx="24">
                  <c:v>0.11201022826056217</c:v>
                </c:pt>
                <c:pt idx="25">
                  <c:v>0.11537681005943767</c:v>
                </c:pt>
                <c:pt idx="26">
                  <c:v>0.11896776051953495</c:v>
                </c:pt>
                <c:pt idx="27">
                  <c:v>0.12052305445669731</c:v>
                </c:pt>
                <c:pt idx="28">
                  <c:v>0.12197487376500149</c:v>
                </c:pt>
                <c:pt idx="29">
                  <c:v>0.12453144538677208</c:v>
                </c:pt>
                <c:pt idx="30">
                  <c:v>0.12676153705733384</c:v>
                </c:pt>
                <c:pt idx="31">
                  <c:v>0.12984255990094695</c:v>
                </c:pt>
                <c:pt idx="32">
                  <c:v>0.1311546937201058</c:v>
                </c:pt>
                <c:pt idx="33">
                  <c:v>0.13109986430930576</c:v>
                </c:pt>
                <c:pt idx="34">
                  <c:v>0.12904444345355515</c:v>
                </c:pt>
                <c:pt idx="35">
                  <c:v>0.12466890266203023</c:v>
                </c:pt>
                <c:pt idx="36">
                  <c:v>0.12102695206419156</c:v>
                </c:pt>
                <c:pt idx="37">
                  <c:v>0.12148386009396717</c:v>
                </c:pt>
                <c:pt idx="38">
                  <c:v>0.12169435278665475</c:v>
                </c:pt>
                <c:pt idx="39">
                  <c:v>0.1217792307631953</c:v>
                </c:pt>
                <c:pt idx="40">
                  <c:v>0.12154287857347867</c:v>
                </c:pt>
                <c:pt idx="41">
                  <c:v>0.12025031681605469</c:v>
                </c:pt>
                <c:pt idx="42">
                  <c:v>0.11918068407202753</c:v>
                </c:pt>
                <c:pt idx="43">
                  <c:v>0.12001656778651082</c:v>
                </c:pt>
                <c:pt idx="44">
                  <c:v>0.12383679669954972</c:v>
                </c:pt>
                <c:pt idx="45">
                  <c:v>0.12825239615262873</c:v>
                </c:pt>
                <c:pt idx="46">
                  <c:v>0.13106582995436966</c:v>
                </c:pt>
                <c:pt idx="47">
                  <c:v>0.1337721627116828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4B-4FF4-AC0D-9CA645D8B4F2}"/>
            </c:ext>
          </c:extLst>
        </c:ser>
        <c:ser>
          <c:idx val="2"/>
          <c:order val="4"/>
          <c:tx>
            <c:strRef>
              <c:f>'Graf 22 + 23'!$B$9</c:f>
              <c:strCache>
                <c:ptCount val="1"/>
                <c:pt idx="0">
                  <c:v>Abolition of the ceiling on contributions &amp; the annual settlement of social insurance</c:v>
                </c:pt>
              </c:strCache>
            </c:strRef>
          </c:tx>
          <c:invertIfNegative val="0"/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+ 23'!$C$9:$AX$9</c:f>
              <c:numCache>
                <c:formatCode>0.0</c:formatCode>
                <c:ptCount val="48"/>
                <c:pt idx="0">
                  <c:v>-0.1030348914756587</c:v>
                </c:pt>
                <c:pt idx="1">
                  <c:v>-0.13246953181208099</c:v>
                </c:pt>
                <c:pt idx="2">
                  <c:v>-0.13143440489217184</c:v>
                </c:pt>
                <c:pt idx="3">
                  <c:v>-0.13050796649492113</c:v>
                </c:pt>
                <c:pt idx="4">
                  <c:v>-0.12904040795501004</c:v>
                </c:pt>
                <c:pt idx="5">
                  <c:v>-0.12906941929314897</c:v>
                </c:pt>
                <c:pt idx="6">
                  <c:v>-0.12910293875582823</c:v>
                </c:pt>
                <c:pt idx="7">
                  <c:v>-0.12913825369237486</c:v>
                </c:pt>
                <c:pt idx="8">
                  <c:v>-0.12917332697143991</c:v>
                </c:pt>
                <c:pt idx="9">
                  <c:v>-0.12920828486249647</c:v>
                </c:pt>
                <c:pt idx="10">
                  <c:v>-0.12924329190526862</c:v>
                </c:pt>
                <c:pt idx="11">
                  <c:v>-0.12927900484525878</c:v>
                </c:pt>
                <c:pt idx="12">
                  <c:v>-0.1293199725148213</c:v>
                </c:pt>
                <c:pt idx="13">
                  <c:v>-0.12936563465896711</c:v>
                </c:pt>
                <c:pt idx="14">
                  <c:v>-0.12941598356612971</c:v>
                </c:pt>
                <c:pt idx="15">
                  <c:v>-0.12946895643010237</c:v>
                </c:pt>
                <c:pt idx="16">
                  <c:v>-0.12952276942252894</c:v>
                </c:pt>
                <c:pt idx="17">
                  <c:v>-0.12956920810670525</c:v>
                </c:pt>
                <c:pt idx="18">
                  <c:v>-0.12961958136919094</c:v>
                </c:pt>
                <c:pt idx="19">
                  <c:v>-0.12967002858028565</c:v>
                </c:pt>
                <c:pt idx="20">
                  <c:v>-0.1297180516437777</c:v>
                </c:pt>
                <c:pt idx="21">
                  <c:v>-0.12976336262124732</c:v>
                </c:pt>
                <c:pt idx="22">
                  <c:v>-0.12980679145230312</c:v>
                </c:pt>
                <c:pt idx="23">
                  <c:v>-0.12985084799502999</c:v>
                </c:pt>
                <c:pt idx="24">
                  <c:v>-0.12989495608945134</c:v>
                </c:pt>
                <c:pt idx="25">
                  <c:v>-0.12993836032111261</c:v>
                </c:pt>
                <c:pt idx="26">
                  <c:v>-0.12997906313995244</c:v>
                </c:pt>
                <c:pt idx="27">
                  <c:v>-0.13001593237629194</c:v>
                </c:pt>
                <c:pt idx="28">
                  <c:v>-0.1300495894855338</c:v>
                </c:pt>
                <c:pt idx="29">
                  <c:v>-0.13008010026971562</c:v>
                </c:pt>
                <c:pt idx="30">
                  <c:v>-0.13010649895161208</c:v>
                </c:pt>
                <c:pt idx="31">
                  <c:v>-0.13013153878551975</c:v>
                </c:pt>
                <c:pt idx="32">
                  <c:v>-0.13015424558167865</c:v>
                </c:pt>
                <c:pt idx="33">
                  <c:v>-0.13017297282009821</c:v>
                </c:pt>
                <c:pt idx="34">
                  <c:v>-0.13018554432265006</c:v>
                </c:pt>
                <c:pt idx="35">
                  <c:v>-0.13019296156672766</c:v>
                </c:pt>
                <c:pt idx="36">
                  <c:v>-0.13020012508315659</c:v>
                </c:pt>
                <c:pt idx="37">
                  <c:v>-0.13020821578610509</c:v>
                </c:pt>
                <c:pt idx="38">
                  <c:v>-0.13021477484135602</c:v>
                </c:pt>
                <c:pt idx="39">
                  <c:v>-0.13021896782571218</c:v>
                </c:pt>
                <c:pt idx="40">
                  <c:v>-0.13022259321641627</c:v>
                </c:pt>
                <c:pt idx="41">
                  <c:v>-0.13022558507545767</c:v>
                </c:pt>
                <c:pt idx="42">
                  <c:v>-0.130227170381783</c:v>
                </c:pt>
                <c:pt idx="43">
                  <c:v>-0.13022912165671485</c:v>
                </c:pt>
                <c:pt idx="44">
                  <c:v>-0.13023215646155961</c:v>
                </c:pt>
                <c:pt idx="45">
                  <c:v>-0.13023601054026557</c:v>
                </c:pt>
                <c:pt idx="46">
                  <c:v>-0.13024028271775023</c:v>
                </c:pt>
                <c:pt idx="47">
                  <c:v>-0.13024486002466773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F4B-4FF4-AC0D-9CA645D8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249152"/>
        <c:axId val="475249544"/>
      </c:barChart>
      <c:lineChart>
        <c:grouping val="standard"/>
        <c:varyColors val="0"/>
        <c:ser>
          <c:idx val="3"/>
          <c:order val="5"/>
          <c:tx>
            <c:strRef>
              <c:f>'Graf 22 + 23'!$B$10</c:f>
              <c:strCache>
                <c:ptCount val="1"/>
                <c:pt idx="0">
                  <c:v>Overall effect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22 + 23'!$C$4:$AX$4</c:f>
              <c:numCache>
                <c:formatCode>General</c:formatCode>
                <c:ptCount val="4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</c:numCache>
            </c:numRef>
          </c:cat>
          <c:val>
            <c:numRef>
              <c:f>'Graf 22 + 23'!$C$10:$AX$10</c:f>
              <c:numCache>
                <c:formatCode>0.0</c:formatCode>
                <c:ptCount val="48"/>
                <c:pt idx="0">
                  <c:v>0.51682578424201253</c:v>
                </c:pt>
                <c:pt idx="1">
                  <c:v>0.46823756308720021</c:v>
                </c:pt>
                <c:pt idx="2">
                  <c:v>0.43822868755953337</c:v>
                </c:pt>
                <c:pt idx="3">
                  <c:v>0.41359973573882058</c:v>
                </c:pt>
                <c:pt idx="4">
                  <c:v>0.4115684548326719</c:v>
                </c:pt>
                <c:pt idx="5">
                  <c:v>0.39419617481393132</c:v>
                </c:pt>
                <c:pt idx="6">
                  <c:v>0.36602823594871126</c:v>
                </c:pt>
                <c:pt idx="7">
                  <c:v>0.33030157661250925</c:v>
                </c:pt>
                <c:pt idx="8">
                  <c:v>0.25296386893459299</c:v>
                </c:pt>
                <c:pt idx="9">
                  <c:v>0.15422722134927014</c:v>
                </c:pt>
                <c:pt idx="10">
                  <c:v>5.7436147618819433E-2</c:v>
                </c:pt>
                <c:pt idx="11">
                  <c:v>-1.7931198358599687E-2</c:v>
                </c:pt>
                <c:pt idx="12">
                  <c:v>-0.11481609095138268</c:v>
                </c:pt>
                <c:pt idx="13">
                  <c:v>-0.20749688636810504</c:v>
                </c:pt>
                <c:pt idx="14">
                  <c:v>-0.32195870712942565</c:v>
                </c:pt>
                <c:pt idx="15">
                  <c:v>-0.47354068462697541</c:v>
                </c:pt>
                <c:pt idx="16">
                  <c:v>-0.59735097397314973</c:v>
                </c:pt>
                <c:pt idx="17">
                  <c:v>-0.68691870113614684</c:v>
                </c:pt>
                <c:pt idx="18">
                  <c:v>-0.80952845796063144</c:v>
                </c:pt>
                <c:pt idx="19">
                  <c:v>-0.94700033551345086</c:v>
                </c:pt>
                <c:pt idx="20">
                  <c:v>-1.0878308132851693</c:v>
                </c:pt>
                <c:pt idx="21">
                  <c:v>-1.1891586062761306</c:v>
                </c:pt>
                <c:pt idx="22">
                  <c:v>-1.2789220476368115</c:v>
                </c:pt>
                <c:pt idx="23">
                  <c:v>-1.4143801014049373</c:v>
                </c:pt>
                <c:pt idx="24">
                  <c:v>-1.5392223722704514</c:v>
                </c:pt>
                <c:pt idx="25">
                  <c:v>-1.6678176515968133</c:v>
                </c:pt>
                <c:pt idx="26">
                  <c:v>-1.8240064670040468</c:v>
                </c:pt>
                <c:pt idx="27">
                  <c:v>-1.9591345966355433</c:v>
                </c:pt>
                <c:pt idx="28">
                  <c:v>-2.0797363704431824</c:v>
                </c:pt>
                <c:pt idx="29">
                  <c:v>-2.183410521848959</c:v>
                </c:pt>
                <c:pt idx="30">
                  <c:v>-2.273655690975982</c:v>
                </c:pt>
                <c:pt idx="31">
                  <c:v>-2.353594850111822</c:v>
                </c:pt>
                <c:pt idx="32">
                  <c:v>-2.4587447256840598</c:v>
                </c:pt>
                <c:pt idx="33">
                  <c:v>-2.577414498029146</c:v>
                </c:pt>
                <c:pt idx="34">
                  <c:v>-2.6500779818599334</c:v>
                </c:pt>
                <c:pt idx="35">
                  <c:v>-2.6628274185522365</c:v>
                </c:pt>
                <c:pt idx="36">
                  <c:v>-2.6754459527002297</c:v>
                </c:pt>
                <c:pt idx="37">
                  <c:v>-2.6719242967036827</c:v>
                </c:pt>
                <c:pt idx="38">
                  <c:v>-2.6807244138239525</c:v>
                </c:pt>
                <c:pt idx="39">
                  <c:v>-2.7010939250335326</c:v>
                </c:pt>
                <c:pt idx="40">
                  <c:v>-2.7286298479883619</c:v>
                </c:pt>
                <c:pt idx="41">
                  <c:v>-2.7371293660243374</c:v>
                </c:pt>
                <c:pt idx="42">
                  <c:v>-2.7853049481566501</c:v>
                </c:pt>
                <c:pt idx="43">
                  <c:v>-2.8197076706335338</c:v>
                </c:pt>
                <c:pt idx="44">
                  <c:v>-2.8425198721236242</c:v>
                </c:pt>
                <c:pt idx="45">
                  <c:v>-2.9126623927356903</c:v>
                </c:pt>
                <c:pt idx="46">
                  <c:v>-3.0357884098216701</c:v>
                </c:pt>
                <c:pt idx="47">
                  <c:v>-3.1515314122237434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F4B-4FF4-AC0D-9CA645D8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249152"/>
        <c:axId val="475249544"/>
      </c:lineChart>
      <c:catAx>
        <c:axId val="4752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75249544"/>
        <c:crosses val="autoZero"/>
        <c:auto val="1"/>
        <c:lblAlgn val="ctr"/>
        <c:lblOffset val="100"/>
        <c:noMultiLvlLbl val="0"/>
      </c:catAx>
      <c:valAx>
        <c:axId val="47524954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47524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6905293088363951E-2"/>
          <c:y val="0.47186169437153691"/>
          <c:w val="0.51944444444444449"/>
          <c:h val="0.451434820647418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9787182852143485E-2"/>
          <c:y val="2.8211577719451736E-2"/>
          <c:w val="0.9583836395450569"/>
          <c:h val="0.89577026829979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22 + 23'!$C$12</c:f>
              <c:strCache>
                <c:ptCount val="1"/>
                <c:pt idx="0">
                  <c:v>S2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0-BDD9-4F40-AF7F-850C9A94453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F8CBAD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F-BDD9-4F40-AF7F-850C9A94453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2C9ADC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BDD9-4F40-AF7F-850C9A94453E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D-BDD9-4F40-AF7F-850C9A94453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22 + 23'!$A$13:$A$19</c:f>
              <c:strCache>
                <c:ptCount val="7"/>
                <c:pt idx="0">
                  <c:v>Rast DV so SDŽ</c:v>
                </c:pt>
                <c:pt idx="1">
                  <c:v>PSD - 40 rokov</c:v>
                </c:pt>
                <c:pt idx="2">
                  <c:v>Rodičovský dôchodok</c:v>
                </c:pt>
                <c:pt idx="3">
                  <c:v>Znížený rast ADH</c:v>
                </c:pt>
                <c:pt idx="4">
                  <c:v>Zrušenie max. VZ a RZSP</c:v>
                </c:pt>
                <c:pt idx="5">
                  <c:v>Interakcia opatrení</c:v>
                </c:pt>
                <c:pt idx="6">
                  <c:v>Celkovo</c:v>
                </c:pt>
              </c:strCache>
            </c:strRef>
          </c:cat>
          <c:val>
            <c:numRef>
              <c:f>'Graf 22 + 23'!$C$13:$C$19</c:f>
              <c:numCache>
                <c:formatCode>0.0</c:formatCode>
                <c:ptCount val="7"/>
                <c:pt idx="0">
                  <c:v>-2.6497789068267465</c:v>
                </c:pt>
                <c:pt idx="1">
                  <c:v>0.1274449379640874</c:v>
                </c:pt>
                <c:pt idx="2">
                  <c:v>0.63791110800300643</c:v>
                </c:pt>
                <c:pt idx="3">
                  <c:v>-0.47477543694295576</c:v>
                </c:pt>
                <c:pt idx="4">
                  <c:v>-0.12952706611562803</c:v>
                </c:pt>
                <c:pt idx="5">
                  <c:v>-9.7251818671603374E-2</c:v>
                </c:pt>
                <c:pt idx="6">
                  <c:v>-2.5859771825898399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9-4F40-AF7F-850C9A944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250328"/>
        <c:axId val="475250720"/>
      </c:barChart>
      <c:catAx>
        <c:axId val="47525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75250720"/>
        <c:crosses val="autoZero"/>
        <c:auto val="1"/>
        <c:lblAlgn val="ctr"/>
        <c:lblOffset val="100"/>
        <c:noMultiLvlLbl val="0"/>
      </c:catAx>
      <c:valAx>
        <c:axId val="475250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475250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750874890638675E-2"/>
          <c:y val="5.5989236111111111E-2"/>
          <c:w val="0.95282808398950136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22 + 23'!$C$12</c:f>
              <c:strCache>
                <c:ptCount val="1"/>
                <c:pt idx="0">
                  <c:v>S2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0E-7884-4C12-A6DC-73B5C21AFC27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F8CBAD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F-7884-4C12-A6DC-73B5C21AFC2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2C9ADC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7884-4C12-A6DC-73B5C21AFC27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D-7884-4C12-A6DC-73B5C21AFC2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22 + 23'!$B$13:$B$19</c:f>
              <c:strCache>
                <c:ptCount val="7"/>
                <c:pt idx="0">
                  <c:v>Linking retirement age to life expectancy</c:v>
                </c:pt>
                <c:pt idx="1">
                  <c:v>Early retirement after 40 years</c:v>
                </c:pt>
                <c:pt idx="2">
                  <c:v>Parental bonus</c:v>
                </c:pt>
                <c:pt idx="3">
                  <c:v>Decreased growth of the current pension point value</c:v>
                </c:pt>
                <c:pt idx="4">
                  <c:v>Abolition of the ceiling on contributions &amp; the annual settlement of social insurance</c:v>
                </c:pt>
                <c:pt idx="5">
                  <c:v>Interaction of measures</c:v>
                </c:pt>
                <c:pt idx="6">
                  <c:v>Overall effect</c:v>
                </c:pt>
              </c:strCache>
            </c:strRef>
          </c:cat>
          <c:val>
            <c:numRef>
              <c:f>'Graf 22 + 23'!$C$13:$C$19</c:f>
              <c:numCache>
                <c:formatCode>0.0</c:formatCode>
                <c:ptCount val="7"/>
                <c:pt idx="0">
                  <c:v>-2.6497789068267465</c:v>
                </c:pt>
                <c:pt idx="1">
                  <c:v>0.1274449379640874</c:v>
                </c:pt>
                <c:pt idx="2">
                  <c:v>0.63791110800300643</c:v>
                </c:pt>
                <c:pt idx="3">
                  <c:v>-0.47477543694295576</c:v>
                </c:pt>
                <c:pt idx="4">
                  <c:v>-0.12952706611562803</c:v>
                </c:pt>
                <c:pt idx="5">
                  <c:v>-9.7251818671603374E-2</c:v>
                </c:pt>
                <c:pt idx="6">
                  <c:v>-2.5859771825898399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4-4C12-A6DC-73B5C21AF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251504"/>
        <c:axId val="475251896"/>
      </c:barChart>
      <c:catAx>
        <c:axId val="4752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475251896"/>
        <c:crosses val="autoZero"/>
        <c:auto val="1"/>
        <c:lblAlgn val="ctr"/>
        <c:lblOffset val="100"/>
        <c:noMultiLvlLbl val="0"/>
      </c:catAx>
      <c:valAx>
        <c:axId val="475251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475251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 + 25'!$I$9</c:f>
              <c:strCache>
                <c:ptCount val="1"/>
                <c:pt idx="0">
                  <c:v>Dane a odvody (%)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24 + 25'!$L$6:$Q$6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24 + 25'!$L$9:$Q$9</c:f>
              <c:numCache>
                <c:formatCode>0%</c:formatCode>
                <c:ptCount val="6"/>
                <c:pt idx="0">
                  <c:v>5.846273797653212E-2</c:v>
                </c:pt>
                <c:pt idx="1">
                  <c:v>-1.4405937010186776E-3</c:v>
                </c:pt>
                <c:pt idx="2">
                  <c:v>5.2507665619411892E-2</c:v>
                </c:pt>
                <c:pt idx="3">
                  <c:v>7.2736257581635488E-2</c:v>
                </c:pt>
                <c:pt idx="4">
                  <c:v>7.0020789716834342E-2</c:v>
                </c:pt>
                <c:pt idx="5">
                  <c:v>3.261255615820291E-2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8-40EE-958F-D09F2B9D18CC}"/>
            </c:ext>
          </c:extLst>
        </c:ser>
        <c:ser>
          <c:idx val="5"/>
          <c:order val="1"/>
          <c:tx>
            <c:strRef>
              <c:f>'Graf 24 + 25'!$I$10</c:f>
              <c:strCache>
                <c:ptCount val="1"/>
                <c:pt idx="0">
                  <c:v>HDP (%)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24 + 25'!$L$6:$Q$6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24 + 25'!$L$10:$Q$10</c:f>
              <c:numCache>
                <c:formatCode>0%</c:formatCode>
                <c:ptCount val="6"/>
                <c:pt idx="0">
                  <c:v>5.1638152745163923E-2</c:v>
                </c:pt>
                <c:pt idx="1">
                  <c:v>-2.093611772711812E-2</c:v>
                </c:pt>
                <c:pt idx="2" formatCode="0.0%">
                  <c:v>5.8221744371680817E-2</c:v>
                </c:pt>
                <c:pt idx="3" formatCode="0.0%">
                  <c:v>8.3076765188834223E-2</c:v>
                </c:pt>
                <c:pt idx="4" formatCode="0.0%">
                  <c:v>7.9158572985265518E-2</c:v>
                </c:pt>
                <c:pt idx="5" formatCode="0.0%">
                  <c:v>2.8993142445714604E-2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8-40EE-958F-D09F2B9D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2680"/>
        <c:axId val="475253072"/>
      </c:lineChart>
      <c:catAx>
        <c:axId val="475252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253072"/>
        <c:crosses val="autoZero"/>
        <c:auto val="1"/>
        <c:lblAlgn val="ctr"/>
        <c:lblOffset val="100"/>
        <c:noMultiLvlLbl val="0"/>
      </c:catAx>
      <c:valAx>
        <c:axId val="4752530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2526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4474231043700183"/>
          <c:h val="0.128136482939632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 + 25'!$J$9</c:f>
              <c:strCache>
                <c:ptCount val="1"/>
                <c:pt idx="0">
                  <c:v>Taxes and Social contributions (%, y-o-y)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24 + 25'!$L$6:$Q$6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24 + 25'!$L$9:$Q$9</c:f>
              <c:numCache>
                <c:formatCode>0%</c:formatCode>
                <c:ptCount val="6"/>
                <c:pt idx="0">
                  <c:v>5.846273797653212E-2</c:v>
                </c:pt>
                <c:pt idx="1">
                  <c:v>-1.4405937010186776E-3</c:v>
                </c:pt>
                <c:pt idx="2">
                  <c:v>5.2507665619411892E-2</c:v>
                </c:pt>
                <c:pt idx="3">
                  <c:v>7.2736257581635488E-2</c:v>
                </c:pt>
                <c:pt idx="4">
                  <c:v>7.0020789716834342E-2</c:v>
                </c:pt>
                <c:pt idx="5">
                  <c:v>3.261255615820291E-2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2C6-9DA5-A634D5FC6CC7}"/>
            </c:ext>
          </c:extLst>
        </c:ser>
        <c:ser>
          <c:idx val="5"/>
          <c:order val="1"/>
          <c:tx>
            <c:strRef>
              <c:f>'Graf 24 + 25'!$J$10</c:f>
              <c:strCache>
                <c:ptCount val="1"/>
                <c:pt idx="0">
                  <c:v>GDP (%, y-o-y)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24 + 25'!$L$6:$Q$6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24 + 25'!$L$10:$Q$10</c:f>
              <c:numCache>
                <c:formatCode>0%</c:formatCode>
                <c:ptCount val="6"/>
                <c:pt idx="0">
                  <c:v>5.1638152745163923E-2</c:v>
                </c:pt>
                <c:pt idx="1">
                  <c:v>-2.093611772711812E-2</c:v>
                </c:pt>
                <c:pt idx="2" formatCode="0.0%">
                  <c:v>5.8221744371680817E-2</c:v>
                </c:pt>
                <c:pt idx="3" formatCode="0.0%">
                  <c:v>8.3076765188834223E-2</c:v>
                </c:pt>
                <c:pt idx="4" formatCode="0.0%">
                  <c:v>7.9158572985265518E-2</c:v>
                </c:pt>
                <c:pt idx="5" formatCode="0.0%">
                  <c:v>2.8993142445714604E-2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2C6-9DA5-A634D5FC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3856"/>
        <c:axId val="475254248"/>
      </c:lineChart>
      <c:catAx>
        <c:axId val="47525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254248"/>
        <c:crosses val="autoZero"/>
        <c:auto val="1"/>
        <c:lblAlgn val="ctr"/>
        <c:lblOffset val="100"/>
        <c:noMultiLvlLbl val="0"/>
      </c:catAx>
      <c:valAx>
        <c:axId val="47525424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2538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4474231043700183"/>
          <c:h val="0.128136482939632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1+2'!$J$9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1+2'!$L$7:$Q$7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1+2'!$L$9:$R$9</c:f>
              <c:numCache>
                <c:formatCode>0.0</c:formatCode>
                <c:ptCount val="7"/>
                <c:pt idx="0">
                  <c:v>2.2805001149225865</c:v>
                </c:pt>
                <c:pt idx="1">
                  <c:v>1.5004336246172412</c:v>
                </c:pt>
                <c:pt idx="2">
                  <c:v>-0.56561676129077687</c:v>
                </c:pt>
                <c:pt idx="3">
                  <c:v>0.12373731521296205</c:v>
                </c:pt>
                <c:pt idx="4">
                  <c:v>1.3534147838371042</c:v>
                </c:pt>
                <c:pt idx="5">
                  <c:v>1.9776658984428188</c:v>
                </c:pt>
                <c:pt idx="6">
                  <c:v>2.1364536692879219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D-456C-AE46-43B79A611F9D}"/>
            </c:ext>
          </c:extLst>
        </c:ser>
        <c:ser>
          <c:idx val="2"/>
          <c:order val="2"/>
          <c:tx>
            <c:strRef>
              <c:f>'Graf 1+2'!$J$10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1+2'!$L$7:$Q$7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1+2'!$L$10:$R$10</c:f>
              <c:numCache>
                <c:formatCode>0.0</c:formatCode>
                <c:ptCount val="7"/>
                <c:pt idx="0">
                  <c:v>1.7148104957413705E-2</c:v>
                </c:pt>
                <c:pt idx="1">
                  <c:v>0.81756022973607179</c:v>
                </c:pt>
                <c:pt idx="2">
                  <c:v>4.5722335219422421E-2</c:v>
                </c:pt>
                <c:pt idx="3">
                  <c:v>0.93703840384667847</c:v>
                </c:pt>
                <c:pt idx="4">
                  <c:v>0.78436114674398594</c:v>
                </c:pt>
                <c:pt idx="5">
                  <c:v>0.35281946859430002</c:v>
                </c:pt>
                <c:pt idx="6">
                  <c:v>-7.652141760233061E-2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D-456C-AE46-43B79A611F9D}"/>
            </c:ext>
          </c:extLst>
        </c:ser>
        <c:ser>
          <c:idx val="3"/>
          <c:order val="3"/>
          <c:tx>
            <c:strRef>
              <c:f>'Graf 1+2'!$J$11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1+2'!$L$7:$Q$7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1+2'!$L$11:$R$11</c:f>
              <c:numCache>
                <c:formatCode>0.0</c:formatCode>
                <c:ptCount val="7"/>
                <c:pt idx="0">
                  <c:v>0.57122687909435843</c:v>
                </c:pt>
                <c:pt idx="1">
                  <c:v>1.3782457942689599</c:v>
                </c:pt>
                <c:pt idx="2">
                  <c:v>-2.6097939234161767</c:v>
                </c:pt>
                <c:pt idx="3">
                  <c:v>-5.189821275357237E-2</c:v>
                </c:pt>
                <c:pt idx="4">
                  <c:v>3.2130317275813156</c:v>
                </c:pt>
                <c:pt idx="5">
                  <c:v>3.2865682560880884</c:v>
                </c:pt>
                <c:pt idx="6">
                  <c:v>-2.8807226279287632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D-456C-AE46-43B79A611F9D}"/>
            </c:ext>
          </c:extLst>
        </c:ser>
        <c:ser>
          <c:idx val="4"/>
          <c:order val="4"/>
          <c:tx>
            <c:strRef>
              <c:f>'Graf 1+2'!$J$12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1+2'!$L$7:$Q$7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1+2'!$L$12:$R$12</c:f>
              <c:numCache>
                <c:formatCode>0.0</c:formatCode>
                <c:ptCount val="7"/>
                <c:pt idx="0">
                  <c:v>0.37327639228089293</c:v>
                </c:pt>
                <c:pt idx="1">
                  <c:v>-1.1887289197734816</c:v>
                </c:pt>
                <c:pt idx="2">
                  <c:v>0.61087359508445116</c:v>
                </c:pt>
                <c:pt idx="3">
                  <c:v>-0.1285073348048032</c:v>
                </c:pt>
                <c:pt idx="4">
                  <c:v>-0.66285527316618742</c:v>
                </c:pt>
                <c:pt idx="5">
                  <c:v>-0.36015136651940988</c:v>
                </c:pt>
                <c:pt idx="6">
                  <c:v>1.5626460591283542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D-456C-AE46-43B79A611F9D}"/>
            </c:ext>
          </c:extLst>
        </c:ser>
        <c:ser>
          <c:idx val="5"/>
          <c:order val="5"/>
          <c:tx>
            <c:strRef>
              <c:f>'Graf 1+2'!$J$13</c:f>
              <c:strCache>
                <c:ptCount val="1"/>
                <c:pt idx="0">
                  <c:v>Zásoby a štat. disk.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1+2'!$L$7:$Q$7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1+2'!$L$13:$R$13</c:f>
              <c:numCache>
                <c:formatCode>0.0</c:formatCode>
                <c:ptCount val="7"/>
                <c:pt idx="0">
                  <c:v>0.4079718665243921</c:v>
                </c:pt>
                <c:pt idx="1">
                  <c:v>4.077412141715496E-3</c:v>
                </c:pt>
                <c:pt idx="2">
                  <c:v>-2.2355105866970235</c:v>
                </c:pt>
                <c:pt idx="3">
                  <c:v>2.791478264695745</c:v>
                </c:pt>
                <c:pt idx="4">
                  <c:v>-0.48227657945181152</c:v>
                </c:pt>
                <c:pt idx="5">
                  <c:v>-0.25946240753865341</c:v>
                </c:pt>
                <c:pt idx="6">
                  <c:v>-2.8282202059790665E-2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38928"/>
        <c:axId val="317239320"/>
      </c:barChart>
      <c:lineChart>
        <c:grouping val="standard"/>
        <c:varyColors val="0"/>
        <c:ser>
          <c:idx val="0"/>
          <c:order val="0"/>
          <c:tx>
            <c:strRef>
              <c:f>'Graf 1+2'!$J$8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3643927247905721E-2"/>
                  <c:y val="-8.7635767356261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AD-4D35-A736-4ED7C1D662E2}"/>
                </c:ext>
              </c:extLst>
            </c:dLbl>
            <c:dLbl>
              <c:idx val="2"/>
              <c:layout>
                <c:manualLayout>
                  <c:x val="-3.6673806808784064E-2"/>
                  <c:y val="6.1941980398742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D-4D35-A736-4ED7C1D662E2}"/>
                </c:ext>
              </c:extLst>
            </c:dLbl>
            <c:dLbl>
              <c:idx val="3"/>
              <c:layout>
                <c:manualLayout>
                  <c:x val="-3.3643927247905811E-2"/>
                  <c:y val="-5.2291803124225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AD-4D35-A736-4ED7C1D662E2}"/>
                </c:ext>
              </c:extLst>
            </c:dLbl>
            <c:dLbl>
              <c:idx val="4"/>
              <c:layout>
                <c:manualLayout>
                  <c:x val="-3.3643927247905811E-2"/>
                  <c:y val="-7.3160501444487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AD-4D35-A736-4ED7C1D662E2}"/>
                </c:ext>
              </c:extLst>
            </c:dLbl>
            <c:dLbl>
              <c:idx val="6"/>
              <c:layout>
                <c:manualLayout>
                  <c:x val="-3.3643927247905721E-2"/>
                  <c:y val="-0.15518700827787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AD-4D35-A736-4ED7C1D662E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1+2'!$L$7:$R$7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'Graf 1+2'!$L$8:$R$8</c:f>
              <c:numCache>
                <c:formatCode>0.0</c:formatCode>
                <c:ptCount val="7"/>
                <c:pt idx="0">
                  <c:v>3.6501233577796333</c:v>
                </c:pt>
                <c:pt idx="1">
                  <c:v>2.5115881409905283</c:v>
                </c:pt>
                <c:pt idx="2">
                  <c:v>-4.7543253411001078</c:v>
                </c:pt>
                <c:pt idx="3">
                  <c:v>3.6718484361970116</c:v>
                </c:pt>
                <c:pt idx="4">
                  <c:v>4.2056758055444288</c:v>
                </c:pt>
                <c:pt idx="5">
                  <c:v>4.997439849067109</c:v>
                </c:pt>
                <c:pt idx="6">
                  <c:v>0.71357348082539129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38928"/>
        <c:axId val="317239320"/>
      </c:lineChart>
      <c:catAx>
        <c:axId val="3172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317239320"/>
        <c:crosses val="autoZero"/>
        <c:auto val="1"/>
        <c:lblAlgn val="ctr"/>
        <c:lblOffset val="100"/>
        <c:noMultiLvlLbl val="0"/>
      </c:catAx>
      <c:valAx>
        <c:axId val="317239320"/>
        <c:scaling>
          <c:orientation val="minMax"/>
          <c:max val="8"/>
          <c:min val="-8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7238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 + 25'!$J$19</c:f>
              <c:strCache>
                <c:ptCount val="1"/>
                <c:pt idx="0">
                  <c:v>CIT adjusted for legislative changes (%, y-o-y)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24 + 25'!$M$16:$Y$16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24 + 25'!$M$19:$Y$19</c:f>
              <c:numCache>
                <c:formatCode>0%</c:formatCode>
                <c:ptCount val="13"/>
                <c:pt idx="0">
                  <c:v>-5.195112634003296E-4</c:v>
                </c:pt>
                <c:pt idx="1">
                  <c:v>-0.25039631326158318</c:v>
                </c:pt>
                <c:pt idx="2">
                  <c:v>0.17592127187942008</c:v>
                </c:pt>
                <c:pt idx="3">
                  <c:v>-1.5942182822207052E-2</c:v>
                </c:pt>
                <c:pt idx="4">
                  <c:v>6.2333382210839616E-3</c:v>
                </c:pt>
                <c:pt idx="5">
                  <c:v>4.9780385724106369E-2</c:v>
                </c:pt>
                <c:pt idx="6">
                  <c:v>0.1100863663357281</c:v>
                </c:pt>
                <c:pt idx="7">
                  <c:v>5.4243365722245196E-2</c:v>
                </c:pt>
                <c:pt idx="8">
                  <c:v>-1.8105797023777348E-2</c:v>
                </c:pt>
                <c:pt idx="9">
                  <c:v>0.10375925874292213</c:v>
                </c:pt>
                <c:pt idx="10">
                  <c:v>5.4776629482943928E-2</c:v>
                </c:pt>
                <c:pt idx="11">
                  <c:v>-1.6355711920893468E-3</c:v>
                </c:pt>
                <c:pt idx="12">
                  <c:v>1.0000000000000009E-2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AF7-B6A3-D7B1BAB867C4}"/>
            </c:ext>
          </c:extLst>
        </c:ser>
        <c:ser>
          <c:idx val="5"/>
          <c:order val="1"/>
          <c:tx>
            <c:strRef>
              <c:f>'Graf 24 + 25'!$J$20</c:f>
              <c:strCache>
                <c:ptCount val="1"/>
                <c:pt idx="0">
                  <c:v>GDP (%, y-o-y)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24 + 25'!$M$16:$Y$16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24 + 25'!$M$20:$Y$20</c:f>
              <c:numCache>
                <c:formatCode>0%</c:formatCode>
                <c:ptCount val="13"/>
                <c:pt idx="0">
                  <c:v>8.5922957350331952E-2</c:v>
                </c:pt>
                <c:pt idx="1">
                  <c:v>-6.5534042933679593E-2</c:v>
                </c:pt>
                <c:pt idx="2">
                  <c:v>6.3859893232161902E-2</c:v>
                </c:pt>
                <c:pt idx="3">
                  <c:v>4.5694656055086824E-2</c:v>
                </c:pt>
                <c:pt idx="4">
                  <c:v>3.185306275652211E-2</c:v>
                </c:pt>
                <c:pt idx="5">
                  <c:v>1.1865128000824399E-2</c:v>
                </c:pt>
                <c:pt idx="6">
                  <c:v>2.4460272421991558E-2</c:v>
                </c:pt>
                <c:pt idx="7">
                  <c:v>4.5860419797356666E-2</c:v>
                </c:pt>
                <c:pt idx="8">
                  <c:v>1.6095953488061587E-2</c:v>
                </c:pt>
                <c:pt idx="9">
                  <c:v>4.1843778854725455E-2</c:v>
                </c:pt>
                <c:pt idx="10">
                  <c:v>5.90575891429721E-2</c:v>
                </c:pt>
                <c:pt idx="11">
                  <c:v>5.1638152745163923E-2</c:v>
                </c:pt>
                <c:pt idx="12">
                  <c:v>-2.093611772711812E-2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AF7-B6A3-D7B1BAB8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5032"/>
        <c:axId val="475255424"/>
      </c:lineChart>
      <c:catAx>
        <c:axId val="475255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255424"/>
        <c:crosses val="autoZero"/>
        <c:auto val="1"/>
        <c:lblAlgn val="ctr"/>
        <c:lblOffset val="100"/>
        <c:noMultiLvlLbl val="0"/>
      </c:catAx>
      <c:valAx>
        <c:axId val="475255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2550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29746555874064129"/>
          <c:y val="5.4960002509646451E-2"/>
          <c:w val="0.54474231043700183"/>
          <c:h val="0.128136482939632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 + 25'!$I$19</c:f>
              <c:strCache>
                <c:ptCount val="1"/>
                <c:pt idx="0">
                  <c:v>DPPO očistené o legislatívu (%)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9.5617529880478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EC-4285-8AFC-4738580075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24 + 25'!$M$16:$Y$16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24 + 25'!$M$19:$Y$19</c:f>
              <c:numCache>
                <c:formatCode>0%</c:formatCode>
                <c:ptCount val="13"/>
                <c:pt idx="0">
                  <c:v>-5.195112634003296E-4</c:v>
                </c:pt>
                <c:pt idx="1">
                  <c:v>-0.25039631326158318</c:v>
                </c:pt>
                <c:pt idx="2">
                  <c:v>0.17592127187942008</c:v>
                </c:pt>
                <c:pt idx="3">
                  <c:v>-1.5942182822207052E-2</c:v>
                </c:pt>
                <c:pt idx="4">
                  <c:v>6.2333382210839616E-3</c:v>
                </c:pt>
                <c:pt idx="5">
                  <c:v>4.9780385724106369E-2</c:v>
                </c:pt>
                <c:pt idx="6">
                  <c:v>0.1100863663357281</c:v>
                </c:pt>
                <c:pt idx="7">
                  <c:v>5.4243365722245196E-2</c:v>
                </c:pt>
                <c:pt idx="8">
                  <c:v>-1.8105797023777348E-2</c:v>
                </c:pt>
                <c:pt idx="9">
                  <c:v>0.10375925874292213</c:v>
                </c:pt>
                <c:pt idx="10">
                  <c:v>5.4776629482943928E-2</c:v>
                </c:pt>
                <c:pt idx="11">
                  <c:v>-1.6355711920893468E-3</c:v>
                </c:pt>
                <c:pt idx="12">
                  <c:v>1.0000000000000009E-2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C-4285-8AFC-47385800754A}"/>
            </c:ext>
          </c:extLst>
        </c:ser>
        <c:ser>
          <c:idx val="5"/>
          <c:order val="1"/>
          <c:tx>
            <c:strRef>
              <c:f>'Graf 24 + 25'!$I$20</c:f>
              <c:strCache>
                <c:ptCount val="1"/>
                <c:pt idx="0">
                  <c:v>HDP (%)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3.6866359447004719E-2"/>
                  <c:y val="6.374501992031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C-4285-8AFC-4738580075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24 + 25'!$M$16:$Y$16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24 + 25'!$M$20:$Y$20</c:f>
              <c:numCache>
                <c:formatCode>0%</c:formatCode>
                <c:ptCount val="13"/>
                <c:pt idx="0">
                  <c:v>8.5922957350331952E-2</c:v>
                </c:pt>
                <c:pt idx="1">
                  <c:v>-6.5534042933679593E-2</c:v>
                </c:pt>
                <c:pt idx="2">
                  <c:v>6.3859893232161902E-2</c:v>
                </c:pt>
                <c:pt idx="3">
                  <c:v>4.5694656055086824E-2</c:v>
                </c:pt>
                <c:pt idx="4">
                  <c:v>3.185306275652211E-2</c:v>
                </c:pt>
                <c:pt idx="5">
                  <c:v>1.1865128000824399E-2</c:v>
                </c:pt>
                <c:pt idx="6">
                  <c:v>2.4460272421991558E-2</c:v>
                </c:pt>
                <c:pt idx="7">
                  <c:v>4.5860419797356666E-2</c:v>
                </c:pt>
                <c:pt idx="8">
                  <c:v>1.6095953488061587E-2</c:v>
                </c:pt>
                <c:pt idx="9">
                  <c:v>4.1843778854725455E-2</c:v>
                </c:pt>
                <c:pt idx="10">
                  <c:v>5.90575891429721E-2</c:v>
                </c:pt>
                <c:pt idx="11">
                  <c:v>5.1638152745163923E-2</c:v>
                </c:pt>
                <c:pt idx="12">
                  <c:v>-2.093611772711812E-2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C-4285-8AFC-47385800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6208"/>
        <c:axId val="475256600"/>
      </c:lineChart>
      <c:catAx>
        <c:axId val="475256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256600"/>
        <c:crosses val="autoZero"/>
        <c:auto val="1"/>
        <c:lblAlgn val="ctr"/>
        <c:lblOffset val="100"/>
        <c:noMultiLvlLbl val="0"/>
      </c:catAx>
      <c:valAx>
        <c:axId val="47525660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2562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29746555874064129"/>
          <c:y val="5.4960002509646451E-2"/>
          <c:w val="0.54474231043700183"/>
          <c:h val="0.128136482939632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51196317851569E-2"/>
          <c:y val="5.8062813407231462E-2"/>
          <c:w val="0.89663915199005906"/>
          <c:h val="0.80460969694702655"/>
        </c:manualLayout>
      </c:layout>
      <c:lineChart>
        <c:grouping val="standard"/>
        <c:varyColors val="0"/>
        <c:ser>
          <c:idx val="0"/>
          <c:order val="0"/>
          <c:tx>
            <c:strRef>
              <c:f>'Graf 26 + 27'!$B$32</c:f>
              <c:strCache>
                <c:ptCount val="1"/>
                <c:pt idx="0">
                  <c:v>Daňová medzera podľa MFSR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B-4012-8D30-52965B7763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D-46D2-BD81-FA46EA4F4A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D-46D2-BD81-FA46EA4F4A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DD-46D2-BD81-FA46EA4F4A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D-46D2-BD81-FA46EA4F4A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DD-46D2-BD81-FA46EA4F4A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DD-46D2-BD81-FA46EA4F4A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DD-46D2-BD81-FA46EA4F4A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DD-46D2-BD81-FA46EA4F4A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DD-46D2-BD81-FA46EA4F4A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DD-46D2-BD81-FA46EA4F4A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DD-46D2-BD81-FA46EA4F4A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DD-46D2-BD81-FA46EA4F4A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DD-46D2-BD81-FA46EA4F4AF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DD-46D2-BD81-FA46EA4F4AF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DD-46D2-BD81-FA46EA4F4AF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DD-46D2-BD81-FA46EA4F4AF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B-4012-8D30-52965B7763B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DD-46D2-BD81-FA46EA4F4AF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DD-46D2-BD81-FA46EA4F4AFC}"/>
                </c:ext>
              </c:extLst>
            </c:dLbl>
            <c:dLbl>
              <c:idx val="19"/>
              <c:layout>
                <c:manualLayout>
                  <c:x val="-0.22010807472595337"/>
                  <c:y val="1.918530813805813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67115523603038E-2"/>
                      <c:h val="9.5961995249406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72DD-46D2-BD81-FA46EA4F4AF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 + 27'!$D$31:$X$31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26 + 27'!$D$32:$X$32</c:f>
              <c:numCache>
                <c:formatCode>0.0</c:formatCode>
                <c:ptCount val="21"/>
                <c:pt idx="0">
                  <c:v>14.201650990176262</c:v>
                </c:pt>
                <c:pt idx="1">
                  <c:v>12.085520434564669</c:v>
                </c:pt>
                <c:pt idx="2">
                  <c:v>14.117555192084996</c:v>
                </c:pt>
                <c:pt idx="3">
                  <c:v>7.1763258197170554</c:v>
                </c:pt>
                <c:pt idx="4">
                  <c:v>17.076638613269019</c:v>
                </c:pt>
                <c:pt idx="5">
                  <c:v>13.929338744767838</c:v>
                </c:pt>
                <c:pt idx="6">
                  <c:v>19.552952038486826</c:v>
                </c:pt>
                <c:pt idx="7">
                  <c:v>25.054960881193605</c:v>
                </c:pt>
                <c:pt idx="8">
                  <c:v>25.486754657056409</c:v>
                </c:pt>
                <c:pt idx="9">
                  <c:v>28.680593125243036</c:v>
                </c:pt>
                <c:pt idx="10">
                  <c:v>29.416538341070304</c:v>
                </c:pt>
                <c:pt idx="11">
                  <c:v>29.940692342018068</c:v>
                </c:pt>
                <c:pt idx="12">
                  <c:v>35.168830205623557</c:v>
                </c:pt>
                <c:pt idx="13">
                  <c:v>30.800197828792236</c:v>
                </c:pt>
                <c:pt idx="14">
                  <c:v>26.716157581540838</c:v>
                </c:pt>
                <c:pt idx="15">
                  <c:v>25.994105892252122</c:v>
                </c:pt>
                <c:pt idx="16">
                  <c:v>22.481820402936535</c:v>
                </c:pt>
                <c:pt idx="17">
                  <c:v>21.323971633291087</c:v>
                </c:pt>
                <c:pt idx="18">
                  <c:v>20.071957131815868</c:v>
                </c:pt>
                <c:pt idx="19">
                  <c:v>16.872834522091281</c:v>
                </c:pt>
                <c:pt idx="20">
                  <c:v>16.631187751258683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3B-4012-8D30-52965B7763B3}"/>
            </c:ext>
          </c:extLst>
        </c:ser>
        <c:ser>
          <c:idx val="1"/>
          <c:order val="1"/>
          <c:tx>
            <c:strRef>
              <c:f>'Graf 26 + 27'!$B$33</c:f>
              <c:strCache>
                <c:ptCount val="1"/>
                <c:pt idx="0">
                  <c:v>Daňová medzera podľa EK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72DD-46D2-BD81-FA46EA4F4AFC}"/>
              </c:ext>
            </c:extLst>
          </c:dPt>
          <c:cat>
            <c:numRef>
              <c:f>'Graf 26 + 27'!$D$31:$X$31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26 + 27'!$D$33:$W$33</c:f>
              <c:numCache>
                <c:formatCode>0.0</c:formatCode>
                <c:ptCount val="20"/>
                <c:pt idx="12">
                  <c:v>36.700000000000003</c:v>
                </c:pt>
                <c:pt idx="13">
                  <c:v>31.4</c:v>
                </c:pt>
                <c:pt idx="14">
                  <c:v>29.599999999999998</c:v>
                </c:pt>
                <c:pt idx="15">
                  <c:v>25.003832578659058</c:v>
                </c:pt>
                <c:pt idx="16">
                  <c:v>20.046278834342957</c:v>
                </c:pt>
                <c:pt idx="17">
                  <c:v>16.930367052555084</c:v>
                </c:pt>
                <c:pt idx="18">
                  <c:v>18.29</c:v>
                </c:pt>
                <c:pt idx="19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3B-4012-8D30-52965B7763B3}"/>
            </c:ext>
          </c:extLst>
        </c:ser>
        <c:ser>
          <c:idx val="2"/>
          <c:order val="2"/>
          <c:tx>
            <c:strRef>
              <c:f>'Graf 26 + 27'!$B$34</c:f>
              <c:strCache>
                <c:ptCount val="1"/>
                <c:pt idx="0">
                  <c:v>Priemerná medzera v EÚ podľa EK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72DD-46D2-BD81-FA46EA4F4AFC}"/>
              </c:ext>
            </c:extLst>
          </c:dPt>
          <c:dLbls>
            <c:dLbl>
              <c:idx val="19"/>
              <c:layout>
                <c:manualLayout>
                  <c:x val="-1.2882447665056243E-2"/>
                  <c:y val="-9.67702377806745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DD-46D2-BD81-FA46EA4F4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 + 27'!$D$31:$X$31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26 + 27'!$D$34:$W$34</c:f>
              <c:numCache>
                <c:formatCode>0</c:formatCode>
                <c:ptCount val="20"/>
                <c:pt idx="13" formatCode="0.0">
                  <c:v>15</c:v>
                </c:pt>
                <c:pt idx="14" formatCode="0.0">
                  <c:v>14.3</c:v>
                </c:pt>
                <c:pt idx="15" formatCode="0.0">
                  <c:v>13.02</c:v>
                </c:pt>
                <c:pt idx="16" formatCode="0.0">
                  <c:v>12.3</c:v>
                </c:pt>
                <c:pt idx="17" formatCode="0.0">
                  <c:v>12</c:v>
                </c:pt>
                <c:pt idx="18" formatCode="0.0">
                  <c:v>11.3</c:v>
                </c:pt>
                <c:pt idx="19" formatCode="0.0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2DD-46D2-BD81-FA46EA4F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7384"/>
        <c:axId val="475257776"/>
      </c:lineChart>
      <c:catAx>
        <c:axId val="47525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5257776"/>
        <c:crosses val="autoZero"/>
        <c:auto val="1"/>
        <c:lblAlgn val="ctr"/>
        <c:lblOffset val="100"/>
        <c:noMultiLvlLbl val="0"/>
      </c:catAx>
      <c:valAx>
        <c:axId val="475257776"/>
        <c:scaling>
          <c:orientation val="minMax"/>
          <c:min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7525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7922071335285989E-2"/>
          <c:y val="2.5263766019746343E-2"/>
          <c:w val="0.91356029771640868"/>
          <c:h val="0.27350868552357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1571011956838726"/>
        </c:manualLayout>
      </c:layout>
      <c:lineChart>
        <c:grouping val="standard"/>
        <c:varyColors val="0"/>
        <c:ser>
          <c:idx val="3"/>
          <c:order val="0"/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26 + 27'!$D$25:$BI$25</c:f>
              <c:strCache>
                <c:ptCount val="58"/>
                <c:pt idx="0">
                  <c:v>Q1_2007</c:v>
                </c:pt>
                <c:pt idx="1">
                  <c:v>Q2_2007</c:v>
                </c:pt>
                <c:pt idx="2">
                  <c:v>Q3_2007</c:v>
                </c:pt>
                <c:pt idx="3">
                  <c:v>Q4_2007</c:v>
                </c:pt>
                <c:pt idx="4">
                  <c:v>Q1_2008</c:v>
                </c:pt>
                <c:pt idx="5">
                  <c:v>Q2_2008</c:v>
                </c:pt>
                <c:pt idx="6">
                  <c:v>Q3_2008</c:v>
                </c:pt>
                <c:pt idx="7">
                  <c:v>Q4_2008</c:v>
                </c:pt>
                <c:pt idx="8">
                  <c:v>Q1_2009</c:v>
                </c:pt>
                <c:pt idx="9">
                  <c:v>Q2_2009</c:v>
                </c:pt>
                <c:pt idx="10">
                  <c:v>Q3_2009</c:v>
                </c:pt>
                <c:pt idx="11">
                  <c:v>Q4_2009</c:v>
                </c:pt>
                <c:pt idx="12">
                  <c:v>Q1_2010</c:v>
                </c:pt>
                <c:pt idx="13">
                  <c:v>Q2_2010</c:v>
                </c:pt>
                <c:pt idx="14">
                  <c:v>Q3_2010</c:v>
                </c:pt>
                <c:pt idx="15">
                  <c:v>Q4_2010</c:v>
                </c:pt>
                <c:pt idx="16">
                  <c:v>Q1_2011</c:v>
                </c:pt>
                <c:pt idx="17">
                  <c:v>Q2_2011</c:v>
                </c:pt>
                <c:pt idx="18">
                  <c:v>Q3_2011</c:v>
                </c:pt>
                <c:pt idx="19">
                  <c:v>Q4_2011</c:v>
                </c:pt>
                <c:pt idx="20">
                  <c:v>Q1_2012</c:v>
                </c:pt>
                <c:pt idx="21">
                  <c:v>Q2_2012</c:v>
                </c:pt>
                <c:pt idx="22">
                  <c:v>Q3_2012</c:v>
                </c:pt>
                <c:pt idx="23">
                  <c:v>Q4_2012</c:v>
                </c:pt>
                <c:pt idx="24">
                  <c:v>Q1_2013</c:v>
                </c:pt>
                <c:pt idx="25">
                  <c:v>Q2_2013</c:v>
                </c:pt>
                <c:pt idx="26">
                  <c:v>Q3_2013</c:v>
                </c:pt>
                <c:pt idx="27">
                  <c:v>Q4_2013</c:v>
                </c:pt>
                <c:pt idx="28">
                  <c:v>Q1_2014</c:v>
                </c:pt>
                <c:pt idx="29">
                  <c:v>Q2_2014</c:v>
                </c:pt>
                <c:pt idx="30">
                  <c:v>Q3_2014</c:v>
                </c:pt>
                <c:pt idx="31">
                  <c:v>Q4_2014</c:v>
                </c:pt>
                <c:pt idx="32">
                  <c:v>Q1_2015</c:v>
                </c:pt>
                <c:pt idx="33">
                  <c:v>Q2_2015</c:v>
                </c:pt>
                <c:pt idx="34">
                  <c:v>Q3_2015</c:v>
                </c:pt>
                <c:pt idx="35">
                  <c:v>Q4_2015</c:v>
                </c:pt>
                <c:pt idx="36">
                  <c:v>Q1_2016</c:v>
                </c:pt>
                <c:pt idx="37">
                  <c:v>Q2_2016</c:v>
                </c:pt>
                <c:pt idx="38">
                  <c:v>Q3_2016</c:v>
                </c:pt>
                <c:pt idx="39">
                  <c:v>Q4_2016</c:v>
                </c:pt>
                <c:pt idx="40">
                  <c:v>Q1_2017</c:v>
                </c:pt>
                <c:pt idx="41">
                  <c:v>Q2_2017</c:v>
                </c:pt>
                <c:pt idx="42">
                  <c:v>Q3_2017</c:v>
                </c:pt>
                <c:pt idx="43">
                  <c:v>Q4_2017</c:v>
                </c:pt>
                <c:pt idx="44">
                  <c:v>Q1_2018</c:v>
                </c:pt>
                <c:pt idx="45">
                  <c:v>Q2_2018</c:v>
                </c:pt>
                <c:pt idx="46">
                  <c:v>Q3_2018</c:v>
                </c:pt>
                <c:pt idx="47">
                  <c:v>Q4_2018</c:v>
                </c:pt>
                <c:pt idx="48">
                  <c:v>Q1_2019</c:v>
                </c:pt>
                <c:pt idx="49">
                  <c:v>Q2_2019</c:v>
                </c:pt>
                <c:pt idx="50">
                  <c:v>Q3_2019</c:v>
                </c:pt>
                <c:pt idx="51">
                  <c:v>Q4_2019</c:v>
                </c:pt>
                <c:pt idx="52">
                  <c:v>Q1_2020</c:v>
                </c:pt>
                <c:pt idx="53">
                  <c:v>Q2_2020</c:v>
                </c:pt>
                <c:pt idx="54">
                  <c:v>Q3_2020</c:v>
                </c:pt>
                <c:pt idx="55">
                  <c:v>Q4_2020</c:v>
                </c:pt>
                <c:pt idx="56">
                  <c:v>Q1_2021</c:v>
                </c:pt>
                <c:pt idx="57">
                  <c:v>Q2_2021</c:v>
                </c:pt>
              </c:strCache>
            </c:strRef>
          </c:cat>
          <c:val>
            <c:numRef>
              <c:f>'Graf 26 + 27'!$D$26:$BI$26</c:f>
              <c:numCache>
                <c:formatCode>0.0%</c:formatCode>
                <c:ptCount val="58"/>
                <c:pt idx="0">
                  <c:v>0.15454908792892164</c:v>
                </c:pt>
                <c:pt idx="1">
                  <c:v>0.15783771900490529</c:v>
                </c:pt>
                <c:pt idx="2">
                  <c:v>0.15510699229705158</c:v>
                </c:pt>
                <c:pt idx="3">
                  <c:v>0.15613030464805988</c:v>
                </c:pt>
                <c:pt idx="4">
                  <c:v>0.15263156790172888</c:v>
                </c:pt>
                <c:pt idx="5">
                  <c:v>0.14921957360304161</c:v>
                </c:pt>
                <c:pt idx="6">
                  <c:v>0.1533808750502616</c:v>
                </c:pt>
                <c:pt idx="7">
                  <c:v>0.15453200732972397</c:v>
                </c:pt>
                <c:pt idx="8">
                  <c:v>0.13944426864012341</c:v>
                </c:pt>
                <c:pt idx="9">
                  <c:v>0.13739909019676555</c:v>
                </c:pt>
                <c:pt idx="10">
                  <c:v>0.14063297141624931</c:v>
                </c:pt>
                <c:pt idx="11">
                  <c:v>0.1440852126146146</c:v>
                </c:pt>
                <c:pt idx="12">
                  <c:v>0.13790152332841399</c:v>
                </c:pt>
                <c:pt idx="13">
                  <c:v>0.14045398315860563</c:v>
                </c:pt>
                <c:pt idx="14">
                  <c:v>0.14045243233080373</c:v>
                </c:pt>
                <c:pt idx="15">
                  <c:v>0.13340562127577815</c:v>
                </c:pt>
                <c:pt idx="16">
                  <c:v>0.13930127614553225</c:v>
                </c:pt>
                <c:pt idx="17">
                  <c:v>0.13342995700127472</c:v>
                </c:pt>
                <c:pt idx="18">
                  <c:v>0.13538261703324653</c:v>
                </c:pt>
                <c:pt idx="19">
                  <c:v>0.1304939972395037</c:v>
                </c:pt>
                <c:pt idx="20">
                  <c:v>0.13061137633390371</c:v>
                </c:pt>
                <c:pt idx="21">
                  <c:v>0.12620488297813642</c:v>
                </c:pt>
                <c:pt idx="22">
                  <c:v>0.12355789300646708</c:v>
                </c:pt>
                <c:pt idx="23">
                  <c:v>0.12683103955032912</c:v>
                </c:pt>
                <c:pt idx="24">
                  <c:v>0.12849182240334153</c:v>
                </c:pt>
                <c:pt idx="25">
                  <c:v>0.13615709374982862</c:v>
                </c:pt>
                <c:pt idx="26">
                  <c:v>0.13569281862576266</c:v>
                </c:pt>
                <c:pt idx="27">
                  <c:v>0.13519687549927412</c:v>
                </c:pt>
                <c:pt idx="28">
                  <c:v>0.14540558586577654</c:v>
                </c:pt>
                <c:pt idx="29">
                  <c:v>0.1441345552815104</c:v>
                </c:pt>
                <c:pt idx="30">
                  <c:v>0.14246037416740329</c:v>
                </c:pt>
                <c:pt idx="31">
                  <c:v>0.14589037861413351</c:v>
                </c:pt>
                <c:pt idx="32">
                  <c:v>0.14809673938945336</c:v>
                </c:pt>
                <c:pt idx="33">
                  <c:v>0.14625585215628412</c:v>
                </c:pt>
                <c:pt idx="34">
                  <c:v>0.14725440903014211</c:v>
                </c:pt>
                <c:pt idx="35">
                  <c:v>0.14283419216020882</c:v>
                </c:pt>
                <c:pt idx="36">
                  <c:v>0.14849697075397211</c:v>
                </c:pt>
                <c:pt idx="37">
                  <c:v>0.152138940648297</c:v>
                </c:pt>
                <c:pt idx="38">
                  <c:v>0.15188222483241887</c:v>
                </c:pt>
                <c:pt idx="39">
                  <c:v>0.15437805435882404</c:v>
                </c:pt>
                <c:pt idx="40">
                  <c:v>0.15198122442014445</c:v>
                </c:pt>
                <c:pt idx="41">
                  <c:v>0.15032499221409046</c:v>
                </c:pt>
                <c:pt idx="42">
                  <c:v>0.15255658307967213</c:v>
                </c:pt>
                <c:pt idx="43">
                  <c:v>0.16154564390202208</c:v>
                </c:pt>
                <c:pt idx="44">
                  <c:v>0.15211778270083401</c:v>
                </c:pt>
                <c:pt idx="45">
                  <c:v>0.15575568673627357</c:v>
                </c:pt>
                <c:pt idx="46">
                  <c:v>0.15234989266053597</c:v>
                </c:pt>
                <c:pt idx="47">
                  <c:v>0.15383418389895603</c:v>
                </c:pt>
                <c:pt idx="48">
                  <c:v>0.15714526446585636</c:v>
                </c:pt>
                <c:pt idx="49">
                  <c:v>0.15560121172544406</c:v>
                </c:pt>
                <c:pt idx="50">
                  <c:v>0.15907312346336649</c:v>
                </c:pt>
                <c:pt idx="51">
                  <c:v>0.1587062410406419</c:v>
                </c:pt>
                <c:pt idx="52">
                  <c:v>0.15450266501610163</c:v>
                </c:pt>
                <c:pt idx="53">
                  <c:v>0.14944864882487555</c:v>
                </c:pt>
                <c:pt idx="54">
                  <c:v>0.15776609244255638</c:v>
                </c:pt>
                <c:pt idx="55">
                  <c:v>0.1586278527992083</c:v>
                </c:pt>
                <c:pt idx="56">
                  <c:v>0.15931729397116906</c:v>
                </c:pt>
                <c:pt idx="57">
                  <c:v>0.16247410366036921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7-4D1C-A05D-A527494E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8560"/>
        <c:axId val="475258952"/>
      </c:lineChart>
      <c:catAx>
        <c:axId val="47525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475258952"/>
        <c:crosses val="autoZero"/>
        <c:auto val="1"/>
        <c:lblAlgn val="ctr"/>
        <c:lblOffset val="100"/>
        <c:noMultiLvlLbl val="0"/>
      </c:catAx>
      <c:valAx>
        <c:axId val="475258952"/>
        <c:scaling>
          <c:orientation val="minMax"/>
          <c:min val="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258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68332332354953007"/>
        </c:manualLayout>
      </c:layout>
      <c:lineChart>
        <c:grouping val="standard"/>
        <c:varyColors val="0"/>
        <c:ser>
          <c:idx val="3"/>
          <c:order val="0"/>
          <c:tx>
            <c:strRef>
              <c:f>'Graf 28'!$J$10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28'!$L$10:$Z$10</c:f>
              <c:numCache>
                <c:formatCode>#\ ##0.0</c:formatCode>
                <c:ptCount val="15"/>
                <c:pt idx="0">
                  <c:v>42.5</c:v>
                </c:pt>
                <c:pt idx="1">
                  <c:v>41.6</c:v>
                </c:pt>
                <c:pt idx="2">
                  <c:v>41.1</c:v>
                </c:pt>
                <c:pt idx="3">
                  <c:v>42.5</c:v>
                </c:pt>
                <c:pt idx="4">
                  <c:v>43.3</c:v>
                </c:pt>
                <c:pt idx="5">
                  <c:v>45.8</c:v>
                </c:pt>
                <c:pt idx="6">
                  <c:v>42.7</c:v>
                </c:pt>
                <c:pt idx="7">
                  <c:v>41.3</c:v>
                </c:pt>
                <c:pt idx="8">
                  <c:v>41.7</c:v>
                </c:pt>
                <c:pt idx="9">
                  <c:v>42.7</c:v>
                </c:pt>
                <c:pt idx="10">
                  <c:v>48</c:v>
                </c:pt>
                <c:pt idx="11">
                  <c:v>49.805881314288854</c:v>
                </c:pt>
                <c:pt idx="12">
                  <c:v>46.796933849445502</c:v>
                </c:pt>
                <c:pt idx="13" formatCode="0.0">
                  <c:v>45.267416465684491</c:v>
                </c:pt>
                <c:pt idx="14" formatCode="0.0">
                  <c:v>43.937578240420017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D-4A3D-AEDC-F932A094D373}"/>
            </c:ext>
          </c:extLst>
        </c:ser>
        <c:ser>
          <c:idx val="5"/>
          <c:order val="1"/>
          <c:tx>
            <c:strRef>
              <c:f>'Graf 28'!$J$11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28'!$L$11:$V$11</c:f>
              <c:numCache>
                <c:formatCode>#\ ##0.0</c:formatCode>
                <c:ptCount val="11"/>
                <c:pt idx="0">
                  <c:v>46.1</c:v>
                </c:pt>
                <c:pt idx="1">
                  <c:v>45.466666666666669</c:v>
                </c:pt>
                <c:pt idx="2">
                  <c:v>45.666666666666664</c:v>
                </c:pt>
                <c:pt idx="3">
                  <c:v>45.300000000000004</c:v>
                </c:pt>
                <c:pt idx="4">
                  <c:v>45.1</c:v>
                </c:pt>
                <c:pt idx="5">
                  <c:v>44.666666666666664</c:v>
                </c:pt>
                <c:pt idx="6">
                  <c:v>42.566666666666663</c:v>
                </c:pt>
                <c:pt idx="7">
                  <c:v>42.266666666666666</c:v>
                </c:pt>
                <c:pt idx="8">
                  <c:v>42.666666666666664</c:v>
                </c:pt>
                <c:pt idx="9">
                  <c:v>42.966666666666661</c:v>
                </c:pt>
                <c:pt idx="10">
                  <c:v>49.266666666666673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D-4A3D-AEDC-F932A094D373}"/>
            </c:ext>
          </c:extLst>
        </c:ser>
        <c:ser>
          <c:idx val="0"/>
          <c:order val="2"/>
          <c:tx>
            <c:strRef>
              <c:f>'Graf 28'!$J$9</c:f>
              <c:strCache>
                <c:ptCount val="1"/>
                <c:pt idx="0">
                  <c:v>Eurozóna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00-E723-47A5-8B25-BF59C9714959}"/>
              </c:ext>
            </c:extLst>
          </c:dPt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28'!$L$9:$V$9</c:f>
              <c:numCache>
                <c:formatCode>#\ ##0.0</c:formatCode>
                <c:ptCount val="11"/>
                <c:pt idx="0">
                  <c:v>50.9</c:v>
                </c:pt>
                <c:pt idx="1">
                  <c:v>49.4</c:v>
                </c:pt>
                <c:pt idx="2">
                  <c:v>50</c:v>
                </c:pt>
                <c:pt idx="3">
                  <c:v>49.9</c:v>
                </c:pt>
                <c:pt idx="4">
                  <c:v>49.3</c:v>
                </c:pt>
                <c:pt idx="5">
                  <c:v>48.4</c:v>
                </c:pt>
                <c:pt idx="6">
                  <c:v>47.7</c:v>
                </c:pt>
                <c:pt idx="7">
                  <c:v>47.1</c:v>
                </c:pt>
                <c:pt idx="8">
                  <c:v>46.9</c:v>
                </c:pt>
                <c:pt idx="9">
                  <c:v>47</c:v>
                </c:pt>
                <c:pt idx="10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7D-4A3D-AEDC-F932A094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59736"/>
        <c:axId val="475260128"/>
      </c:lineChart>
      <c:catAx>
        <c:axId val="475259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75260128"/>
        <c:crosses val="autoZero"/>
        <c:auto val="1"/>
        <c:lblAlgn val="ctr"/>
        <c:lblOffset val="100"/>
        <c:noMultiLvlLbl val="0"/>
      </c:catAx>
      <c:valAx>
        <c:axId val="475260128"/>
        <c:scaling>
          <c:orientation val="minMax"/>
          <c:min val="39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52597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657706575095611"/>
          <c:y val="4.3455209331957748E-2"/>
          <c:w val="0.36353867586792593"/>
          <c:h val="0.23924788425618904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68242085256584306"/>
        </c:manualLayout>
      </c:layout>
      <c:lineChart>
        <c:grouping val="standard"/>
        <c:varyColors val="0"/>
        <c:ser>
          <c:idx val="3"/>
          <c:order val="0"/>
          <c:tx>
            <c:strRef>
              <c:f>'Graf 28'!$K$10</c:f>
              <c:strCache>
                <c:ptCount val="1"/>
                <c:pt idx="0">
                  <c:v>Slovakia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28'!$L$10:$Z$10</c:f>
              <c:numCache>
                <c:formatCode>#\ ##0.0</c:formatCode>
                <c:ptCount val="15"/>
                <c:pt idx="0">
                  <c:v>42.5</c:v>
                </c:pt>
                <c:pt idx="1">
                  <c:v>41.6</c:v>
                </c:pt>
                <c:pt idx="2">
                  <c:v>41.1</c:v>
                </c:pt>
                <c:pt idx="3">
                  <c:v>42.5</c:v>
                </c:pt>
                <c:pt idx="4">
                  <c:v>43.3</c:v>
                </c:pt>
                <c:pt idx="5">
                  <c:v>45.8</c:v>
                </c:pt>
                <c:pt idx="6">
                  <c:v>42.7</c:v>
                </c:pt>
                <c:pt idx="7">
                  <c:v>41.3</c:v>
                </c:pt>
                <c:pt idx="8">
                  <c:v>41.7</c:v>
                </c:pt>
                <c:pt idx="9">
                  <c:v>42.7</c:v>
                </c:pt>
                <c:pt idx="10">
                  <c:v>48</c:v>
                </c:pt>
                <c:pt idx="11">
                  <c:v>49.805881314288854</c:v>
                </c:pt>
                <c:pt idx="12">
                  <c:v>46.796933849445502</c:v>
                </c:pt>
                <c:pt idx="13" formatCode="0.0">
                  <c:v>45.267416465684491</c:v>
                </c:pt>
                <c:pt idx="14" formatCode="0.0">
                  <c:v>43.937578240420017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D-4A3D-AEDC-F932A094D373}"/>
            </c:ext>
          </c:extLst>
        </c:ser>
        <c:ser>
          <c:idx val="5"/>
          <c:order val="1"/>
          <c:tx>
            <c:strRef>
              <c:f>'Graf 28'!$K$11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28'!$L$11:$V$11</c:f>
              <c:numCache>
                <c:formatCode>#\ ##0.0</c:formatCode>
                <c:ptCount val="11"/>
                <c:pt idx="0">
                  <c:v>46.1</c:v>
                </c:pt>
                <c:pt idx="1">
                  <c:v>45.466666666666669</c:v>
                </c:pt>
                <c:pt idx="2">
                  <c:v>45.666666666666664</c:v>
                </c:pt>
                <c:pt idx="3">
                  <c:v>45.300000000000004</c:v>
                </c:pt>
                <c:pt idx="4">
                  <c:v>45.1</c:v>
                </c:pt>
                <c:pt idx="5">
                  <c:v>44.666666666666664</c:v>
                </c:pt>
                <c:pt idx="6">
                  <c:v>42.566666666666663</c:v>
                </c:pt>
                <c:pt idx="7">
                  <c:v>42.266666666666666</c:v>
                </c:pt>
                <c:pt idx="8">
                  <c:v>42.666666666666664</c:v>
                </c:pt>
                <c:pt idx="9">
                  <c:v>42.966666666666661</c:v>
                </c:pt>
                <c:pt idx="10">
                  <c:v>49.266666666666673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D-4A3D-AEDC-F932A094D373}"/>
            </c:ext>
          </c:extLst>
        </c:ser>
        <c:ser>
          <c:idx val="0"/>
          <c:order val="2"/>
          <c:tx>
            <c:strRef>
              <c:f>'Graf 28'!$K$9</c:f>
              <c:strCache>
                <c:ptCount val="1"/>
                <c:pt idx="0">
                  <c:v>Eurozone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00-6FD2-447E-8044-51467930F3B6}"/>
              </c:ext>
            </c:extLst>
          </c:dPt>
          <c:cat>
            <c:strRef>
              <c:f>'Graf 28'!$L$8:$Z$8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 OS</c:v>
                </c:pt>
                <c:pt idx="12">
                  <c:v>2022 N</c:v>
                </c:pt>
                <c:pt idx="13">
                  <c:v>2023 N</c:v>
                </c:pt>
                <c:pt idx="14">
                  <c:v>2024 N</c:v>
                </c:pt>
              </c:strCache>
            </c:strRef>
          </c:cat>
          <c:val>
            <c:numRef>
              <c:f>'Graf 28'!$L$9:$V$9</c:f>
              <c:numCache>
                <c:formatCode>#\ ##0.0</c:formatCode>
                <c:ptCount val="11"/>
                <c:pt idx="0">
                  <c:v>50.9</c:v>
                </c:pt>
                <c:pt idx="1">
                  <c:v>49.4</c:v>
                </c:pt>
                <c:pt idx="2">
                  <c:v>50</c:v>
                </c:pt>
                <c:pt idx="3">
                  <c:v>49.9</c:v>
                </c:pt>
                <c:pt idx="4">
                  <c:v>49.3</c:v>
                </c:pt>
                <c:pt idx="5">
                  <c:v>48.4</c:v>
                </c:pt>
                <c:pt idx="6">
                  <c:v>47.7</c:v>
                </c:pt>
                <c:pt idx="7">
                  <c:v>47.1</c:v>
                </c:pt>
                <c:pt idx="8">
                  <c:v>46.9</c:v>
                </c:pt>
                <c:pt idx="9">
                  <c:v>47</c:v>
                </c:pt>
                <c:pt idx="10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7D-4A3D-AEDC-F932A094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260912"/>
        <c:axId val="475261304"/>
      </c:lineChart>
      <c:catAx>
        <c:axId val="47526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75261304"/>
        <c:crosses val="autoZero"/>
        <c:auto val="1"/>
        <c:lblAlgn val="ctr"/>
        <c:lblOffset val="100"/>
        <c:noMultiLvlLbl val="0"/>
      </c:catAx>
      <c:valAx>
        <c:axId val="475261304"/>
        <c:scaling>
          <c:orientation val="minMax"/>
          <c:min val="39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752609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56238201174797"/>
          <c:y val="3.2417089677071333E-2"/>
          <c:w val="0.32732197856877426"/>
          <c:h val="0.26178988840901801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4766611620356294"/>
        </c:manualLayout>
      </c:layout>
      <c:areaChart>
        <c:grouping val="stacked"/>
        <c:varyColors val="0"/>
        <c:ser>
          <c:idx val="3"/>
          <c:order val="0"/>
          <c:tx>
            <c:strRef>
              <c:f>'Graf 29'!$M$8</c:f>
              <c:strCache>
                <c:ptCount val="1"/>
                <c:pt idx="0">
                  <c:v>spodná hranica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29'!$O$8:$T$8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3.3802411251280731</c:v>
                </c:pt>
                <c:pt idx="3">
                  <c:v>5.4943146671448684</c:v>
                </c:pt>
                <c:pt idx="4">
                  <c:v>4.9224431989896944</c:v>
                </c:pt>
                <c:pt idx="5">
                  <c:v>4.1465269080821221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4-4728-9B15-80B17FB036D7}"/>
            </c:ext>
          </c:extLst>
        </c:ser>
        <c:ser>
          <c:idx val="5"/>
          <c:order val="1"/>
          <c:tx>
            <c:strRef>
              <c:f>'Graf 29'!$M$9</c:f>
              <c:strCache>
                <c:ptCount val="1"/>
                <c:pt idx="0">
                  <c:v>25. percentil</c:v>
                </c:pt>
              </c:strCache>
            </c:strRef>
          </c:tx>
          <c:spPr>
            <a:solidFill>
              <a:srgbClr val="A2D2F0"/>
            </a:solidFill>
            <a:ln w="28575">
              <a:noFill/>
            </a:ln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29'!$O$9:$T$9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0.62654813234799978</c:v>
                </c:pt>
                <c:pt idx="3">
                  <c:v>0.28313099414060172</c:v>
                </c:pt>
                <c:pt idx="4">
                  <c:v>0.16288929312127109</c:v>
                </c:pt>
                <c:pt idx="5">
                  <c:v>0.42190908196754862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4-4728-9B15-80B17FB036D7}"/>
            </c:ext>
          </c:extLst>
        </c:ser>
        <c:ser>
          <c:idx val="4"/>
          <c:order val="3"/>
          <c:tx>
            <c:strRef>
              <c:f>'Graf 29'!$M$10</c:f>
              <c:strCache>
                <c:ptCount val="1"/>
                <c:pt idx="0">
                  <c:v>75. percentil</c:v>
                </c:pt>
              </c:strCache>
            </c:strRef>
          </c:tx>
          <c:spPr>
            <a:solidFill>
              <a:srgbClr val="2C9ADC"/>
            </a:solidFill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29'!$O$10:$T$10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0.71130268072155545</c:v>
                </c:pt>
                <c:pt idx="3">
                  <c:v>0.39901235817123659</c:v>
                </c:pt>
                <c:pt idx="4">
                  <c:v>1.2033208936014663</c:v>
                </c:pt>
                <c:pt idx="5">
                  <c:v>0.63548292913662241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4-4728-9B15-80B17FB036D7}"/>
            </c:ext>
          </c:extLst>
        </c:ser>
        <c:ser>
          <c:idx val="2"/>
          <c:order val="4"/>
          <c:tx>
            <c:strRef>
              <c:f>'Graf 29'!$M$11</c:f>
              <c:strCache>
                <c:ptCount val="1"/>
                <c:pt idx="0">
                  <c:v>horná hranica</c:v>
                </c:pt>
              </c:strCache>
            </c:strRef>
          </c:tx>
          <c:spPr>
            <a:solidFill>
              <a:srgbClr val="A2D2F0"/>
            </a:solidFill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29'!$O$11:$T$11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6.5081582800945448E-2</c:v>
                </c:pt>
                <c:pt idx="3">
                  <c:v>0.91672233927359148</c:v>
                </c:pt>
                <c:pt idx="4">
                  <c:v>0.39755347130517915</c:v>
                </c:pt>
                <c:pt idx="5">
                  <c:v>0.23161065827983851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4-4728-9B15-80B17FB0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581896"/>
        <c:axId val="475582288"/>
      </c:areaChart>
      <c:lineChart>
        <c:grouping val="standard"/>
        <c:varyColors val="0"/>
        <c:ser>
          <c:idx val="1"/>
          <c:order val="2"/>
          <c:tx>
            <c:strRef>
              <c:f>'Graf 29'!$M$13</c:f>
              <c:strCache>
                <c:ptCount val="1"/>
                <c:pt idx="0">
                  <c:v>medián Výboru</c:v>
                </c:pt>
              </c:strCache>
            </c:strRef>
          </c:tx>
          <c:spPr>
            <a:ln w="28575">
              <a:solidFill>
                <a:srgbClr val="1F497D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29'!$O$13:$T$13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4.506087473735473</c:v>
                </c:pt>
                <c:pt idx="3">
                  <c:v>5.9210433806125575</c:v>
                </c:pt>
                <c:pt idx="4">
                  <c:v>5.8993777655648252</c:v>
                </c:pt>
                <c:pt idx="5">
                  <c:v>4.7738750656586522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14-4728-9B15-80B17FB036D7}"/>
            </c:ext>
          </c:extLst>
        </c:ser>
        <c:ser>
          <c:idx val="0"/>
          <c:order val="5"/>
          <c:tx>
            <c:strRef>
              <c:f>'Graf 29'!$M$12</c:f>
              <c:strCache>
                <c:ptCount val="1"/>
                <c:pt idx="0">
                  <c:v>prognóza MF SR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29'!$O$12:$T$12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3.8520390153697286</c:v>
                </c:pt>
                <c:pt idx="3">
                  <c:v>6.1457814333465413</c:v>
                </c:pt>
                <c:pt idx="4">
                  <c:v>6.2188598937077799</c:v>
                </c:pt>
                <c:pt idx="5">
                  <c:v>4.6843207519933374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14-4728-9B15-80B17FB0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81896"/>
        <c:axId val="475582288"/>
      </c:lineChart>
      <c:catAx>
        <c:axId val="475581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582288"/>
        <c:crosses val="autoZero"/>
        <c:auto val="1"/>
        <c:lblAlgn val="ctr"/>
        <c:lblOffset val="100"/>
        <c:noMultiLvlLbl val="0"/>
      </c:catAx>
      <c:valAx>
        <c:axId val="475582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58189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86463431444041"/>
          <c:y val="0.58303997566521948"/>
          <c:w val="0.19770420173187936"/>
          <c:h val="0.179462233368821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NeueHaasGroteskText W02" panose="020B0504020202020204" pitchFamily="34" charset="-18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4766611620356294"/>
        </c:manualLayout>
      </c:layout>
      <c:areaChart>
        <c:grouping val="stacked"/>
        <c:varyColors val="0"/>
        <c:ser>
          <c:idx val="3"/>
          <c:order val="0"/>
          <c:tx>
            <c:strRef>
              <c:f>'Graf 29'!$N$8</c:f>
              <c:strCache>
                <c:ptCount val="1"/>
                <c:pt idx="0">
                  <c:v>lower bound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29'!$O$8:$T$8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3.3802411251280731</c:v>
                </c:pt>
                <c:pt idx="3">
                  <c:v>5.4943146671448684</c:v>
                </c:pt>
                <c:pt idx="4">
                  <c:v>4.9224431989896944</c:v>
                </c:pt>
                <c:pt idx="5">
                  <c:v>4.1465269080821221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9-445A-802A-9271FFF42D65}"/>
            </c:ext>
          </c:extLst>
        </c:ser>
        <c:ser>
          <c:idx val="5"/>
          <c:order val="1"/>
          <c:tx>
            <c:strRef>
              <c:f>'Graf 29'!$N$9</c:f>
              <c:strCache>
                <c:ptCount val="1"/>
                <c:pt idx="0">
                  <c:v>25th percentile</c:v>
                </c:pt>
              </c:strCache>
            </c:strRef>
          </c:tx>
          <c:spPr>
            <a:solidFill>
              <a:srgbClr val="A2D2F0"/>
            </a:solidFill>
            <a:ln w="28575">
              <a:noFill/>
            </a:ln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29'!$O$9:$T$9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0.62654813234799978</c:v>
                </c:pt>
                <c:pt idx="3">
                  <c:v>0.28313099414060172</c:v>
                </c:pt>
                <c:pt idx="4">
                  <c:v>0.16288929312127109</c:v>
                </c:pt>
                <c:pt idx="5">
                  <c:v>0.42190908196754862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9-445A-802A-9271FFF42D65}"/>
            </c:ext>
          </c:extLst>
        </c:ser>
        <c:ser>
          <c:idx val="4"/>
          <c:order val="3"/>
          <c:tx>
            <c:strRef>
              <c:f>'Graf 29'!$N$10</c:f>
              <c:strCache>
                <c:ptCount val="1"/>
                <c:pt idx="0">
                  <c:v>75th percentile</c:v>
                </c:pt>
              </c:strCache>
            </c:strRef>
          </c:tx>
          <c:spPr>
            <a:solidFill>
              <a:srgbClr val="2C9ADC"/>
            </a:solidFill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29'!$O$10:$T$10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0.71130268072155545</c:v>
                </c:pt>
                <c:pt idx="3">
                  <c:v>0.39901235817123659</c:v>
                </c:pt>
                <c:pt idx="4">
                  <c:v>1.2033208936014663</c:v>
                </c:pt>
                <c:pt idx="5">
                  <c:v>0.63548292913662241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19-445A-802A-9271FFF42D65}"/>
            </c:ext>
          </c:extLst>
        </c:ser>
        <c:ser>
          <c:idx val="2"/>
          <c:order val="4"/>
          <c:tx>
            <c:strRef>
              <c:f>'Graf 29'!$N$11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rgbClr val="A2D2F0"/>
            </a:solidFill>
          </c:spP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29'!$O$11:$T$11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6.5081582800945448E-2</c:v>
                </c:pt>
                <c:pt idx="3">
                  <c:v>0.91672233927359148</c:v>
                </c:pt>
                <c:pt idx="4">
                  <c:v>0.39755347130517915</c:v>
                </c:pt>
                <c:pt idx="5">
                  <c:v>0.23161065827983851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19-445A-802A-9271FFF4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583072"/>
        <c:axId val="475583464"/>
      </c:areaChart>
      <c:lineChart>
        <c:grouping val="standard"/>
        <c:varyColors val="0"/>
        <c:ser>
          <c:idx val="1"/>
          <c:order val="2"/>
          <c:tx>
            <c:strRef>
              <c:f>'Graf 29'!$N$13</c:f>
              <c:strCache>
                <c:ptCount val="1"/>
                <c:pt idx="0">
                  <c:v>MFC median</c:v>
                </c:pt>
              </c:strCache>
            </c:strRef>
          </c:tx>
          <c:spPr>
            <a:ln w="28575">
              <a:solidFill>
                <a:srgbClr val="1F497D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29'!$O$13:$T$13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4.506087473735473</c:v>
                </c:pt>
                <c:pt idx="3">
                  <c:v>5.9210433806125575</c:v>
                </c:pt>
                <c:pt idx="4">
                  <c:v>5.8993777655648252</c:v>
                </c:pt>
                <c:pt idx="5">
                  <c:v>4.7738750656586522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19-445A-802A-9271FFF42D65}"/>
            </c:ext>
          </c:extLst>
        </c:ser>
        <c:ser>
          <c:idx val="0"/>
          <c:order val="5"/>
          <c:tx>
            <c:strRef>
              <c:f>'Graf 29'!$N$12</c:f>
              <c:strCache>
                <c:ptCount val="1"/>
                <c:pt idx="0">
                  <c:v>MoF forecast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29'!$O$7:$T$7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'Graf 29'!$O$12:$T$12</c:f>
              <c:numCache>
                <c:formatCode>0.0</c:formatCode>
                <c:ptCount val="6"/>
                <c:pt idx="0">
                  <c:v>6.7422412321528578</c:v>
                </c:pt>
                <c:pt idx="1">
                  <c:v>0.65276777224328342</c:v>
                </c:pt>
                <c:pt idx="2">
                  <c:v>3.8520390153697286</c:v>
                </c:pt>
                <c:pt idx="3">
                  <c:v>6.1457814333465413</c:v>
                </c:pt>
                <c:pt idx="4">
                  <c:v>6.2188598937077799</c:v>
                </c:pt>
                <c:pt idx="5">
                  <c:v>4.6843207519933374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19-445A-802A-9271FFF4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83072"/>
        <c:axId val="475583464"/>
      </c:lineChart>
      <c:catAx>
        <c:axId val="475583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5583464"/>
        <c:crosses val="autoZero"/>
        <c:auto val="1"/>
        <c:lblAlgn val="ctr"/>
        <c:lblOffset val="100"/>
        <c:noMultiLvlLbl val="0"/>
      </c:catAx>
      <c:valAx>
        <c:axId val="475583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58307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86463431444041"/>
          <c:y val="0.58303997566521948"/>
          <c:w val="0.19770420173187936"/>
          <c:h val="0.179462233368821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NeueHaasGroteskText W02" panose="020B0504020202020204" pitchFamily="34" charset="-18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1+2'!$K$9</c:f>
              <c:strCache>
                <c:ptCount val="1"/>
                <c:pt idx="0">
                  <c:v>Private 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1+2'!$L$9:$Q$9</c:f>
              <c:numCache>
                <c:formatCode>0.0</c:formatCode>
                <c:ptCount val="6"/>
                <c:pt idx="0">
                  <c:v>2.2805001149225865</c:v>
                </c:pt>
                <c:pt idx="1">
                  <c:v>1.5004336246172412</c:v>
                </c:pt>
                <c:pt idx="2">
                  <c:v>-0.56561676129077687</c:v>
                </c:pt>
                <c:pt idx="3">
                  <c:v>0.12373731521296205</c:v>
                </c:pt>
                <c:pt idx="4">
                  <c:v>1.3534147838371042</c:v>
                </c:pt>
                <c:pt idx="5">
                  <c:v>1.9776658984428188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D-456C-AE46-43B79A611F9D}"/>
            </c:ext>
          </c:extLst>
        </c:ser>
        <c:ser>
          <c:idx val="2"/>
          <c:order val="2"/>
          <c:tx>
            <c:strRef>
              <c:f>'Graf 1+2'!$K$10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1+2'!$L$10:$Q$10</c:f>
              <c:numCache>
                <c:formatCode>0.0</c:formatCode>
                <c:ptCount val="6"/>
                <c:pt idx="0">
                  <c:v>1.7148104957413705E-2</c:v>
                </c:pt>
                <c:pt idx="1">
                  <c:v>0.81756022973607179</c:v>
                </c:pt>
                <c:pt idx="2">
                  <c:v>4.5722335219422421E-2</c:v>
                </c:pt>
                <c:pt idx="3">
                  <c:v>0.93703840384667847</c:v>
                </c:pt>
                <c:pt idx="4">
                  <c:v>0.78436114674398594</c:v>
                </c:pt>
                <c:pt idx="5">
                  <c:v>0.35281946859430002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D-456C-AE46-43B79A611F9D}"/>
            </c:ext>
          </c:extLst>
        </c:ser>
        <c:ser>
          <c:idx val="3"/>
          <c:order val="3"/>
          <c:tx>
            <c:strRef>
              <c:f>'Graf 1+2'!$K$11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1+2'!$L$11:$Q$11</c:f>
              <c:numCache>
                <c:formatCode>0.0</c:formatCode>
                <c:ptCount val="6"/>
                <c:pt idx="0">
                  <c:v>0.57122687909435843</c:v>
                </c:pt>
                <c:pt idx="1">
                  <c:v>1.3782457942689599</c:v>
                </c:pt>
                <c:pt idx="2">
                  <c:v>-2.6097939234161767</c:v>
                </c:pt>
                <c:pt idx="3">
                  <c:v>-5.189821275357237E-2</c:v>
                </c:pt>
                <c:pt idx="4">
                  <c:v>3.2130317275813156</c:v>
                </c:pt>
                <c:pt idx="5">
                  <c:v>3.2865682560880884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D-456C-AE46-43B79A611F9D}"/>
            </c:ext>
          </c:extLst>
        </c:ser>
        <c:ser>
          <c:idx val="4"/>
          <c:order val="4"/>
          <c:tx>
            <c:strRef>
              <c:f>'Graf 1+2'!$K$12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1+2'!$L$12:$Q$12</c:f>
              <c:numCache>
                <c:formatCode>0.0</c:formatCode>
                <c:ptCount val="6"/>
                <c:pt idx="0">
                  <c:v>0.37327639228089293</c:v>
                </c:pt>
                <c:pt idx="1">
                  <c:v>-1.1887289197734816</c:v>
                </c:pt>
                <c:pt idx="2">
                  <c:v>0.61087359508445116</c:v>
                </c:pt>
                <c:pt idx="3">
                  <c:v>-0.1285073348048032</c:v>
                </c:pt>
                <c:pt idx="4">
                  <c:v>-0.66285527316618742</c:v>
                </c:pt>
                <c:pt idx="5">
                  <c:v>-0.36015136651940988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D-456C-AE46-43B79A611F9D}"/>
            </c:ext>
          </c:extLst>
        </c:ser>
        <c:ser>
          <c:idx val="5"/>
          <c:order val="5"/>
          <c:tx>
            <c:strRef>
              <c:f>'Graf 1+2'!$K$13</c:f>
              <c:strCache>
                <c:ptCount val="1"/>
                <c:pt idx="0">
                  <c:v>Inventories and stat. disc.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1+2'!$L$13:$Q$13</c:f>
              <c:numCache>
                <c:formatCode>0.0</c:formatCode>
                <c:ptCount val="6"/>
                <c:pt idx="0">
                  <c:v>0.4079718665243921</c:v>
                </c:pt>
                <c:pt idx="1">
                  <c:v>4.077412141715496E-3</c:v>
                </c:pt>
                <c:pt idx="2">
                  <c:v>-2.2355105866970235</c:v>
                </c:pt>
                <c:pt idx="3">
                  <c:v>2.791478264695745</c:v>
                </c:pt>
                <c:pt idx="4">
                  <c:v>-0.48227657945181152</c:v>
                </c:pt>
                <c:pt idx="5">
                  <c:v>-0.25946240753865341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40104"/>
        <c:axId val="317240496"/>
      </c:barChart>
      <c:lineChart>
        <c:grouping val="standard"/>
        <c:varyColors val="0"/>
        <c:ser>
          <c:idx val="0"/>
          <c:order val="0"/>
          <c:tx>
            <c:strRef>
              <c:f>'Graf 1+2'!$K$8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1+2'!$L$7:$P$7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1+2'!$L$8:$Q$8</c:f>
              <c:numCache>
                <c:formatCode>0.0</c:formatCode>
                <c:ptCount val="6"/>
                <c:pt idx="0">
                  <c:v>3.6501233577796333</c:v>
                </c:pt>
                <c:pt idx="1">
                  <c:v>2.5115881409905283</c:v>
                </c:pt>
                <c:pt idx="2">
                  <c:v>-4.7543253411001078</c:v>
                </c:pt>
                <c:pt idx="3">
                  <c:v>3.6718484361970116</c:v>
                </c:pt>
                <c:pt idx="4">
                  <c:v>4.2056758055444288</c:v>
                </c:pt>
                <c:pt idx="5">
                  <c:v>4.997439849067109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40104"/>
        <c:axId val="317240496"/>
      </c:lineChart>
      <c:catAx>
        <c:axId val="31724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317240496"/>
        <c:crosses val="autoZero"/>
        <c:auto val="1"/>
        <c:lblAlgn val="ctr"/>
        <c:lblOffset val="100"/>
        <c:noMultiLvlLbl val="0"/>
      </c:catAx>
      <c:valAx>
        <c:axId val="317240496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724010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637576552930887E-2"/>
          <c:y val="8.4437882764654415E-2"/>
          <c:w val="0.91819511922711794"/>
          <c:h val="0.78978419364246133"/>
        </c:manualLayout>
      </c:layout>
      <c:lineChart>
        <c:grouping val="standard"/>
        <c:varyColors val="0"/>
        <c:ser>
          <c:idx val="2"/>
          <c:order val="0"/>
          <c:tx>
            <c:strRef>
              <c:f>'Graf 1+2'!$L$19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marker>
          <c:cat>
            <c:strRef>
              <c:f>'Graf 1+2'!$M$17:$X$17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1+2'!$M$19:$X$19</c:f>
              <c:numCache>
                <c:formatCode>0.0</c:formatCode>
                <c:ptCount val="12"/>
                <c:pt idx="0">
                  <c:v>5878.3</c:v>
                </c:pt>
                <c:pt idx="1">
                  <c:v>6200.9</c:v>
                </c:pt>
                <c:pt idx="2">
                  <c:v>6919</c:v>
                </c:pt>
                <c:pt idx="3">
                  <c:v>6365.8</c:v>
                </c:pt>
                <c:pt idx="4" formatCode="General">
                  <c:v>6838.1</c:v>
                </c:pt>
                <c:pt idx="5" formatCode="General">
                  <c:v>6946.3</c:v>
                </c:pt>
                <c:pt idx="6" formatCode="General">
                  <c:v>5913.7</c:v>
                </c:pt>
                <c:pt idx="7" formatCode="General">
                  <c:v>6163</c:v>
                </c:pt>
                <c:pt idx="8" formatCode="General">
                  <c:v>6926.1</c:v>
                </c:pt>
                <c:pt idx="9" formatCode="General">
                  <c:v>7676.7</c:v>
                </c:pt>
                <c:pt idx="10" formatCode="General">
                  <c:v>7639.8</c:v>
                </c:pt>
                <c:pt idx="11" formatCode="General">
                  <c:v>5676.9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A-4A75-8F06-F47DA6937E3F}"/>
            </c:ext>
          </c:extLst>
        </c:ser>
        <c:ser>
          <c:idx val="3"/>
          <c:order val="1"/>
          <c:tx>
            <c:strRef>
              <c:f>'Graf 1+2'!$L$20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 1+2'!$M$17:$X$17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1+2'!$M$20:$X$20</c:f>
              <c:numCache>
                <c:formatCode>0.0</c:formatCode>
                <c:ptCount val="12"/>
                <c:pt idx="0">
                  <c:v>6736.6</c:v>
                </c:pt>
                <c:pt idx="1">
                  <c:v>6666</c:v>
                </c:pt>
                <c:pt idx="2">
                  <c:v>7279.2</c:v>
                </c:pt>
                <c:pt idx="3">
                  <c:v>6569.5</c:v>
                </c:pt>
                <c:pt idx="4" formatCode="General">
                  <c:v>6944.2</c:v>
                </c:pt>
                <c:pt idx="5" formatCode="General">
                  <c:v>6466</c:v>
                </c:pt>
                <c:pt idx="6" formatCode="General">
                  <c:v>5826</c:v>
                </c:pt>
                <c:pt idx="7" formatCode="General">
                  <c:v>5892.3</c:v>
                </c:pt>
                <c:pt idx="8" formatCode="General">
                  <c:v>7016.2</c:v>
                </c:pt>
                <c:pt idx="9" formatCode="General">
                  <c:v>7823.1</c:v>
                </c:pt>
                <c:pt idx="10" formatCode="General">
                  <c:v>7346</c:v>
                </c:pt>
                <c:pt idx="11" formatCode="General">
                  <c:v>5772.6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A-4A75-8F06-F47DA6937E3F}"/>
            </c:ext>
          </c:extLst>
        </c:ser>
        <c:ser>
          <c:idx val="0"/>
          <c:order val="2"/>
          <c:tx>
            <c:strRef>
              <c:f>'Graf 1+2'!$L$21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'Graf 1+2'!$M$17:$X$17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1+2'!$M$21:$X$21</c:f>
              <c:numCache>
                <c:formatCode>0.0</c:formatCode>
                <c:ptCount val="12"/>
                <c:pt idx="0">
                  <c:v>6657</c:v>
                </c:pt>
                <c:pt idx="1">
                  <c:v>6734.4</c:v>
                </c:pt>
                <c:pt idx="2">
                  <c:v>5982</c:v>
                </c:pt>
                <c:pt idx="3">
                  <c:v>3578.5</c:v>
                </c:pt>
                <c:pt idx="4" formatCode="General">
                  <c:v>4617</c:v>
                </c:pt>
                <c:pt idx="5" formatCode="General">
                  <c:v>6597</c:v>
                </c:pt>
                <c:pt idx="6" formatCode="General">
                  <c:v>6070.2</c:v>
                </c:pt>
                <c:pt idx="7" formatCode="General">
                  <c:v>6338</c:v>
                </c:pt>
                <c:pt idx="8" formatCode="General">
                  <c:v>7453.1</c:v>
                </c:pt>
                <c:pt idx="9" formatCode="General">
                  <c:v>7998.2</c:v>
                </c:pt>
                <c:pt idx="10" formatCode="General">
                  <c:v>7613</c:v>
                </c:pt>
                <c:pt idx="11" formatCode="General">
                  <c:v>6433.1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A-4A75-8F06-F47DA6937E3F}"/>
            </c:ext>
          </c:extLst>
        </c:ser>
        <c:ser>
          <c:idx val="1"/>
          <c:order val="3"/>
          <c:tx>
            <c:strRef>
              <c:f>'Graf 1+2'!$L$22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'Graf 1+2'!$M$17:$X$17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1+2'!$M$22:$X$22</c:f>
              <c:numCache>
                <c:formatCode>0.0</c:formatCode>
                <c:ptCount val="12"/>
                <c:pt idx="0">
                  <c:v>6540</c:v>
                </c:pt>
                <c:pt idx="1">
                  <c:v>7221.8</c:v>
                </c:pt>
                <c:pt idx="2">
                  <c:v>8490.7000000000007</c:v>
                </c:pt>
                <c:pt idx="3">
                  <c:v>7297.7</c:v>
                </c:pt>
                <c:pt idx="4" formatCode="General">
                  <c:v>6968.3</c:v>
                </c:pt>
                <c:pt idx="5" formatCode="General">
                  <c:v>7723</c:v>
                </c:pt>
                <c:pt idx="6" formatCode="General">
                  <c:v>6734.5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5A-4A75-8F06-F47DA693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38144"/>
        <c:axId val="317237752"/>
      </c:lineChart>
      <c:catAx>
        <c:axId val="31723814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317237752"/>
        <c:crosses val="autoZero"/>
        <c:auto val="1"/>
        <c:lblAlgn val="ctr"/>
        <c:lblOffset val="100"/>
        <c:noMultiLvlLbl val="0"/>
      </c:catAx>
      <c:valAx>
        <c:axId val="317237752"/>
        <c:scaling>
          <c:orientation val="minMax"/>
          <c:min val="2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72381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833333333333332"/>
          <c:y val="0.78044692330125398"/>
          <c:w val="0.82630927384077002"/>
          <c:h val="8.9776902887139118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637576552930887E-2"/>
          <c:y val="8.4437882764654415E-2"/>
          <c:w val="0.91819511922711794"/>
          <c:h val="0.78978419364246133"/>
        </c:manualLayout>
      </c:layout>
      <c:lineChart>
        <c:grouping val="standard"/>
        <c:varyColors val="0"/>
        <c:ser>
          <c:idx val="2"/>
          <c:order val="0"/>
          <c:tx>
            <c:strRef>
              <c:f>'Graf 1+2'!$L$19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</c:marker>
          <c:cat>
            <c:strRef>
              <c:f>'Graf 1+2'!$M$18:$X$18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1+2'!$M$19:$X$19</c:f>
              <c:numCache>
                <c:formatCode>0.0</c:formatCode>
                <c:ptCount val="12"/>
                <c:pt idx="0">
                  <c:v>5878.3</c:v>
                </c:pt>
                <c:pt idx="1">
                  <c:v>6200.9</c:v>
                </c:pt>
                <c:pt idx="2">
                  <c:v>6919</c:v>
                </c:pt>
                <c:pt idx="3">
                  <c:v>6365.8</c:v>
                </c:pt>
                <c:pt idx="4" formatCode="General">
                  <c:v>6838.1</c:v>
                </c:pt>
                <c:pt idx="5" formatCode="General">
                  <c:v>6946.3</c:v>
                </c:pt>
                <c:pt idx="6" formatCode="General">
                  <c:v>5913.7</c:v>
                </c:pt>
                <c:pt idx="7" formatCode="General">
                  <c:v>6163</c:v>
                </c:pt>
                <c:pt idx="8" formatCode="General">
                  <c:v>6926.1</c:v>
                </c:pt>
                <c:pt idx="9" formatCode="General">
                  <c:v>7676.7</c:v>
                </c:pt>
                <c:pt idx="10" formatCode="General">
                  <c:v>7639.8</c:v>
                </c:pt>
                <c:pt idx="11" formatCode="General">
                  <c:v>5676.9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0-4AC7-919F-E049A49974A0}"/>
            </c:ext>
          </c:extLst>
        </c:ser>
        <c:ser>
          <c:idx val="3"/>
          <c:order val="1"/>
          <c:tx>
            <c:strRef>
              <c:f>'Graf 1+2'!$L$20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'Graf 1+2'!$M$18:$X$18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1+2'!$M$20:$X$20</c:f>
              <c:numCache>
                <c:formatCode>0.0</c:formatCode>
                <c:ptCount val="12"/>
                <c:pt idx="0">
                  <c:v>6736.6</c:v>
                </c:pt>
                <c:pt idx="1">
                  <c:v>6666</c:v>
                </c:pt>
                <c:pt idx="2">
                  <c:v>7279.2</c:v>
                </c:pt>
                <c:pt idx="3">
                  <c:v>6569.5</c:v>
                </c:pt>
                <c:pt idx="4" formatCode="General">
                  <c:v>6944.2</c:v>
                </c:pt>
                <c:pt idx="5" formatCode="General">
                  <c:v>6466</c:v>
                </c:pt>
                <c:pt idx="6" formatCode="General">
                  <c:v>5826</c:v>
                </c:pt>
                <c:pt idx="7" formatCode="General">
                  <c:v>5892.3</c:v>
                </c:pt>
                <c:pt idx="8" formatCode="General">
                  <c:v>7016.2</c:v>
                </c:pt>
                <c:pt idx="9" formatCode="General">
                  <c:v>7823.1</c:v>
                </c:pt>
                <c:pt idx="10" formatCode="General">
                  <c:v>7346</c:v>
                </c:pt>
                <c:pt idx="11" formatCode="General">
                  <c:v>5772.6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0-4AC7-919F-E049A49974A0}"/>
            </c:ext>
          </c:extLst>
        </c:ser>
        <c:ser>
          <c:idx val="0"/>
          <c:order val="2"/>
          <c:tx>
            <c:strRef>
              <c:f>'Graf 1+2'!$L$21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'Graf 1+2'!$M$18:$X$18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1+2'!$M$21:$X$21</c:f>
              <c:numCache>
                <c:formatCode>0.0</c:formatCode>
                <c:ptCount val="12"/>
                <c:pt idx="0">
                  <c:v>6657</c:v>
                </c:pt>
                <c:pt idx="1">
                  <c:v>6734.4</c:v>
                </c:pt>
                <c:pt idx="2">
                  <c:v>5982</c:v>
                </c:pt>
                <c:pt idx="3">
                  <c:v>3578.5</c:v>
                </c:pt>
                <c:pt idx="4" formatCode="General">
                  <c:v>4617</c:v>
                </c:pt>
                <c:pt idx="5" formatCode="General">
                  <c:v>6597</c:v>
                </c:pt>
                <c:pt idx="6" formatCode="General">
                  <c:v>6070.2</c:v>
                </c:pt>
                <c:pt idx="7" formatCode="General">
                  <c:v>6338</c:v>
                </c:pt>
                <c:pt idx="8" formatCode="General">
                  <c:v>7453.1</c:v>
                </c:pt>
                <c:pt idx="9" formatCode="General">
                  <c:v>7998.2</c:v>
                </c:pt>
                <c:pt idx="10" formatCode="General">
                  <c:v>7613</c:v>
                </c:pt>
                <c:pt idx="11" formatCode="General">
                  <c:v>6433.1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0-4AC7-919F-E049A49974A0}"/>
            </c:ext>
          </c:extLst>
        </c:ser>
        <c:ser>
          <c:idx val="1"/>
          <c:order val="3"/>
          <c:tx>
            <c:strRef>
              <c:f>'Graf 1+2'!$L$22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'Graf 1+2'!$M$18:$X$18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 1+2'!$M$22:$X$22</c:f>
              <c:numCache>
                <c:formatCode>0.0</c:formatCode>
                <c:ptCount val="12"/>
                <c:pt idx="0">
                  <c:v>6540</c:v>
                </c:pt>
                <c:pt idx="1">
                  <c:v>7221.8</c:v>
                </c:pt>
                <c:pt idx="2">
                  <c:v>8490.7000000000007</c:v>
                </c:pt>
                <c:pt idx="3">
                  <c:v>7297.7</c:v>
                </c:pt>
                <c:pt idx="4" formatCode="General">
                  <c:v>6968.3</c:v>
                </c:pt>
                <c:pt idx="5" formatCode="General">
                  <c:v>7723</c:v>
                </c:pt>
                <c:pt idx="6" formatCode="General">
                  <c:v>6734.5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00-4AC7-919F-E049A499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36968"/>
        <c:axId val="317241280"/>
      </c:lineChart>
      <c:catAx>
        <c:axId val="31723696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317241280"/>
        <c:crosses val="autoZero"/>
        <c:auto val="1"/>
        <c:lblAlgn val="ctr"/>
        <c:lblOffset val="100"/>
        <c:noMultiLvlLbl val="0"/>
      </c:catAx>
      <c:valAx>
        <c:axId val="317241280"/>
        <c:scaling>
          <c:orientation val="minMax"/>
          <c:min val="2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72369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833333333333332"/>
          <c:y val="0.78044692330125398"/>
          <c:w val="0.82630927384077002"/>
          <c:h val="8.9776902887139118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9728783902015"/>
          <c:y val="4.6939705453484984E-2"/>
          <c:w val="0.84024715660542437"/>
          <c:h val="0.834819405638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'Graf3+4'!$L$8</c:f>
              <c:strCache>
                <c:ptCount val="1"/>
                <c:pt idx="0">
                  <c:v>EÚ fondy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'Graf3+4'!$N$7:$AA$7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'Graf3+4'!$N$8:$AA$8</c:f>
              <c:numCache>
                <c:formatCode>0.0</c:formatCode>
                <c:ptCount val="14"/>
                <c:pt idx="0">
                  <c:v>1283.3699292199999</c:v>
                </c:pt>
                <c:pt idx="1">
                  <c:v>1165.08914671</c:v>
                </c:pt>
                <c:pt idx="2">
                  <c:v>1104.08107602</c:v>
                </c:pt>
                <c:pt idx="3">
                  <c:v>1075.1658763</c:v>
                </c:pt>
                <c:pt idx="4">
                  <c:v>2816.5415109599999</c:v>
                </c:pt>
                <c:pt idx="5">
                  <c:v>360.88635676000007</c:v>
                </c:pt>
                <c:pt idx="6">
                  <c:v>544.8147242</c:v>
                </c:pt>
                <c:pt idx="7">
                  <c:v>1008.06776471</c:v>
                </c:pt>
                <c:pt idx="8">
                  <c:v>905.44998711999983</c:v>
                </c:pt>
                <c:pt idx="9">
                  <c:v>835.23682229999997</c:v>
                </c:pt>
                <c:pt idx="10">
                  <c:v>825.00475349500005</c:v>
                </c:pt>
                <c:pt idx="11">
                  <c:v>1600.4804533757112</c:v>
                </c:pt>
                <c:pt idx="12">
                  <c:v>3501.8862395497958</c:v>
                </c:pt>
                <c:pt idx="13">
                  <c:v>816.81455587868038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B-4701-8A85-37CC39353F56}"/>
            </c:ext>
          </c:extLst>
        </c:ser>
        <c:ser>
          <c:idx val="1"/>
          <c:order val="1"/>
          <c:tx>
            <c:strRef>
              <c:f>'Graf3+4'!$L$9</c:f>
              <c:strCache>
                <c:ptCount val="1"/>
                <c:pt idx="0">
                  <c:v>RRP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'Graf3+4'!$N$7:$AA$7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'Graf3+4'!$N$9:$AA$9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75.682692845949106</c:v>
                </c:pt>
                <c:pt idx="11">
                  <c:v>1095.9084965811419</c:v>
                </c:pt>
                <c:pt idx="12">
                  <c:v>1150.9542905226874</c:v>
                </c:pt>
                <c:pt idx="13">
                  <c:v>1157.2036974390423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B-4701-8A85-37CC39353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42064"/>
        <c:axId val="316645216"/>
      </c:barChart>
      <c:catAx>
        <c:axId val="3172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6645216"/>
        <c:crosses val="autoZero"/>
        <c:auto val="1"/>
        <c:lblAlgn val="ctr"/>
        <c:lblOffset val="100"/>
        <c:noMultiLvlLbl val="0"/>
      </c:catAx>
      <c:valAx>
        <c:axId val="3166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72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34896069025858"/>
          <c:y val="6.6456015578697833E-2"/>
          <c:w val="0.25554065372642853"/>
          <c:h val="6.809782110569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hyperlink" Target="#Contents!A1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1.png"/><Relationship Id="rId1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Obsah_Content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hyperlink" Target="#Contents!A1"/><Relationship Id="rId4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hyperlink" Target="#Contents!A1"/><Relationship Id="rId4" Type="http://schemas.openxmlformats.org/officeDocument/2006/relationships/chart" Target="../charts/chart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hyperlink" Target="#Contents!A1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hyperlink" Target="#Contents!A1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hyperlink" Target="#Contents!A1"/><Relationship Id="rId1" Type="http://schemas.openxmlformats.org/officeDocument/2006/relationships/chart" Target="../charts/chart52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Contents!A1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Contents!A1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hyperlink" Target="#Contents!A1"/><Relationship Id="rId4" Type="http://schemas.openxmlformats.org/officeDocument/2006/relationships/chart" Target="../charts/chart1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hyperlink" Target="#Contents!A1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hyperlink" Target="#Contents!A1"/><Relationship Id="rId1" Type="http://schemas.openxmlformats.org/officeDocument/2006/relationships/chart" Target="../charts/chart21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6350</xdr:colOff>
      <xdr:row>2</xdr:row>
      <xdr:rowOff>114300</xdr:rowOff>
    </xdr:to>
    <xdr:sp macro="" textlink="">
      <xdr:nvSpPr>
        <xdr:cNvPr id="4" name="Rounded Rectangle 5_ContentButton">
          <a:hlinkClick xmlns:r="http://schemas.openxmlformats.org/officeDocument/2006/relationships" r:id="rId1"/>
        </xdr:cNvPr>
        <xdr:cNvSpPr/>
      </xdr:nvSpPr>
      <xdr:spPr>
        <a:xfrm>
          <a:off x="15821025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0.40058</cdr:x>
      <cdr:y>0.28929</cdr:y>
    </cdr:from>
    <cdr:to>
      <cdr:x>0.40198</cdr:x>
      <cdr:y>0.46283</cdr:y>
    </cdr:to>
    <cdr:cxnSp macro="">
      <cdr:nvCxnSpPr>
        <cdr:cNvPr id="3" name="Rovná spojovacia šípka 2"/>
        <cdr:cNvCxnSpPr/>
      </cdr:nvCxnSpPr>
      <cdr:spPr>
        <a:xfrm xmlns:a="http://schemas.openxmlformats.org/drawingml/2006/main">
          <a:off x="1323975" y="771525"/>
          <a:ext cx="4627" cy="46284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0.38152</cdr:x>
      <cdr:y>0.30809</cdr:y>
    </cdr:from>
    <cdr:to>
      <cdr:x>0.56203</cdr:x>
      <cdr:y>0.43677</cdr:y>
    </cdr:to>
    <cdr:sp macro="" textlink="">
      <cdr:nvSpPr>
        <cdr:cNvPr id="4" name="BlokTextu 4"/>
        <cdr:cNvSpPr txBox="1"/>
      </cdr:nvSpPr>
      <cdr:spPr>
        <a:xfrm xmlns:a="http://schemas.openxmlformats.org/drawingml/2006/main">
          <a:off x="1261005" y="821676"/>
          <a:ext cx="596617" cy="343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benchmark</a:t>
          </a:r>
        </a:p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Q4 2020</a:t>
          </a:r>
        </a:p>
      </cdr:txBody>
    </cdr:sp>
  </cdr:relSizeAnchor>
  <cdr:relSizeAnchor xmlns:cdr="http://schemas.openxmlformats.org/drawingml/2006/chartDrawing">
    <cdr:from>
      <cdr:x>0.67115</cdr:x>
      <cdr:y>0.27857</cdr:y>
    </cdr:from>
    <cdr:to>
      <cdr:x>0.67147</cdr:x>
      <cdr:y>0.38081</cdr:y>
    </cdr:to>
    <cdr:cxnSp macro="">
      <cdr:nvCxnSpPr>
        <cdr:cNvPr id="5" name="Rovná spojovacia šípka 4"/>
        <cdr:cNvCxnSpPr/>
      </cdr:nvCxnSpPr>
      <cdr:spPr>
        <a:xfrm xmlns:a="http://schemas.openxmlformats.org/drawingml/2006/main" flipH="1">
          <a:off x="2218284" y="742950"/>
          <a:ext cx="1041" cy="27265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0.60615</cdr:x>
      <cdr:y>0.17665</cdr:y>
    </cdr:from>
    <cdr:to>
      <cdr:x>0.76657</cdr:x>
      <cdr:y>0.28214</cdr:y>
    </cdr:to>
    <cdr:sp macro="" textlink="">
      <cdr:nvSpPr>
        <cdr:cNvPr id="7" name="BlokTextu 4"/>
        <cdr:cNvSpPr txBox="1"/>
      </cdr:nvSpPr>
      <cdr:spPr>
        <a:xfrm xmlns:a="http://schemas.openxmlformats.org/drawingml/2006/main">
          <a:off x="2003432" y="471128"/>
          <a:ext cx="530217" cy="2813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3rd wave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-</a:t>
          </a:r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1,5%</a:t>
          </a:r>
        </a:p>
      </cdr:txBody>
    </cdr:sp>
  </cdr:relSizeAnchor>
  <cdr:relSizeAnchor xmlns:cdr="http://schemas.openxmlformats.org/drawingml/2006/chartDrawing">
    <cdr:from>
      <cdr:x>0.25477</cdr:x>
      <cdr:y>0.5992</cdr:y>
    </cdr:from>
    <cdr:to>
      <cdr:x>0.30548</cdr:x>
      <cdr:y>0.67143</cdr:y>
    </cdr:to>
    <cdr:cxnSp macro="">
      <cdr:nvCxnSpPr>
        <cdr:cNvPr id="9" name="Rovná spojovacia šípka 8"/>
        <cdr:cNvCxnSpPr/>
      </cdr:nvCxnSpPr>
      <cdr:spPr>
        <a:xfrm xmlns:a="http://schemas.openxmlformats.org/drawingml/2006/main">
          <a:off x="842065" y="1598066"/>
          <a:ext cx="167585" cy="19263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0.40058</cdr:x>
      <cdr:y>0.61247</cdr:y>
    </cdr:from>
    <cdr:to>
      <cdr:x>0.4534</cdr:x>
      <cdr:y>0.66786</cdr:y>
    </cdr:to>
    <cdr:cxnSp macro="">
      <cdr:nvCxnSpPr>
        <cdr:cNvPr id="10" name="Rovná spojovacia šípka 9"/>
        <cdr:cNvCxnSpPr/>
      </cdr:nvCxnSpPr>
      <cdr:spPr>
        <a:xfrm xmlns:a="http://schemas.openxmlformats.org/drawingml/2006/main" flipH="1">
          <a:off x="1323975" y="1633465"/>
          <a:ext cx="174600" cy="1477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0.22863</cdr:x>
      <cdr:y>0.65833</cdr:y>
    </cdr:from>
    <cdr:to>
      <cdr:x>0.48415</cdr:x>
      <cdr:y>0.82857</cdr:y>
    </cdr:to>
    <cdr:sp macro="" textlink="">
      <cdr:nvSpPr>
        <cdr:cNvPr id="11" name="BlokTextu 4"/>
        <cdr:cNvSpPr txBox="1"/>
      </cdr:nvSpPr>
      <cdr:spPr>
        <a:xfrm xmlns:a="http://schemas.openxmlformats.org/drawingml/2006/main">
          <a:off x="755647" y="1755779"/>
          <a:ext cx="844553" cy="454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lockdown always -5% compared to the pre-crisis level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27</xdr:row>
      <xdr:rowOff>59055</xdr:rowOff>
    </xdr:from>
    <xdr:to>
      <xdr:col>6</xdr:col>
      <xdr:colOff>485774</xdr:colOff>
      <xdr:row>39</xdr:row>
      <xdr:rowOff>200025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</xdr:row>
      <xdr:rowOff>85724</xdr:rowOff>
    </xdr:from>
    <xdr:to>
      <xdr:col>8</xdr:col>
      <xdr:colOff>266700</xdr:colOff>
      <xdr:row>21</xdr:row>
      <xdr:rowOff>76199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7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133350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4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67236</xdr:colOff>
      <xdr:row>5</xdr:row>
      <xdr:rowOff>178593</xdr:rowOff>
    </xdr:from>
    <xdr:to>
      <xdr:col>19</xdr:col>
      <xdr:colOff>224119</xdr:colOff>
      <xdr:row>28</xdr:row>
      <xdr:rowOff>35717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3</xdr:row>
      <xdr:rowOff>0</xdr:rowOff>
    </xdr:to>
    <xdr:sp macro="" textlink="">
      <xdr:nvSpPr>
        <xdr:cNvPr id="7" name="Rounded Rectangle 5_ContentButton">
          <a:hlinkClick xmlns:r="http://schemas.openxmlformats.org/officeDocument/2006/relationships" r:id="rId2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0</xdr:col>
      <xdr:colOff>708660</xdr:colOff>
      <xdr:row>7</xdr:row>
      <xdr:rowOff>114300</xdr:rowOff>
    </xdr:from>
    <xdr:to>
      <xdr:col>7</xdr:col>
      <xdr:colOff>581297</xdr:colOff>
      <xdr:row>23</xdr:row>
      <xdr:rowOff>99060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0.05683</cdr:x>
      <cdr:y>0.25777</cdr:y>
    </cdr:from>
    <cdr:to>
      <cdr:x>0.98014</cdr:x>
      <cdr:y>0.26492</cdr:y>
    </cdr:to>
    <cdr:cxnSp macro="">
      <cdr:nvCxnSpPr>
        <cdr:cNvPr id="2" name="Rovná spojnica 1"/>
        <cdr:cNvCxnSpPr/>
      </cdr:nvCxnSpPr>
      <cdr:spPr>
        <a:xfrm xmlns:a="http://schemas.openxmlformats.org/drawingml/2006/main" flipV="1">
          <a:off x="393908" y="1169331"/>
          <a:ext cx="6399959" cy="324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0.65391</cdr:x>
      <cdr:y>0.54249</cdr:y>
    </cdr:from>
    <cdr:to>
      <cdr:x>0.9776</cdr:x>
      <cdr:y>0.60795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4659893" y="2046613"/>
          <a:ext cx="2306718" cy="24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>
              <a:latin typeface="Arial Narrow" panose="020B0606020202030204" pitchFamily="34" charset="0"/>
            </a:rPr>
            <a:t>Impact </a:t>
          </a:r>
          <a:r>
            <a:rPr lang="sk-SK" sz="1050" baseline="0">
              <a:latin typeface="Arial Narrow" panose="020B0606020202030204" pitchFamily="34" charset="0"/>
            </a:rPr>
            <a:t>unrelated to covid 1369 mil.</a:t>
          </a:r>
          <a:endParaRPr lang="sk-SK" sz="105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0.06111</cdr:x>
      <cdr:y>0.87789</cdr:y>
    </cdr:from>
    <cdr:to>
      <cdr:x>0.98442</cdr:x>
      <cdr:y>0.88504</cdr:y>
    </cdr:to>
    <cdr:cxnSp macro="">
      <cdr:nvCxnSpPr>
        <cdr:cNvPr id="4" name="Rovná spojnica 3"/>
        <cdr:cNvCxnSpPr/>
      </cdr:nvCxnSpPr>
      <cdr:spPr>
        <a:xfrm xmlns:a="http://schemas.openxmlformats.org/drawingml/2006/main" flipV="1">
          <a:off x="435451" y="3311967"/>
          <a:ext cx="6579739" cy="269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0.6218</cdr:x>
      <cdr:y>0.18176</cdr:y>
    </cdr:from>
    <cdr:to>
      <cdr:x>0.99583</cdr:x>
      <cdr:y>0.21893</cdr:y>
    </cdr:to>
    <cdr:sp macro="" textlink="">
      <cdr:nvSpPr>
        <cdr:cNvPr id="6" name="BlokTextu 1"/>
        <cdr:cNvSpPr txBox="1"/>
      </cdr:nvSpPr>
      <cdr:spPr>
        <a:xfrm xmlns:a="http://schemas.openxmlformats.org/drawingml/2006/main">
          <a:off x="4431138" y="685720"/>
          <a:ext cx="2665432" cy="140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aseline="0">
              <a:latin typeface="Arial Narrow" panose="020B0606020202030204" pitchFamily="34" charset="0"/>
            </a:rPr>
            <a:t>Impact caused by </a:t>
          </a:r>
          <a:r>
            <a:rPr lang="sk-SK" sz="1050">
              <a:latin typeface="Arial Narrow" panose="020B0606020202030204" pitchFamily="34" charset="0"/>
            </a:rPr>
            <a:t>COVID 19 outbr</a:t>
          </a:r>
          <a:r>
            <a:rPr lang="en-US" sz="1050">
              <a:latin typeface="Arial Narrow" panose="020B0606020202030204" pitchFamily="34" charset="0"/>
            </a:rPr>
            <a:t>e</a:t>
          </a:r>
          <a:r>
            <a:rPr lang="sk-SK" sz="1050">
              <a:latin typeface="Arial Narrow" panose="020B0606020202030204" pitchFamily="34" charset="0"/>
            </a:rPr>
            <a:t>ak (3809 mil.)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0.03165</cdr:x>
      <cdr:y>0.25692</cdr:y>
    </cdr:from>
    <cdr:to>
      <cdr:x>0.96055</cdr:x>
      <cdr:y>0.25753</cdr:y>
    </cdr:to>
    <cdr:cxnSp macro="">
      <cdr:nvCxnSpPr>
        <cdr:cNvPr id="3" name="Rovná spojnica 2"/>
        <cdr:cNvCxnSpPr/>
      </cdr:nvCxnSpPr>
      <cdr:spPr>
        <a:xfrm xmlns:a="http://schemas.openxmlformats.org/drawingml/2006/main">
          <a:off x="252482" y="798209"/>
          <a:ext cx="7410129" cy="18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0.58663</cdr:x>
      <cdr:y>0.52962</cdr:y>
    </cdr:from>
    <cdr:to>
      <cdr:x>0.91963</cdr:x>
      <cdr:y>0.61012</cdr:y>
    </cdr:to>
    <cdr:sp macro="" textlink="">
      <cdr:nvSpPr>
        <cdr:cNvPr id="5" name="BlokTextu 1"/>
        <cdr:cNvSpPr txBox="1"/>
      </cdr:nvSpPr>
      <cdr:spPr>
        <a:xfrm xmlns:a="http://schemas.openxmlformats.org/drawingml/2006/main">
          <a:off x="4563408" y="1694995"/>
          <a:ext cx="2590427" cy="257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Arial Narrow" panose="020B0606020202030204" pitchFamily="34" charset="0"/>
            </a:rPr>
            <a:t>Vplyvy mimo </a:t>
          </a:r>
          <a:r>
            <a:rPr lang="sk-SK" sz="900" baseline="0">
              <a:latin typeface="Arial Narrow" panose="020B0606020202030204" pitchFamily="34" charset="0"/>
            </a:rPr>
            <a:t>COVID-19 (1369 mil. eur)</a:t>
          </a:r>
          <a:endParaRPr lang="sk-SK" sz="9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0.02598</cdr:x>
      <cdr:y>0.89989</cdr:y>
    </cdr:from>
    <cdr:to>
      <cdr:x>0.97837</cdr:x>
      <cdr:y>0.90371</cdr:y>
    </cdr:to>
    <cdr:cxnSp macro="">
      <cdr:nvCxnSpPr>
        <cdr:cNvPr id="8" name="Rovná spojnica 7"/>
        <cdr:cNvCxnSpPr/>
      </cdr:nvCxnSpPr>
      <cdr:spPr>
        <a:xfrm xmlns:a="http://schemas.openxmlformats.org/drawingml/2006/main" flipV="1">
          <a:off x="207238" y="2795866"/>
          <a:ext cx="7597516" cy="118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0.69422</cdr:x>
      <cdr:y>0.15183</cdr:y>
    </cdr:from>
    <cdr:to>
      <cdr:x>1</cdr:x>
      <cdr:y>0.2404</cdr:y>
    </cdr:to>
    <cdr:sp macro="" textlink="">
      <cdr:nvSpPr>
        <cdr:cNvPr id="6" name="BlokTextu 1"/>
        <cdr:cNvSpPr txBox="1"/>
      </cdr:nvSpPr>
      <cdr:spPr>
        <a:xfrm xmlns:a="http://schemas.openxmlformats.org/drawingml/2006/main">
          <a:off x="5538012" y="471704"/>
          <a:ext cx="2439304" cy="275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Arial Narrow" panose="020B0606020202030204" pitchFamily="34" charset="0"/>
            </a:rPr>
            <a:t>Vplyvy  </a:t>
          </a:r>
          <a:r>
            <a:rPr lang="sk-SK" sz="900" baseline="0">
              <a:latin typeface="Arial Narrow" panose="020B0606020202030204" pitchFamily="34" charset="0"/>
            </a:rPr>
            <a:t>COVID-19 (-1997 mil. eur)</a:t>
          </a:r>
          <a:endParaRPr lang="sk-SK" sz="900">
            <a:latin typeface="Arial Narrow" panose="020B060602020203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363855</xdr:colOff>
      <xdr:row>20</xdr:row>
      <xdr:rowOff>177165</xdr:rowOff>
    </xdr:from>
    <xdr:to>
      <xdr:col>3</xdr:col>
      <xdr:colOff>382905</xdr:colOff>
      <xdr:row>33</xdr:row>
      <xdr:rowOff>139065</xdr:rowOff>
    </xdr:to>
    <xdr:cxnSp macro="">
      <xdr:nvCxnSpPr>
        <xdr:cNvPr id="2" name="Rovná spojnica 1"/>
        <xdr:cNvCxnSpPr/>
      </xdr:nvCxnSpPr>
      <xdr:spPr>
        <a:xfrm>
          <a:off x="3808095" y="4070985"/>
          <a:ext cx="19050" cy="21488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19</xdr:row>
      <xdr:rowOff>15239</xdr:rowOff>
    </xdr:from>
    <xdr:to>
      <xdr:col>3</xdr:col>
      <xdr:colOff>2034540</xdr:colOff>
      <xdr:row>20</xdr:row>
      <xdr:rowOff>70484</xdr:rowOff>
    </xdr:to>
    <xdr:sp macro="" textlink="">
      <xdr:nvSpPr>
        <xdr:cNvPr id="3" name="BlokTextu 2"/>
        <xdr:cNvSpPr txBox="1"/>
      </xdr:nvSpPr>
      <xdr:spPr>
        <a:xfrm>
          <a:off x="3853815" y="3749039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2021</a:t>
          </a:r>
        </a:p>
      </xdr:txBody>
    </xdr:sp>
    <xdr:clientData/>
  </xdr:twoCellAnchor>
  <xdr:twoCellAnchor>
    <xdr:from>
      <xdr:col>2</xdr:col>
      <xdr:colOff>259080</xdr:colOff>
      <xdr:row>19</xdr:row>
      <xdr:rowOff>38100</xdr:rowOff>
    </xdr:from>
    <xdr:to>
      <xdr:col>2</xdr:col>
      <xdr:colOff>1884045</xdr:colOff>
      <xdr:row>20</xdr:row>
      <xdr:rowOff>93345</xdr:rowOff>
    </xdr:to>
    <xdr:sp macro="" textlink="">
      <xdr:nvSpPr>
        <xdr:cNvPr id="5" name="BlokTextu 4"/>
        <xdr:cNvSpPr txBox="1"/>
      </xdr:nvSpPr>
      <xdr:spPr>
        <a:xfrm>
          <a:off x="1783080" y="3771900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2020</a:t>
          </a:r>
        </a:p>
      </xdr:txBody>
    </xdr:sp>
    <xdr:clientData/>
  </xdr:twoCellAnchor>
  <xdr:twoCellAnchor>
    <xdr:from>
      <xdr:col>5</xdr:col>
      <xdr:colOff>594360</xdr:colOff>
      <xdr:row>18</xdr:row>
      <xdr:rowOff>38100</xdr:rowOff>
    </xdr:from>
    <xdr:to>
      <xdr:col>6</xdr:col>
      <xdr:colOff>984885</xdr:colOff>
      <xdr:row>19</xdr:row>
      <xdr:rowOff>93345</xdr:rowOff>
    </xdr:to>
    <xdr:sp macro="" textlink="">
      <xdr:nvSpPr>
        <xdr:cNvPr id="6" name="BlokTextu 5"/>
        <xdr:cNvSpPr txBox="1"/>
      </xdr:nvSpPr>
      <xdr:spPr>
        <a:xfrm>
          <a:off x="7498080" y="3390900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2020</a:t>
          </a:r>
        </a:p>
      </xdr:txBody>
    </xdr:sp>
    <xdr:clientData/>
  </xdr:twoCellAnchor>
  <xdr:twoCellAnchor>
    <xdr:from>
      <xdr:col>7</xdr:col>
      <xdr:colOff>510540</xdr:colOff>
      <xdr:row>18</xdr:row>
      <xdr:rowOff>99060</xdr:rowOff>
    </xdr:from>
    <xdr:to>
      <xdr:col>8</xdr:col>
      <xdr:colOff>832485</xdr:colOff>
      <xdr:row>19</xdr:row>
      <xdr:rowOff>154305</xdr:rowOff>
    </xdr:to>
    <xdr:sp macro="" textlink="">
      <xdr:nvSpPr>
        <xdr:cNvPr id="7" name="BlokTextu 6"/>
        <xdr:cNvSpPr txBox="1"/>
      </xdr:nvSpPr>
      <xdr:spPr>
        <a:xfrm>
          <a:off x="9806940" y="3451860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2021</a:t>
          </a:r>
        </a:p>
      </xdr:txBody>
    </xdr:sp>
    <xdr:clientData/>
  </xdr:twoCellAnchor>
  <xdr:twoCellAnchor>
    <xdr:from>
      <xdr:col>1</xdr:col>
      <xdr:colOff>716280</xdr:colOff>
      <xdr:row>21</xdr:row>
      <xdr:rowOff>22860</xdr:rowOff>
    </xdr:from>
    <xdr:to>
      <xdr:col>4</xdr:col>
      <xdr:colOff>1141094</xdr:colOff>
      <xdr:row>35</xdr:row>
      <xdr:rowOff>83041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2133600</xdr:colOff>
      <xdr:row>19</xdr:row>
      <xdr:rowOff>38100</xdr:rowOff>
    </xdr:from>
    <xdr:to>
      <xdr:col>5</xdr:col>
      <xdr:colOff>299085</xdr:colOff>
      <xdr:row>20</xdr:row>
      <xdr:rowOff>93345</xdr:rowOff>
    </xdr:to>
    <xdr:sp macro="" textlink="">
      <xdr:nvSpPr>
        <xdr:cNvPr id="11" name="BlokTextu 10"/>
        <xdr:cNvSpPr txBox="1"/>
      </xdr:nvSpPr>
      <xdr:spPr>
        <a:xfrm>
          <a:off x="5577840" y="3558540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2022</a:t>
          </a:r>
        </a:p>
        <a:p>
          <a:pPr algn="ctr"/>
          <a:endParaRPr lang="sk-SK" sz="12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53340</xdr:colOff>
      <xdr:row>20</xdr:row>
      <xdr:rowOff>53340</xdr:rowOff>
    </xdr:from>
    <xdr:to>
      <xdr:col>10</xdr:col>
      <xdr:colOff>236698</xdr:colOff>
      <xdr:row>34</xdr:row>
      <xdr:rowOff>114509</xdr:rowOff>
    </xdr:to>
    <xdr:pic>
      <xdr:nvPicPr>
        <xdr:cNvPr id="18" name="Obrázok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7060" y="3741420"/>
          <a:ext cx="5517358" cy="2408129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20</xdr:row>
      <xdr:rowOff>114300</xdr:rowOff>
    </xdr:from>
    <xdr:to>
      <xdr:col>7</xdr:col>
      <xdr:colOff>19050</xdr:colOff>
      <xdr:row>31</xdr:row>
      <xdr:rowOff>0</xdr:rowOff>
    </xdr:to>
    <xdr:cxnSp macro="">
      <xdr:nvCxnSpPr>
        <xdr:cNvPr id="19" name="Rovná spojnica 18"/>
        <xdr:cNvCxnSpPr/>
      </xdr:nvCxnSpPr>
      <xdr:spPr>
        <a:xfrm>
          <a:off x="9311640" y="3802380"/>
          <a:ext cx="3810" cy="17297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15240</xdr:rowOff>
    </xdr:from>
    <xdr:to>
      <xdr:col>11</xdr:col>
      <xdr:colOff>375285</xdr:colOff>
      <xdr:row>20</xdr:row>
      <xdr:rowOff>70485</xdr:rowOff>
    </xdr:to>
    <xdr:sp macro="" textlink="">
      <xdr:nvSpPr>
        <xdr:cNvPr id="21" name="BlokTextu 20"/>
        <xdr:cNvSpPr txBox="1"/>
      </xdr:nvSpPr>
      <xdr:spPr>
        <a:xfrm>
          <a:off x="11612880" y="3535680"/>
          <a:ext cx="1624965" cy="222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>
              <a:latin typeface="Arial Narrow" panose="020B0606020202030204" pitchFamily="34" charset="0"/>
            </a:rPr>
            <a:t>2022</a:t>
          </a:r>
        </a:p>
        <a:p>
          <a:pPr algn="ctr"/>
          <a:endParaRPr lang="sk-SK" sz="12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60960</xdr:colOff>
      <xdr:row>0</xdr:row>
      <xdr:rowOff>38100</xdr:rowOff>
    </xdr:from>
    <xdr:to>
      <xdr:col>1</xdr:col>
      <xdr:colOff>744970</xdr:colOff>
      <xdr:row>3</xdr:row>
      <xdr:rowOff>33944</xdr:rowOff>
    </xdr:to>
    <xdr:sp macro="" textlink="">
      <xdr:nvSpPr>
        <xdr:cNvPr id="13" name="Rounded Rectangle 5_ContentButton">
          <a:hlinkClick xmlns:r="http://schemas.openxmlformats.org/officeDocument/2006/relationships" r:id="rId3"/>
        </xdr:cNvPr>
        <xdr:cNvSpPr/>
      </xdr:nvSpPr>
      <xdr:spPr>
        <a:xfrm>
          <a:off x="60960" y="38100"/>
          <a:ext cx="1316470" cy="498764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0.7919</cdr:x>
      <cdr:y>0.00426</cdr:y>
    </cdr:from>
    <cdr:to>
      <cdr:x>0.79225</cdr:x>
      <cdr:y>0.70364</cdr:y>
    </cdr:to>
    <cdr:cxnSp macro="">
      <cdr:nvCxnSpPr>
        <cdr:cNvPr id="2" name="Rovná spojnica 1"/>
        <cdr:cNvCxnSpPr/>
      </cdr:nvCxnSpPr>
      <cdr:spPr>
        <a:xfrm xmlns:a="http://schemas.openxmlformats.org/drawingml/2006/main">
          <a:off x="4367306" y="10459"/>
          <a:ext cx="1905" cy="17168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30546</xdr:colOff>
      <xdr:row>15</xdr:row>
      <xdr:rowOff>76200</xdr:rowOff>
    </xdr:from>
    <xdr:to>
      <xdr:col>6</xdr:col>
      <xdr:colOff>535617</xdr:colOff>
      <xdr:row>24</xdr:row>
      <xdr:rowOff>163249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46" y="2796540"/>
          <a:ext cx="6113391" cy="1595809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14</xdr:row>
      <xdr:rowOff>127533</xdr:rowOff>
    </xdr:from>
    <xdr:to>
      <xdr:col>16</xdr:col>
      <xdr:colOff>200338</xdr:colOff>
      <xdr:row>24</xdr:row>
      <xdr:rowOff>48949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3140" y="2680233"/>
          <a:ext cx="6121078" cy="1597816"/>
        </a:xfrm>
        <a:prstGeom prst="rect">
          <a:avLst/>
        </a:prstGeom>
      </xdr:spPr>
    </xdr:pic>
    <xdr:clientData/>
  </xdr:twoCellAnchor>
  <xdr:twoCellAnchor>
    <xdr:from>
      <xdr:col>0</xdr:col>
      <xdr:colOff>7620</xdr:colOff>
      <xdr:row>0</xdr:row>
      <xdr:rowOff>68580</xdr:rowOff>
    </xdr:from>
    <xdr:to>
      <xdr:col>2</xdr:col>
      <xdr:colOff>59170</xdr:colOff>
      <xdr:row>3</xdr:row>
      <xdr:rowOff>64424</xdr:rowOff>
    </xdr:to>
    <xdr:sp macro="" textlink="">
      <xdr:nvSpPr>
        <xdr:cNvPr id="5" name="Rounded Rectangle 5_ContentButton">
          <a:hlinkClick xmlns:r="http://schemas.openxmlformats.org/officeDocument/2006/relationships" r:id="rId3"/>
        </xdr:cNvPr>
        <xdr:cNvSpPr/>
      </xdr:nvSpPr>
      <xdr:spPr>
        <a:xfrm>
          <a:off x="7620" y="68580"/>
          <a:ext cx="1316470" cy="498764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7" name="Zaoblený obdĺžnik 6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3114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182375</xdr:colOff>
      <xdr:row>4</xdr:row>
      <xdr:rowOff>47625</xdr:rowOff>
    </xdr:from>
    <xdr:to>
      <xdr:col>6</xdr:col>
      <xdr:colOff>465667</xdr:colOff>
      <xdr:row>18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16</xdr:col>
      <xdr:colOff>10583</xdr:colOff>
      <xdr:row>17</xdr:row>
      <xdr:rowOff>158750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31</xdr:row>
      <xdr:rowOff>19050</xdr:rowOff>
    </xdr:from>
    <xdr:to>
      <xdr:col>7</xdr:col>
      <xdr:colOff>0</xdr:colOff>
      <xdr:row>45</xdr:row>
      <xdr:rowOff>158750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168088</xdr:colOff>
      <xdr:row>30</xdr:row>
      <xdr:rowOff>179293</xdr:rowOff>
    </xdr:from>
    <xdr:to>
      <xdr:col>16</xdr:col>
      <xdr:colOff>33617</xdr:colOff>
      <xdr:row>46</xdr:row>
      <xdr:rowOff>56028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11</xdr:row>
      <xdr:rowOff>106680</xdr:rowOff>
    </xdr:from>
    <xdr:to>
      <xdr:col>7</xdr:col>
      <xdr:colOff>33020</xdr:colOff>
      <xdr:row>26</xdr:row>
      <xdr:rowOff>50800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11</xdr:row>
      <xdr:rowOff>60960</xdr:rowOff>
    </xdr:from>
    <xdr:to>
      <xdr:col>15</xdr:col>
      <xdr:colOff>480060</xdr:colOff>
      <xdr:row>26</xdr:row>
      <xdr:rowOff>160020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472440</xdr:colOff>
      <xdr:row>29</xdr:row>
      <xdr:rowOff>7620</xdr:rowOff>
    </xdr:from>
    <xdr:to>
      <xdr:col>6</xdr:col>
      <xdr:colOff>204047</xdr:colOff>
      <xdr:row>44</xdr:row>
      <xdr:rowOff>55880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350520</xdr:colOff>
      <xdr:row>29</xdr:row>
      <xdr:rowOff>7620</xdr:rowOff>
    </xdr:from>
    <xdr:to>
      <xdr:col>16</xdr:col>
      <xdr:colOff>274320</xdr:colOff>
      <xdr:row>44</xdr:row>
      <xdr:rowOff>79586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63500</xdr:colOff>
      <xdr:row>2</xdr:row>
      <xdr:rowOff>133350</xdr:rowOff>
    </xdr:to>
    <xdr:sp macro="" textlink="">
      <xdr:nvSpPr>
        <xdr:cNvPr id="6" name="Rounded Rectangle 5_ContentButton">
          <a:hlinkClick xmlns:r="http://schemas.openxmlformats.org/officeDocument/2006/relationships" r:id="rId5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67235</xdr:rowOff>
    </xdr:from>
    <xdr:to>
      <xdr:col>9</xdr:col>
      <xdr:colOff>95250</xdr:colOff>
      <xdr:row>22</xdr:row>
      <xdr:rowOff>152960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</xdr:rowOff>
    </xdr:from>
    <xdr:to>
      <xdr:col>9</xdr:col>
      <xdr:colOff>66674</xdr:colOff>
      <xdr:row>59</xdr:row>
      <xdr:rowOff>19051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1282700</xdr:colOff>
      <xdr:row>1</xdr:row>
      <xdr:rowOff>156883</xdr:rowOff>
    </xdr:to>
    <xdr:sp macro="" textlink="">
      <xdr:nvSpPr>
        <xdr:cNvPr id="6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12</xdr:row>
      <xdr:rowOff>28575</xdr:rowOff>
    </xdr:from>
    <xdr:to>
      <xdr:col>10</xdr:col>
      <xdr:colOff>45040</xdr:colOff>
      <xdr:row>33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542925</xdr:colOff>
      <xdr:row>11</xdr:row>
      <xdr:rowOff>171450</xdr:rowOff>
    </xdr:from>
    <xdr:to>
      <xdr:col>23</xdr:col>
      <xdr:colOff>149815</xdr:colOff>
      <xdr:row>33</xdr:row>
      <xdr:rowOff>57150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1282700</xdr:colOff>
      <xdr:row>1</xdr:row>
      <xdr:rowOff>134471</xdr:rowOff>
    </xdr:to>
    <xdr:sp macro="" textlink="">
      <xdr:nvSpPr>
        <xdr:cNvPr id="5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86995</xdr:rowOff>
    </xdr:from>
    <xdr:to>
      <xdr:col>2</xdr:col>
      <xdr:colOff>509270</xdr:colOff>
      <xdr:row>11</xdr:row>
      <xdr:rowOff>41275</xdr:rowOff>
    </xdr:to>
    <xdr:sp macro="" textlink="">
      <xdr:nvSpPr>
        <xdr:cNvPr id="2" name="Textové pole 2"/>
        <xdr:cNvSpPr txBox="1">
          <a:spLocks noChangeArrowheads="1"/>
        </xdr:cNvSpPr>
      </xdr:nvSpPr>
      <xdr:spPr bwMode="auto">
        <a:xfrm>
          <a:off x="0" y="1229995"/>
          <a:ext cx="1118870" cy="335280"/>
        </a:xfrm>
        <a:prstGeom prst="rect">
          <a:avLst/>
        </a:prstGeom>
        <a:noFill/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máj 2021 – schválené PVV E. Hegera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133985</xdr:colOff>
      <xdr:row>4</xdr:row>
      <xdr:rowOff>51435</xdr:rowOff>
    </xdr:from>
    <xdr:to>
      <xdr:col>3</xdr:col>
      <xdr:colOff>133985</xdr:colOff>
      <xdr:row>12</xdr:row>
      <xdr:rowOff>85090</xdr:rowOff>
    </xdr:to>
    <xdr:cxnSp macro="">
      <xdr:nvCxnSpPr>
        <xdr:cNvPr id="3" name="Rovná spojnica 2"/>
        <xdr:cNvCxnSpPr/>
      </xdr:nvCxnSpPr>
      <xdr:spPr>
        <a:xfrm>
          <a:off x="1353185" y="2419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201930</xdr:colOff>
      <xdr:row>4</xdr:row>
      <xdr:rowOff>51435</xdr:rowOff>
    </xdr:from>
    <xdr:to>
      <xdr:col>5</xdr:col>
      <xdr:colOff>201930</xdr:colOff>
      <xdr:row>12</xdr:row>
      <xdr:rowOff>85090</xdr:rowOff>
    </xdr:to>
    <xdr:cxnSp macro="">
      <xdr:nvCxnSpPr>
        <xdr:cNvPr id="4" name="Rovná spojnica 3"/>
        <xdr:cNvCxnSpPr/>
      </xdr:nvCxnSpPr>
      <xdr:spPr>
        <a:xfrm>
          <a:off x="2640330" y="2419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4</xdr:row>
      <xdr:rowOff>137160</xdr:rowOff>
    </xdr:from>
    <xdr:to>
      <xdr:col>5</xdr:col>
      <xdr:colOff>297180</xdr:colOff>
      <xdr:row>7</xdr:row>
      <xdr:rowOff>186690</xdr:rowOff>
    </xdr:to>
    <xdr:sp macro="" textlink="">
      <xdr:nvSpPr>
        <xdr:cNvPr id="5" name="Šípka doprava 4"/>
        <xdr:cNvSpPr/>
      </xdr:nvSpPr>
      <xdr:spPr>
        <a:xfrm>
          <a:off x="1257935" y="327660"/>
          <a:ext cx="1477645" cy="62103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24-mesačná výnimka z najprísnejších sankcií</a:t>
          </a:r>
          <a:endParaRPr lang="sk-SK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340995</xdr:colOff>
      <xdr:row>4</xdr:row>
      <xdr:rowOff>138430</xdr:rowOff>
    </xdr:from>
    <xdr:to>
      <xdr:col>6</xdr:col>
      <xdr:colOff>601345</xdr:colOff>
      <xdr:row>6</xdr:row>
      <xdr:rowOff>167005</xdr:rowOff>
    </xdr:to>
    <xdr:sp macro="" textlink="">
      <xdr:nvSpPr>
        <xdr:cNvPr id="6" name="Textové pole 2"/>
        <xdr:cNvSpPr txBox="1">
          <a:spLocks noChangeArrowheads="1"/>
        </xdr:cNvSpPr>
      </xdr:nvSpPr>
      <xdr:spPr bwMode="auto">
        <a:xfrm>
          <a:off x="2779395" y="328930"/>
          <a:ext cx="869950" cy="40957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máj 2023 – viazanie </a:t>
          </a:r>
          <a:b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3 % z celkových výdavkov rozpočtu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353695</xdr:colOff>
      <xdr:row>11</xdr:row>
      <xdr:rowOff>48260</xdr:rowOff>
    </xdr:from>
    <xdr:to>
      <xdr:col>4</xdr:col>
      <xdr:colOff>541020</xdr:colOff>
      <xdr:row>12</xdr:row>
      <xdr:rowOff>98425</xdr:rowOff>
    </xdr:to>
    <xdr:sp macro="" textlink="">
      <xdr:nvSpPr>
        <xdr:cNvPr id="7" name="Textové pole 2"/>
        <xdr:cNvSpPr txBox="1">
          <a:spLocks noChangeArrowheads="1"/>
        </xdr:cNvSpPr>
      </xdr:nvSpPr>
      <xdr:spPr bwMode="auto">
        <a:xfrm>
          <a:off x="1572895" y="1572260"/>
          <a:ext cx="796925" cy="240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2022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336984</xdr:colOff>
      <xdr:row>4</xdr:row>
      <xdr:rowOff>168647</xdr:rowOff>
    </xdr:from>
    <xdr:to>
      <xdr:col>5</xdr:col>
      <xdr:colOff>336984</xdr:colOff>
      <xdr:row>8</xdr:row>
      <xdr:rowOff>121657</xdr:rowOff>
    </xdr:to>
    <xdr:cxnSp macro="">
      <xdr:nvCxnSpPr>
        <xdr:cNvPr id="8" name="Rovná spojnica 7"/>
        <xdr:cNvCxnSpPr/>
      </xdr:nvCxnSpPr>
      <xdr:spPr>
        <a:xfrm>
          <a:off x="3380338" y="549647"/>
          <a:ext cx="0" cy="715010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364490</xdr:colOff>
      <xdr:row>4</xdr:row>
      <xdr:rowOff>51435</xdr:rowOff>
    </xdr:from>
    <xdr:to>
      <xdr:col>7</xdr:col>
      <xdr:colOff>364490</xdr:colOff>
      <xdr:row>12</xdr:row>
      <xdr:rowOff>85090</xdr:rowOff>
    </xdr:to>
    <xdr:cxnSp macro="">
      <xdr:nvCxnSpPr>
        <xdr:cNvPr id="9" name="Rovná spojnica 8"/>
        <xdr:cNvCxnSpPr/>
      </xdr:nvCxnSpPr>
      <xdr:spPr>
        <a:xfrm>
          <a:off x="4022090" y="2419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436245</xdr:colOff>
      <xdr:row>9</xdr:row>
      <xdr:rowOff>84455</xdr:rowOff>
    </xdr:from>
    <xdr:to>
      <xdr:col>7</xdr:col>
      <xdr:colOff>269875</xdr:colOff>
      <xdr:row>11</xdr:row>
      <xdr:rowOff>38100</xdr:rowOff>
    </xdr:to>
    <xdr:sp macro="" textlink="">
      <xdr:nvSpPr>
        <xdr:cNvPr id="10" name="Textové pole 2"/>
        <xdr:cNvSpPr txBox="1">
          <a:spLocks noChangeArrowheads="1"/>
        </xdr:cNvSpPr>
      </xdr:nvSpPr>
      <xdr:spPr bwMode="auto">
        <a:xfrm>
          <a:off x="2874645" y="1227455"/>
          <a:ext cx="1052830" cy="33464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hlasovanie o dôvere vláde v NR SR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435610</xdr:colOff>
      <xdr:row>8</xdr:row>
      <xdr:rowOff>108585</xdr:rowOff>
    </xdr:from>
    <xdr:to>
      <xdr:col>5</xdr:col>
      <xdr:colOff>435610</xdr:colOff>
      <xdr:row>11</xdr:row>
      <xdr:rowOff>40640</xdr:rowOff>
    </xdr:to>
    <xdr:cxnSp macro="">
      <xdr:nvCxnSpPr>
        <xdr:cNvPr id="11" name="Rovná spojnica 10"/>
        <xdr:cNvCxnSpPr/>
      </xdr:nvCxnSpPr>
      <xdr:spPr>
        <a:xfrm>
          <a:off x="2874010" y="1061085"/>
          <a:ext cx="0" cy="503555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202999</xdr:colOff>
      <xdr:row>3</xdr:row>
      <xdr:rowOff>0</xdr:rowOff>
    </xdr:from>
    <xdr:to>
      <xdr:col>8</xdr:col>
      <xdr:colOff>558599</xdr:colOff>
      <xdr:row>5</xdr:row>
      <xdr:rowOff>143510</xdr:rowOff>
    </xdr:to>
    <xdr:sp macro="" textlink="">
      <xdr:nvSpPr>
        <xdr:cNvPr id="12" name="Textové pole 2"/>
        <xdr:cNvSpPr txBox="1">
          <a:spLocks noChangeArrowheads="1"/>
        </xdr:cNvSpPr>
      </xdr:nvSpPr>
      <xdr:spPr bwMode="auto">
        <a:xfrm>
          <a:off x="4463694" y="190500"/>
          <a:ext cx="964271" cy="52451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október 2023 – návrh RVS 2024-2026 s vyrovnaným hospodárením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205105</xdr:colOff>
      <xdr:row>5</xdr:row>
      <xdr:rowOff>177165</xdr:rowOff>
    </xdr:from>
    <xdr:to>
      <xdr:col>8</xdr:col>
      <xdr:colOff>560705</xdr:colOff>
      <xdr:row>8</xdr:row>
      <xdr:rowOff>21590</xdr:rowOff>
    </xdr:to>
    <xdr:sp macro="" textlink="">
      <xdr:nvSpPr>
        <xdr:cNvPr id="13" name="Textové pole 2"/>
        <xdr:cNvSpPr txBox="1">
          <a:spLocks noChangeArrowheads="1"/>
        </xdr:cNvSpPr>
      </xdr:nvSpPr>
      <xdr:spPr bwMode="auto">
        <a:xfrm>
          <a:off x="3862705" y="558165"/>
          <a:ext cx="965200" cy="41592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obce a VÚC predložia vyrovnaný alebo prebytkový rozpočet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248920</xdr:colOff>
      <xdr:row>8</xdr:row>
      <xdr:rowOff>105410</xdr:rowOff>
    </xdr:from>
    <xdr:to>
      <xdr:col>9</xdr:col>
      <xdr:colOff>214630</xdr:colOff>
      <xdr:row>8</xdr:row>
      <xdr:rowOff>105410</xdr:rowOff>
    </xdr:to>
    <xdr:cxnSp macro="">
      <xdr:nvCxnSpPr>
        <xdr:cNvPr id="14" name="Rovná spojnica 13"/>
        <xdr:cNvCxnSpPr/>
      </xdr:nvCxnSpPr>
      <xdr:spPr>
        <a:xfrm>
          <a:off x="248920" y="1057910"/>
          <a:ext cx="4842510" cy="0"/>
        </a:xfrm>
        <a:prstGeom prst="line">
          <a:avLst/>
        </a:prstGeom>
        <a:ln w="28575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205104</xdr:colOff>
      <xdr:row>3</xdr:row>
      <xdr:rowOff>108152</xdr:rowOff>
    </xdr:from>
    <xdr:to>
      <xdr:col>7</xdr:col>
      <xdr:colOff>205104</xdr:colOff>
      <xdr:row>8</xdr:row>
      <xdr:rowOff>105612</xdr:rowOff>
    </xdr:to>
    <xdr:cxnSp macro="">
      <xdr:nvCxnSpPr>
        <xdr:cNvPr id="15" name="Rovná spojnica 14"/>
        <xdr:cNvCxnSpPr/>
      </xdr:nvCxnSpPr>
      <xdr:spPr>
        <a:xfrm>
          <a:off x="4465799" y="298652"/>
          <a:ext cx="0" cy="949960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480695</xdr:colOff>
      <xdr:row>11</xdr:row>
      <xdr:rowOff>48895</xdr:rowOff>
    </xdr:from>
    <xdr:to>
      <xdr:col>7</xdr:col>
      <xdr:colOff>58420</xdr:colOff>
      <xdr:row>12</xdr:row>
      <xdr:rowOff>114300</xdr:rowOff>
    </xdr:to>
    <xdr:sp macro="" textlink="">
      <xdr:nvSpPr>
        <xdr:cNvPr id="16" name="Textové pole 2"/>
        <xdr:cNvSpPr txBox="1">
          <a:spLocks noChangeArrowheads="1"/>
        </xdr:cNvSpPr>
      </xdr:nvSpPr>
      <xdr:spPr bwMode="auto">
        <a:xfrm>
          <a:off x="2919095" y="1572895"/>
          <a:ext cx="79692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518795</xdr:colOff>
      <xdr:row>11</xdr:row>
      <xdr:rowOff>53340</xdr:rowOff>
    </xdr:from>
    <xdr:to>
      <xdr:col>9</xdr:col>
      <xdr:colOff>96520</xdr:colOff>
      <xdr:row>12</xdr:row>
      <xdr:rowOff>118745</xdr:rowOff>
    </xdr:to>
    <xdr:sp macro="" textlink="">
      <xdr:nvSpPr>
        <xdr:cNvPr id="17" name="Textové pole 2"/>
        <xdr:cNvSpPr txBox="1">
          <a:spLocks noChangeArrowheads="1"/>
        </xdr:cNvSpPr>
      </xdr:nvSpPr>
      <xdr:spPr bwMode="auto">
        <a:xfrm>
          <a:off x="4176395" y="1577340"/>
          <a:ext cx="79692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25</xdr:row>
      <xdr:rowOff>86995</xdr:rowOff>
    </xdr:from>
    <xdr:to>
      <xdr:col>2</xdr:col>
      <xdr:colOff>509270</xdr:colOff>
      <xdr:row>27</xdr:row>
      <xdr:rowOff>120805</xdr:rowOff>
    </xdr:to>
    <xdr:sp macro="" textlink="">
      <xdr:nvSpPr>
        <xdr:cNvPr id="18" name="Textové pole 2"/>
        <xdr:cNvSpPr txBox="1">
          <a:spLocks noChangeArrowheads="1"/>
        </xdr:cNvSpPr>
      </xdr:nvSpPr>
      <xdr:spPr bwMode="auto">
        <a:xfrm>
          <a:off x="608671" y="4621824"/>
          <a:ext cx="1117940" cy="414810"/>
        </a:xfrm>
        <a:prstGeom prst="rect">
          <a:avLst/>
        </a:prstGeom>
        <a:noFill/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May 2021 – approved Government’s Manifesto of Mr.</a:t>
          </a:r>
          <a:r>
            <a:rPr lang="sk-SK" sz="700" baseline="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Heger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133985</xdr:colOff>
      <xdr:row>20</xdr:row>
      <xdr:rowOff>51435</xdr:rowOff>
    </xdr:from>
    <xdr:to>
      <xdr:col>3</xdr:col>
      <xdr:colOff>133985</xdr:colOff>
      <xdr:row>28</xdr:row>
      <xdr:rowOff>85090</xdr:rowOff>
    </xdr:to>
    <xdr:cxnSp macro="">
      <xdr:nvCxnSpPr>
        <xdr:cNvPr id="19" name="Rovná spojnica 18"/>
        <xdr:cNvCxnSpPr/>
      </xdr:nvCxnSpPr>
      <xdr:spPr>
        <a:xfrm>
          <a:off x="1962785" y="4324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201930</xdr:colOff>
      <xdr:row>20</xdr:row>
      <xdr:rowOff>51435</xdr:rowOff>
    </xdr:from>
    <xdr:to>
      <xdr:col>5</xdr:col>
      <xdr:colOff>201930</xdr:colOff>
      <xdr:row>28</xdr:row>
      <xdr:rowOff>85090</xdr:rowOff>
    </xdr:to>
    <xdr:cxnSp macro="">
      <xdr:nvCxnSpPr>
        <xdr:cNvPr id="20" name="Rovná spojnica 19"/>
        <xdr:cNvCxnSpPr/>
      </xdr:nvCxnSpPr>
      <xdr:spPr>
        <a:xfrm>
          <a:off x="3249930" y="4324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20</xdr:row>
      <xdr:rowOff>137160</xdr:rowOff>
    </xdr:from>
    <xdr:to>
      <xdr:col>5</xdr:col>
      <xdr:colOff>297180</xdr:colOff>
      <xdr:row>23</xdr:row>
      <xdr:rowOff>186690</xdr:rowOff>
    </xdr:to>
    <xdr:sp macro="" textlink="">
      <xdr:nvSpPr>
        <xdr:cNvPr id="21" name="Šípka doprava 20"/>
        <xdr:cNvSpPr/>
      </xdr:nvSpPr>
      <xdr:spPr>
        <a:xfrm>
          <a:off x="1867535" y="518160"/>
          <a:ext cx="1477645" cy="62103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24-months escape clause for the 3</a:t>
          </a:r>
          <a:r>
            <a:rPr lang="sk-SK" sz="700" baseline="300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rd</a:t>
          </a: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4</a:t>
          </a:r>
          <a:r>
            <a:rPr lang="sk-SK" sz="700" baseline="30000">
              <a:solidFill>
                <a:schemeClr val="lt1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</a:t>
          </a: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and 5</a:t>
          </a:r>
          <a:r>
            <a:rPr lang="sk-SK" sz="700" baseline="30000">
              <a:solidFill>
                <a:schemeClr val="lt1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</a:t>
          </a: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sanction bands</a:t>
          </a:r>
          <a:endParaRPr lang="sk-SK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340995</xdr:colOff>
      <xdr:row>20</xdr:row>
      <xdr:rowOff>138430</xdr:rowOff>
    </xdr:from>
    <xdr:to>
      <xdr:col>6</xdr:col>
      <xdr:colOff>601345</xdr:colOff>
      <xdr:row>22</xdr:row>
      <xdr:rowOff>167005</xdr:rowOff>
    </xdr:to>
    <xdr:sp macro="" textlink="">
      <xdr:nvSpPr>
        <xdr:cNvPr id="22" name="Textové pole 2"/>
        <xdr:cNvSpPr txBox="1">
          <a:spLocks noChangeArrowheads="1"/>
        </xdr:cNvSpPr>
      </xdr:nvSpPr>
      <xdr:spPr bwMode="auto">
        <a:xfrm>
          <a:off x="3388995" y="519430"/>
          <a:ext cx="869950" cy="40957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May 2023 – freezing</a:t>
          </a:r>
          <a:r>
            <a:rPr lang="sk-SK" sz="700" baseline="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3 % of total expenditures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353695</xdr:colOff>
      <xdr:row>27</xdr:row>
      <xdr:rowOff>48260</xdr:rowOff>
    </xdr:from>
    <xdr:to>
      <xdr:col>4</xdr:col>
      <xdr:colOff>541020</xdr:colOff>
      <xdr:row>28</xdr:row>
      <xdr:rowOff>98425</xdr:rowOff>
    </xdr:to>
    <xdr:sp macro="" textlink="">
      <xdr:nvSpPr>
        <xdr:cNvPr id="23" name="Textové pole 2"/>
        <xdr:cNvSpPr txBox="1">
          <a:spLocks noChangeArrowheads="1"/>
        </xdr:cNvSpPr>
      </xdr:nvSpPr>
      <xdr:spPr bwMode="auto">
        <a:xfrm>
          <a:off x="2182495" y="1762760"/>
          <a:ext cx="796925" cy="240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2022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336984</xdr:colOff>
      <xdr:row>20</xdr:row>
      <xdr:rowOff>154708</xdr:rowOff>
    </xdr:from>
    <xdr:to>
      <xdr:col>5</xdr:col>
      <xdr:colOff>336984</xdr:colOff>
      <xdr:row>24</xdr:row>
      <xdr:rowOff>107718</xdr:rowOff>
    </xdr:to>
    <xdr:cxnSp macro="">
      <xdr:nvCxnSpPr>
        <xdr:cNvPr id="24" name="Rovná spojnica 23"/>
        <xdr:cNvCxnSpPr/>
      </xdr:nvCxnSpPr>
      <xdr:spPr>
        <a:xfrm>
          <a:off x="3380338" y="3737037"/>
          <a:ext cx="0" cy="715010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364490</xdr:colOff>
      <xdr:row>20</xdr:row>
      <xdr:rowOff>51435</xdr:rowOff>
    </xdr:from>
    <xdr:to>
      <xdr:col>7</xdr:col>
      <xdr:colOff>364490</xdr:colOff>
      <xdr:row>28</xdr:row>
      <xdr:rowOff>85090</xdr:rowOff>
    </xdr:to>
    <xdr:cxnSp macro="">
      <xdr:nvCxnSpPr>
        <xdr:cNvPr id="25" name="Rovná spojnica 24"/>
        <xdr:cNvCxnSpPr/>
      </xdr:nvCxnSpPr>
      <xdr:spPr>
        <a:xfrm>
          <a:off x="4631690" y="432435"/>
          <a:ext cx="0" cy="1557655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436245</xdr:colOff>
      <xdr:row>25</xdr:row>
      <xdr:rowOff>84455</xdr:rowOff>
    </xdr:from>
    <xdr:to>
      <xdr:col>7</xdr:col>
      <xdr:colOff>269875</xdr:colOff>
      <xdr:row>27</xdr:row>
      <xdr:rowOff>38100</xdr:rowOff>
    </xdr:to>
    <xdr:sp macro="" textlink="">
      <xdr:nvSpPr>
        <xdr:cNvPr id="26" name="Textové pole 2"/>
        <xdr:cNvSpPr txBox="1">
          <a:spLocks noChangeArrowheads="1"/>
        </xdr:cNvSpPr>
      </xdr:nvSpPr>
      <xdr:spPr bwMode="auto">
        <a:xfrm>
          <a:off x="3484245" y="1417955"/>
          <a:ext cx="1052830" cy="33464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vote of confidence in the Government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435610</xdr:colOff>
      <xdr:row>24</xdr:row>
      <xdr:rowOff>108585</xdr:rowOff>
    </xdr:from>
    <xdr:to>
      <xdr:col>5</xdr:col>
      <xdr:colOff>435610</xdr:colOff>
      <xdr:row>27</xdr:row>
      <xdr:rowOff>40640</xdr:rowOff>
    </xdr:to>
    <xdr:cxnSp macro="">
      <xdr:nvCxnSpPr>
        <xdr:cNvPr id="27" name="Rovná spojnica 26"/>
        <xdr:cNvCxnSpPr/>
      </xdr:nvCxnSpPr>
      <xdr:spPr>
        <a:xfrm>
          <a:off x="3483610" y="1251585"/>
          <a:ext cx="0" cy="503555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202998</xdr:colOff>
      <xdr:row>19</xdr:row>
      <xdr:rowOff>4646</xdr:rowOff>
    </xdr:from>
    <xdr:to>
      <xdr:col>9</xdr:col>
      <xdr:colOff>92926</xdr:colOff>
      <xdr:row>21</xdr:row>
      <xdr:rowOff>148156</xdr:rowOff>
    </xdr:to>
    <xdr:sp macro="" textlink="">
      <xdr:nvSpPr>
        <xdr:cNvPr id="28" name="Textové pole 2"/>
        <xdr:cNvSpPr txBox="1">
          <a:spLocks noChangeArrowheads="1"/>
        </xdr:cNvSpPr>
      </xdr:nvSpPr>
      <xdr:spPr bwMode="auto">
        <a:xfrm>
          <a:off x="4463693" y="3396475"/>
          <a:ext cx="1107270" cy="52451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October 2023 – the Government submits</a:t>
          </a:r>
          <a:r>
            <a:rPr lang="sk-SK" sz="700" baseline="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balanced draft of the general government budget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205105</xdr:colOff>
      <xdr:row>21</xdr:row>
      <xdr:rowOff>177165</xdr:rowOff>
    </xdr:from>
    <xdr:to>
      <xdr:col>9</xdr:col>
      <xdr:colOff>97573</xdr:colOff>
      <xdr:row>24</xdr:row>
      <xdr:rowOff>21590</xdr:rowOff>
    </xdr:to>
    <xdr:sp macro="" textlink="">
      <xdr:nvSpPr>
        <xdr:cNvPr id="29" name="Textové pole 2"/>
        <xdr:cNvSpPr txBox="1">
          <a:spLocks noChangeArrowheads="1"/>
        </xdr:cNvSpPr>
      </xdr:nvSpPr>
      <xdr:spPr bwMode="auto">
        <a:xfrm>
          <a:off x="4465800" y="3949994"/>
          <a:ext cx="1109810" cy="41592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2C9ADC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7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municipalities and others are obliged to approve a balanced budget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248920</xdr:colOff>
      <xdr:row>24</xdr:row>
      <xdr:rowOff>105410</xdr:rowOff>
    </xdr:from>
    <xdr:to>
      <xdr:col>9</xdr:col>
      <xdr:colOff>214630</xdr:colOff>
      <xdr:row>24</xdr:row>
      <xdr:rowOff>105410</xdr:rowOff>
    </xdr:to>
    <xdr:cxnSp macro="">
      <xdr:nvCxnSpPr>
        <xdr:cNvPr id="30" name="Rovná spojnica 29"/>
        <xdr:cNvCxnSpPr/>
      </xdr:nvCxnSpPr>
      <xdr:spPr>
        <a:xfrm>
          <a:off x="858520" y="1248410"/>
          <a:ext cx="4842510" cy="0"/>
        </a:xfrm>
        <a:prstGeom prst="line">
          <a:avLst/>
        </a:prstGeom>
        <a:ln w="28575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205105</xdr:colOff>
      <xdr:row>19</xdr:row>
      <xdr:rowOff>103505</xdr:rowOff>
    </xdr:from>
    <xdr:to>
      <xdr:col>7</xdr:col>
      <xdr:colOff>205105</xdr:colOff>
      <xdr:row>24</xdr:row>
      <xdr:rowOff>100965</xdr:rowOff>
    </xdr:to>
    <xdr:cxnSp macro="">
      <xdr:nvCxnSpPr>
        <xdr:cNvPr id="31" name="Rovná spojnica 30"/>
        <xdr:cNvCxnSpPr/>
      </xdr:nvCxnSpPr>
      <xdr:spPr>
        <a:xfrm>
          <a:off x="4472305" y="294005"/>
          <a:ext cx="0" cy="949960"/>
        </a:xfrm>
        <a:prstGeom prst="line">
          <a:avLst/>
        </a:prstGeom>
        <a:ln w="12700">
          <a:solidFill>
            <a:srgbClr val="2C9AD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480695</xdr:colOff>
      <xdr:row>27</xdr:row>
      <xdr:rowOff>48895</xdr:rowOff>
    </xdr:from>
    <xdr:to>
      <xdr:col>7</xdr:col>
      <xdr:colOff>58420</xdr:colOff>
      <xdr:row>28</xdr:row>
      <xdr:rowOff>114300</xdr:rowOff>
    </xdr:to>
    <xdr:sp macro="" textlink="">
      <xdr:nvSpPr>
        <xdr:cNvPr id="32" name="Textové pole 2"/>
        <xdr:cNvSpPr txBox="1">
          <a:spLocks noChangeArrowheads="1"/>
        </xdr:cNvSpPr>
      </xdr:nvSpPr>
      <xdr:spPr bwMode="auto">
        <a:xfrm>
          <a:off x="3528695" y="1763395"/>
          <a:ext cx="79692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518795</xdr:colOff>
      <xdr:row>27</xdr:row>
      <xdr:rowOff>53340</xdr:rowOff>
    </xdr:from>
    <xdr:to>
      <xdr:col>9</xdr:col>
      <xdr:colOff>96520</xdr:colOff>
      <xdr:row>28</xdr:row>
      <xdr:rowOff>118745</xdr:rowOff>
    </xdr:to>
    <xdr:sp macro="" textlink="">
      <xdr:nvSpPr>
        <xdr:cNvPr id="33" name="Textové pole 2"/>
        <xdr:cNvSpPr txBox="1">
          <a:spLocks noChangeArrowheads="1"/>
        </xdr:cNvSpPr>
      </xdr:nvSpPr>
      <xdr:spPr bwMode="auto">
        <a:xfrm>
          <a:off x="4785995" y="1767840"/>
          <a:ext cx="79692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 b="1">
              <a:solidFill>
                <a:srgbClr val="808080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sk-SK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</xdr:colOff>
      <xdr:row>0</xdr:row>
      <xdr:rowOff>8283</xdr:rowOff>
    </xdr:from>
    <xdr:to>
      <xdr:col>2</xdr:col>
      <xdr:colOff>56875</xdr:colOff>
      <xdr:row>1</xdr:row>
      <xdr:rowOff>173935</xdr:rowOff>
    </xdr:to>
    <xdr:sp macro="" textlink="">
      <xdr:nvSpPr>
        <xdr:cNvPr id="34" name="Rounded Rectangle 5_ContentButton">
          <a:hlinkClick xmlns:r="http://schemas.openxmlformats.org/officeDocument/2006/relationships" r:id="rId1"/>
        </xdr:cNvPr>
        <xdr:cNvSpPr/>
      </xdr:nvSpPr>
      <xdr:spPr>
        <a:xfrm>
          <a:off x="1" y="8283"/>
          <a:ext cx="1282700" cy="356152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800" b="1">
              <a:solidFill>
                <a:srgbClr val="FFFFFF"/>
              </a:solidFill>
              <a:latin typeface="Arial Narrow" panose="020B0606020202030204" pitchFamily="34" charset="0"/>
            </a:rPr>
            <a:t>Obsah / Table of Content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15</xdr:row>
      <xdr:rowOff>114300</xdr:rowOff>
    </xdr:from>
    <xdr:to>
      <xdr:col>12</xdr:col>
      <xdr:colOff>540662</xdr:colOff>
      <xdr:row>37</xdr:row>
      <xdr:rowOff>149544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247650</xdr:colOff>
      <xdr:row>16</xdr:row>
      <xdr:rowOff>0</xdr:rowOff>
    </xdr:from>
    <xdr:to>
      <xdr:col>26</xdr:col>
      <xdr:colOff>264437</xdr:colOff>
      <xdr:row>38</xdr:row>
      <xdr:rowOff>35244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1282700</xdr:colOff>
      <xdr:row>1</xdr:row>
      <xdr:rowOff>153521</xdr:rowOff>
    </xdr:to>
    <xdr:sp macro="" textlink="">
      <xdr:nvSpPr>
        <xdr:cNvPr id="5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47625</xdr:rowOff>
    </xdr:from>
    <xdr:to>
      <xdr:col>9</xdr:col>
      <xdr:colOff>83888</xdr:colOff>
      <xdr:row>33</xdr:row>
      <xdr:rowOff>137053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485775</xdr:colOff>
      <xdr:row>13</xdr:row>
      <xdr:rowOff>0</xdr:rowOff>
    </xdr:from>
    <xdr:to>
      <xdr:col>20</xdr:col>
      <xdr:colOff>569663</xdr:colOff>
      <xdr:row>33</xdr:row>
      <xdr:rowOff>89428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673100</xdr:colOff>
      <xdr:row>1</xdr:row>
      <xdr:rowOff>134471</xdr:rowOff>
    </xdr:to>
    <xdr:sp macro="" textlink="">
      <xdr:nvSpPr>
        <xdr:cNvPr id="5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0.4628</cdr:x>
      <cdr:y>0.3433</cdr:y>
    </cdr:from>
    <cdr:to>
      <cdr:x>0.72536</cdr:x>
      <cdr:y>0.42088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2860078" y="1338661"/>
          <a:ext cx="1622591" cy="302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0.21799</cdr:x>
      <cdr:y>0.55887</cdr:y>
    </cdr:from>
    <cdr:to>
      <cdr:x>0.46292</cdr:x>
      <cdr:y>0.63956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1347180" y="2179289"/>
          <a:ext cx="1513640" cy="314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Nízke riziko</a:t>
          </a:r>
        </a:p>
      </cdr:txBody>
    </cdr:sp>
  </cdr:relSizeAnchor>
  <cdr:relSizeAnchor xmlns:cdr="http://schemas.openxmlformats.org/drawingml/2006/chartDrawing">
    <cdr:from>
      <cdr:x>0.46772</cdr:x>
      <cdr:y>0.13343</cdr:y>
    </cdr:from>
    <cdr:to>
      <cdr:x>0.72845</cdr:x>
      <cdr:y>0.21886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890437" y="520316"/>
          <a:ext cx="1611282" cy="333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Vysoké riziko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0.46126</cdr:x>
      <cdr:y>0.33596</cdr:y>
    </cdr:from>
    <cdr:to>
      <cdr:x>0.72382</cdr:x>
      <cdr:y>0.41354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2850543" y="1310070"/>
          <a:ext cx="1622592" cy="30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Medium risk</a:t>
          </a:r>
        </a:p>
      </cdr:txBody>
    </cdr:sp>
  </cdr:relSizeAnchor>
  <cdr:relSizeAnchor xmlns:cdr="http://schemas.openxmlformats.org/drawingml/2006/chartDrawing">
    <cdr:from>
      <cdr:x>0.21799</cdr:x>
      <cdr:y>0.55887</cdr:y>
    </cdr:from>
    <cdr:to>
      <cdr:x>0.46292</cdr:x>
      <cdr:y>0.63956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1347180" y="2179289"/>
          <a:ext cx="1513640" cy="314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Low risk</a:t>
          </a:r>
        </a:p>
      </cdr:txBody>
    </cdr:sp>
  </cdr:relSizeAnchor>
  <cdr:relSizeAnchor xmlns:cdr="http://schemas.openxmlformats.org/drawingml/2006/chartDrawing">
    <cdr:from>
      <cdr:x>0.46772</cdr:x>
      <cdr:y>0.13343</cdr:y>
    </cdr:from>
    <cdr:to>
      <cdr:x>0.72845</cdr:x>
      <cdr:y>0.21886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890437" y="520316"/>
          <a:ext cx="1611282" cy="333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High risk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9525</xdr:rowOff>
    </xdr:from>
    <xdr:to>
      <xdr:col>9</xdr:col>
      <xdr:colOff>17213</xdr:colOff>
      <xdr:row>33</xdr:row>
      <xdr:rowOff>98953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485775</xdr:colOff>
      <xdr:row>13</xdr:row>
      <xdr:rowOff>0</xdr:rowOff>
    </xdr:from>
    <xdr:to>
      <xdr:col>20</xdr:col>
      <xdr:colOff>569663</xdr:colOff>
      <xdr:row>33</xdr:row>
      <xdr:rowOff>89428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673100</xdr:colOff>
      <xdr:row>1</xdr:row>
      <xdr:rowOff>134471</xdr:rowOff>
    </xdr:to>
    <xdr:sp macro="" textlink="">
      <xdr:nvSpPr>
        <xdr:cNvPr id="5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460374</xdr:colOff>
      <xdr:row>6</xdr:row>
      <xdr:rowOff>139700</xdr:rowOff>
    </xdr:from>
    <xdr:to>
      <xdr:col>8</xdr:col>
      <xdr:colOff>342900</xdr:colOff>
      <xdr:row>22</xdr:row>
      <xdr:rowOff>104776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525780</xdr:colOff>
      <xdr:row>26</xdr:row>
      <xdr:rowOff>83820</xdr:rowOff>
    </xdr:from>
    <xdr:to>
      <xdr:col>14</xdr:col>
      <xdr:colOff>583566</xdr:colOff>
      <xdr:row>42</xdr:row>
      <xdr:rowOff>56516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7</xdr:col>
      <xdr:colOff>466725</xdr:colOff>
      <xdr:row>39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26</xdr:row>
      <xdr:rowOff>0</xdr:rowOff>
    </xdr:from>
    <xdr:to>
      <xdr:col>22</xdr:col>
      <xdr:colOff>38100</xdr:colOff>
      <xdr:row>40</xdr:row>
      <xdr:rowOff>114300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3175</xdr:colOff>
      <xdr:row>0</xdr:row>
      <xdr:rowOff>85725</xdr:rowOff>
    </xdr:from>
    <xdr:to>
      <xdr:col>1</xdr:col>
      <xdr:colOff>342900</xdr:colOff>
      <xdr:row>3</xdr:row>
      <xdr:rowOff>66675</xdr:rowOff>
    </xdr:to>
    <xdr:sp macro="" textlink="">
      <xdr:nvSpPr>
        <xdr:cNvPr id="6" name="Rounded Rectangle 5_ContentButton">
          <a:hlinkClick xmlns:r="http://schemas.openxmlformats.org/officeDocument/2006/relationships" r:id="rId5"/>
        </xdr:cNvPr>
        <xdr:cNvSpPr/>
      </xdr:nvSpPr>
      <xdr:spPr>
        <a:xfrm>
          <a:off x="3175" y="85725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0.47205</cdr:x>
      <cdr:y>0.46543</cdr:y>
    </cdr:from>
    <cdr:to>
      <cdr:x>0.73461</cdr:x>
      <cdr:y>0.54301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2917218" y="1814895"/>
          <a:ext cx="1622592" cy="30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0.44456</cdr:x>
      <cdr:y>0.71764</cdr:y>
    </cdr:from>
    <cdr:to>
      <cdr:x>0.68949</cdr:x>
      <cdr:y>0.79833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2747329" y="2798398"/>
          <a:ext cx="1513640" cy="314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Nízke riziko</a:t>
          </a:r>
        </a:p>
      </cdr:txBody>
    </cdr:sp>
  </cdr:relSizeAnchor>
  <cdr:relSizeAnchor xmlns:cdr="http://schemas.openxmlformats.org/drawingml/2006/chartDrawing">
    <cdr:from>
      <cdr:x>0.46926</cdr:x>
      <cdr:y>0.22137</cdr:y>
    </cdr:from>
    <cdr:to>
      <cdr:x>0.72999</cdr:x>
      <cdr:y>0.3068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899982" y="863201"/>
          <a:ext cx="1611282" cy="333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Vysoké riziko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0.50904</cdr:x>
      <cdr:y>0.46298</cdr:y>
    </cdr:from>
    <cdr:to>
      <cdr:x>0.7716</cdr:x>
      <cdr:y>0.54056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3145818" y="1805370"/>
          <a:ext cx="1622592" cy="30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Medium risk</a:t>
          </a:r>
        </a:p>
      </cdr:txBody>
    </cdr:sp>
  </cdr:relSizeAnchor>
  <cdr:relSizeAnchor xmlns:cdr="http://schemas.openxmlformats.org/drawingml/2006/chartDrawing">
    <cdr:from>
      <cdr:x>0.4723</cdr:x>
      <cdr:y>0.72009</cdr:y>
    </cdr:from>
    <cdr:to>
      <cdr:x>0.71723</cdr:x>
      <cdr:y>0.80078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2918779" y="2807923"/>
          <a:ext cx="1513640" cy="314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Low risk</a:t>
          </a:r>
        </a:p>
      </cdr:txBody>
    </cdr:sp>
  </cdr:relSizeAnchor>
  <cdr:relSizeAnchor xmlns:cdr="http://schemas.openxmlformats.org/drawingml/2006/chartDrawing">
    <cdr:from>
      <cdr:x>0.51704</cdr:x>
      <cdr:y>0.21892</cdr:y>
    </cdr:from>
    <cdr:to>
      <cdr:x>0.77777</cdr:x>
      <cdr:y>0.30435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3195257" y="853676"/>
          <a:ext cx="1611282" cy="333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 b="1">
              <a:latin typeface="Arial Narrow" panose="020B0606020202030204" pitchFamily="34" charset="0"/>
            </a:rPr>
            <a:t>High risk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1282700</xdr:colOff>
      <xdr:row>1</xdr:row>
      <xdr:rowOff>153521</xdr:rowOff>
    </xdr:to>
    <xdr:sp macro="" textlink="">
      <xdr:nvSpPr>
        <xdr:cNvPr id="3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19050"/>
          <a:ext cx="1282700" cy="324971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63500</xdr:colOff>
      <xdr:row>2</xdr:row>
      <xdr:rowOff>133350</xdr:rowOff>
    </xdr:to>
    <xdr:sp macro="" textlink="">
      <xdr:nvSpPr>
        <xdr:cNvPr id="2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0</xdr:col>
      <xdr:colOff>53975</xdr:colOff>
      <xdr:row>22</xdr:row>
      <xdr:rowOff>34925</xdr:rowOff>
    </xdr:from>
    <xdr:to>
      <xdr:col>4</xdr:col>
      <xdr:colOff>282575</xdr:colOff>
      <xdr:row>37</xdr:row>
      <xdr:rowOff>15875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22</xdr:row>
      <xdr:rowOff>34925</xdr:rowOff>
    </xdr:from>
    <xdr:to>
      <xdr:col>13</xdr:col>
      <xdr:colOff>295275</xdr:colOff>
      <xdr:row>37</xdr:row>
      <xdr:rowOff>15875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39</xdr:row>
      <xdr:rowOff>47625</xdr:rowOff>
    </xdr:from>
    <xdr:to>
      <xdr:col>4</xdr:col>
      <xdr:colOff>266700</xdr:colOff>
      <xdr:row>54</xdr:row>
      <xdr:rowOff>28575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606425</xdr:colOff>
      <xdr:row>39</xdr:row>
      <xdr:rowOff>85725</xdr:rowOff>
    </xdr:from>
    <xdr:to>
      <xdr:col>13</xdr:col>
      <xdr:colOff>301625</xdr:colOff>
      <xdr:row>54</xdr:row>
      <xdr:rowOff>66675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0.44861</cdr:x>
      <cdr:y>0.5787</cdr:y>
    </cdr:from>
    <cdr:to>
      <cdr:x>0.87361</cdr:x>
      <cdr:y>0.77315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051050" y="1587500"/>
          <a:ext cx="1943100" cy="53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>
              <a:latin typeface="Arial Narrow" panose="020B0606020202030204" pitchFamily="34" charset="0"/>
            </a:rPr>
            <a:t>Zahrnuté v pláne obnovy</a:t>
          </a:r>
        </a:p>
        <a:p xmlns:a="http://schemas.openxmlformats.org/drawingml/2006/main">
          <a:pPr>
            <a:spcBef>
              <a:spcPts val="600"/>
            </a:spcBef>
          </a:pPr>
          <a:r>
            <a:rPr lang="sk-SK" sz="1050">
              <a:latin typeface="Arial Narrow" panose="020B0606020202030204" pitchFamily="34" charset="0"/>
            </a:rPr>
            <a:t>Implementácia zmeny v</a:t>
          </a:r>
          <a:r>
            <a:rPr lang="sk-SK" sz="1050" baseline="0">
              <a:latin typeface="Arial Narrow" panose="020B0606020202030204" pitchFamily="34" charset="0"/>
            </a:rPr>
            <a:t> Ústave SR</a:t>
          </a:r>
          <a:endParaRPr lang="sk-SK" sz="105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0.41528</cdr:x>
      <cdr:y>0.58449</cdr:y>
    </cdr:from>
    <cdr:to>
      <cdr:x>0.45858</cdr:x>
      <cdr:y>0.65625</cdr:y>
    </cdr:to>
    <cdr:sp macro="" textlink="">
      <cdr:nvSpPr>
        <cdr:cNvPr id="3" name="Obdĺžnik 2"/>
        <cdr:cNvSpPr/>
      </cdr:nvSpPr>
      <cdr:spPr>
        <a:xfrm xmlns:a="http://schemas.openxmlformats.org/drawingml/2006/main">
          <a:off x="1898650" y="1603375"/>
          <a:ext cx="198000" cy="196850"/>
        </a:xfrm>
        <a:prstGeom xmlns:a="http://schemas.openxmlformats.org/drawingml/2006/main" prst="rect">
          <a:avLst/>
        </a:prstGeom>
        <a:solidFill xmlns:a="http://schemas.openxmlformats.org/drawingml/2006/main">
          <a:srgbClr val="F8CBAD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0.41389</cdr:x>
      <cdr:y>0.68287</cdr:y>
    </cdr:from>
    <cdr:to>
      <cdr:x>0.4572</cdr:x>
      <cdr:y>0.75463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892300" y="1873250"/>
          <a:ext cx="198000" cy="196850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rgbClr val="2C9ADC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0.36736</cdr:x>
      <cdr:y>0.50694</cdr:y>
    </cdr:from>
    <cdr:to>
      <cdr:x>0.90139</cdr:x>
      <cdr:y>0.70139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679575" y="1390650"/>
          <a:ext cx="2441575" cy="53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>
              <a:latin typeface="Arial Narrow" panose="020B0606020202030204" pitchFamily="34" charset="0"/>
            </a:rPr>
            <a:t>Included in the Recovery and Resilience Plan</a:t>
          </a:r>
        </a:p>
        <a:p xmlns:a="http://schemas.openxmlformats.org/drawingml/2006/main">
          <a:pPr>
            <a:spcBef>
              <a:spcPts val="600"/>
            </a:spcBef>
          </a:pPr>
          <a:r>
            <a:rPr lang="sk-SK" sz="1050">
              <a:latin typeface="Arial Narrow" panose="020B0606020202030204" pitchFamily="34" charset="0"/>
            </a:rPr>
            <a:t>Implementation of a</a:t>
          </a:r>
          <a:r>
            <a:rPr lang="sk-SK" sz="1050" baseline="0">
              <a:latin typeface="Arial Narrow" panose="020B0606020202030204" pitchFamily="34" charset="0"/>
            </a:rPr>
            <a:t> change in the Constitution</a:t>
          </a:r>
          <a:endParaRPr lang="sk-SK" sz="105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0.33611</cdr:x>
      <cdr:y>0.50926</cdr:y>
    </cdr:from>
    <cdr:to>
      <cdr:x>0.37942</cdr:x>
      <cdr:y>0.58102</cdr:y>
    </cdr:to>
    <cdr:sp macro="" textlink="">
      <cdr:nvSpPr>
        <cdr:cNvPr id="3" name="Obdĺžnik 2"/>
        <cdr:cNvSpPr/>
      </cdr:nvSpPr>
      <cdr:spPr>
        <a:xfrm xmlns:a="http://schemas.openxmlformats.org/drawingml/2006/main">
          <a:off x="1536700" y="1397000"/>
          <a:ext cx="198000" cy="196850"/>
        </a:xfrm>
        <a:prstGeom xmlns:a="http://schemas.openxmlformats.org/drawingml/2006/main" prst="rect">
          <a:avLst/>
        </a:prstGeom>
        <a:solidFill xmlns:a="http://schemas.openxmlformats.org/drawingml/2006/main">
          <a:srgbClr val="F8CBAD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0.33472</cdr:x>
      <cdr:y>0.60417</cdr:y>
    </cdr:from>
    <cdr:to>
      <cdr:x>0.37803</cdr:x>
      <cdr:y>0.67593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530350" y="1657350"/>
          <a:ext cx="198000" cy="196850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rgbClr val="2C9ADC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9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0</xdr:col>
      <xdr:colOff>419100</xdr:colOff>
      <xdr:row>4</xdr:row>
      <xdr:rowOff>28575</xdr:rowOff>
    </xdr:from>
    <xdr:to>
      <xdr:col>6</xdr:col>
      <xdr:colOff>561975</xdr:colOff>
      <xdr:row>18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495300</xdr:colOff>
      <xdr:row>21</xdr:row>
      <xdr:rowOff>19050</xdr:rowOff>
    </xdr:from>
    <xdr:to>
      <xdr:col>7</xdr:col>
      <xdr:colOff>28575</xdr:colOff>
      <xdr:row>35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866775</xdr:colOff>
      <xdr:row>53</xdr:row>
      <xdr:rowOff>95250</xdr:rowOff>
    </xdr:from>
    <xdr:to>
      <xdr:col>7</xdr:col>
      <xdr:colOff>400050</xdr:colOff>
      <xdr:row>67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733425</xdr:colOff>
      <xdr:row>37</xdr:row>
      <xdr:rowOff>85725</xdr:rowOff>
    </xdr:from>
    <xdr:to>
      <xdr:col>7</xdr:col>
      <xdr:colOff>266700</xdr:colOff>
      <xdr:row>51</xdr:row>
      <xdr:rowOff>76200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5</xdr:row>
      <xdr:rowOff>175259</xdr:rowOff>
    </xdr:from>
    <xdr:to>
      <xdr:col>3</xdr:col>
      <xdr:colOff>175260</xdr:colOff>
      <xdr:row>20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171450</xdr:rowOff>
    </xdr:to>
    <xdr:sp macro="" textlink="">
      <xdr:nvSpPr>
        <xdr:cNvPr id="7" name="Rounded Rectangle 5_ContentButton">
          <a:hlinkClick xmlns:r="http://schemas.openxmlformats.org/officeDocument/2006/relationships" r:id="rId2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7</xdr:col>
      <xdr:colOff>200025</xdr:colOff>
      <xdr:row>5</xdr:row>
      <xdr:rowOff>114300</xdr:rowOff>
    </xdr:from>
    <xdr:to>
      <xdr:col>21</xdr:col>
      <xdr:colOff>238125</xdr:colOff>
      <xdr:row>21</xdr:row>
      <xdr:rowOff>114300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3</xdr:row>
      <xdr:rowOff>180181</xdr:rowOff>
    </xdr:from>
    <xdr:to>
      <xdr:col>8</xdr:col>
      <xdr:colOff>21431</xdr:colOff>
      <xdr:row>19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23</xdr:row>
      <xdr:rowOff>28575</xdr:rowOff>
    </xdr:from>
    <xdr:to>
      <xdr:col>7</xdr:col>
      <xdr:colOff>444976</xdr:colOff>
      <xdr:row>39</xdr:row>
      <xdr:rowOff>47625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9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7</xdr:row>
      <xdr:rowOff>11906</xdr:rowOff>
    </xdr:from>
    <xdr:to>
      <xdr:col>8</xdr:col>
      <xdr:colOff>59530</xdr:colOff>
      <xdr:row>22</xdr:row>
      <xdr:rowOff>154781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28575</xdr:rowOff>
    </xdr:from>
    <xdr:to>
      <xdr:col>2</xdr:col>
      <xdr:colOff>80169</xdr:colOff>
      <xdr:row>2</xdr:row>
      <xdr:rowOff>152400</xdr:rowOff>
    </xdr:to>
    <xdr:sp macro="" textlink="">
      <xdr:nvSpPr>
        <xdr:cNvPr id="3" name="Rounded Rectangle 5_ContentButton">
          <a:hlinkClick xmlns:r="http://schemas.openxmlformats.org/officeDocument/2006/relationships" r:id="rId2"/>
        </xdr:cNvPr>
        <xdr:cNvSpPr/>
      </xdr:nvSpPr>
      <xdr:spPr>
        <a:xfrm>
          <a:off x="19050" y="28575"/>
          <a:ext cx="1280319" cy="504825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2</xdr:col>
      <xdr:colOff>107156</xdr:colOff>
      <xdr:row>25</xdr:row>
      <xdr:rowOff>130968</xdr:rowOff>
    </xdr:from>
    <xdr:to>
      <xdr:col>8</xdr:col>
      <xdr:colOff>261937</xdr:colOff>
      <xdr:row>40</xdr:row>
      <xdr:rowOff>59530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523873</xdr:colOff>
      <xdr:row>26</xdr:row>
      <xdr:rowOff>54239</xdr:rowOff>
    </xdr:from>
    <xdr:to>
      <xdr:col>12</xdr:col>
      <xdr:colOff>1893093</xdr:colOff>
      <xdr:row>42</xdr:row>
      <xdr:rowOff>6614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530489</xdr:colOff>
      <xdr:row>26</xdr:row>
      <xdr:rowOff>141551</xdr:rowOff>
    </xdr:from>
    <xdr:to>
      <xdr:col>21</xdr:col>
      <xdr:colOff>71437</xdr:colOff>
      <xdr:row>41</xdr:row>
      <xdr:rowOff>70113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234950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142875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3</xdr:row>
      <xdr:rowOff>0</xdr:rowOff>
    </xdr:to>
    <xdr:sp macro="" textlink="">
      <xdr:nvSpPr>
        <xdr:cNvPr id="4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10</xdr:col>
      <xdr:colOff>107577</xdr:colOff>
      <xdr:row>26</xdr:row>
      <xdr:rowOff>65556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733425</xdr:colOff>
      <xdr:row>28</xdr:row>
      <xdr:rowOff>38100</xdr:rowOff>
    </xdr:from>
    <xdr:to>
      <xdr:col>10</xdr:col>
      <xdr:colOff>88527</xdr:colOff>
      <xdr:row>47</xdr:row>
      <xdr:rowOff>103656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7" name="Rounded Rectangle 5_ContentButton">
          <a:hlinkClick xmlns:r="http://schemas.openxmlformats.org/officeDocument/2006/relationships" r:id="rId3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3</xdr:row>
      <xdr:rowOff>0</xdr:rowOff>
    </xdr:to>
    <xdr:sp macro="" textlink="">
      <xdr:nvSpPr>
        <xdr:cNvPr id="4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3</xdr:row>
      <xdr:rowOff>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3</xdr:row>
      <xdr:rowOff>0</xdr:rowOff>
    </xdr:to>
    <xdr:sp macro="" textlink="">
      <xdr:nvSpPr>
        <xdr:cNvPr id="4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47625</xdr:rowOff>
    </xdr:from>
    <xdr:to>
      <xdr:col>8</xdr:col>
      <xdr:colOff>457200</xdr:colOff>
      <xdr:row>24</xdr:row>
      <xdr:rowOff>47175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25852</xdr:colOff>
      <xdr:row>27</xdr:row>
      <xdr:rowOff>160564</xdr:rowOff>
    </xdr:from>
    <xdr:to>
      <xdr:col>8</xdr:col>
      <xdr:colOff>476249</xdr:colOff>
      <xdr:row>45</xdr:row>
      <xdr:rowOff>160114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531495</xdr:colOff>
      <xdr:row>28</xdr:row>
      <xdr:rowOff>53340</xdr:rowOff>
    </xdr:from>
    <xdr:to>
      <xdr:col>15</xdr:col>
      <xdr:colOff>198120</xdr:colOff>
      <xdr:row>46</xdr:row>
      <xdr:rowOff>73845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398145</xdr:colOff>
      <xdr:row>28</xdr:row>
      <xdr:rowOff>3810</xdr:rowOff>
    </xdr:from>
    <xdr:to>
      <xdr:col>25</xdr:col>
      <xdr:colOff>353242</xdr:colOff>
      <xdr:row>46</xdr:row>
      <xdr:rowOff>3360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9" name="Rounded Rectangle 5_ContentButton">
          <a:hlinkClick xmlns:r="http://schemas.openxmlformats.org/officeDocument/2006/relationships" r:id="rId5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6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1282700</xdr:colOff>
      <xdr:row>3</xdr:row>
      <xdr:rowOff>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1282700</xdr:colOff>
      <xdr:row>3</xdr:row>
      <xdr:rowOff>19050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142875</xdr:rowOff>
    </xdr:to>
    <xdr:sp macro="" textlink="">
      <xdr:nvSpPr>
        <xdr:cNvPr id="5" name="Rounded Rectangle 5_ContentButton">
          <a:hlinkClick xmlns:r="http://schemas.openxmlformats.org/officeDocument/2006/relationships" r:id="rId1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772647</xdr:colOff>
      <xdr:row>26</xdr:row>
      <xdr:rowOff>100353</xdr:rowOff>
    </xdr:from>
    <xdr:to>
      <xdr:col>6</xdr:col>
      <xdr:colOff>609600</xdr:colOff>
      <xdr:row>43</xdr:row>
      <xdr:rowOff>138003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22860</xdr:colOff>
      <xdr:row>42</xdr:row>
      <xdr:rowOff>148590</xdr:rowOff>
    </xdr:from>
    <xdr:to>
      <xdr:col>22</xdr:col>
      <xdr:colOff>425598</xdr:colOff>
      <xdr:row>60</xdr:row>
      <xdr:rowOff>45270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772647</xdr:colOff>
      <xdr:row>6</xdr:row>
      <xdr:rowOff>53788</xdr:rowOff>
    </xdr:from>
    <xdr:to>
      <xdr:col>7</xdr:col>
      <xdr:colOff>260247</xdr:colOff>
      <xdr:row>23</xdr:row>
      <xdr:rowOff>66088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609600</xdr:colOff>
      <xdr:row>21</xdr:row>
      <xdr:rowOff>104775</xdr:rowOff>
    </xdr:from>
    <xdr:to>
      <xdr:col>23</xdr:col>
      <xdr:colOff>11475</xdr:colOff>
      <xdr:row>38</xdr:row>
      <xdr:rowOff>117075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9" name="Rounded Rectangle 5_ContentButton">
          <a:hlinkClick xmlns:r="http://schemas.openxmlformats.org/officeDocument/2006/relationships" r:id="rId5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6</xdr:row>
      <xdr:rowOff>9524</xdr:rowOff>
    </xdr:from>
    <xdr:to>
      <xdr:col>7</xdr:col>
      <xdr:colOff>333375</xdr:colOff>
      <xdr:row>20</xdr:row>
      <xdr:rowOff>95249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339725</xdr:colOff>
      <xdr:row>2</xdr:row>
      <xdr:rowOff>152400</xdr:rowOff>
    </xdr:to>
    <xdr:sp macro="" textlink="">
      <xdr:nvSpPr>
        <xdr:cNvPr id="3" name="Rounded Rectangle 5_ContentButton">
          <a:hlinkClick xmlns:r="http://schemas.openxmlformats.org/officeDocument/2006/relationships" r:id="rId2"/>
        </xdr:cNvPr>
        <xdr:cNvSpPr/>
      </xdr:nvSpPr>
      <xdr:spPr>
        <a:xfrm>
          <a:off x="0" y="0"/>
          <a:ext cx="1282700" cy="514350"/>
        </a:xfrm>
        <a:prstGeom prst="roundRect">
          <a:avLst/>
        </a:prstGeom>
        <a:solidFill>
          <a:srgbClr val="5B9BD5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Obsah /</a:t>
          </a:r>
          <a:b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</a:br>
          <a:r>
            <a:rPr lang="sk-SK" sz="1200" b="1">
              <a:solidFill>
                <a:srgbClr val="FFFFFF"/>
              </a:solidFill>
              <a:latin typeface="Arial Narrow" panose="020B0606020202030204" pitchFamily="34" charset="0"/>
            </a:rPr>
            <a:t>Table of Content</a:t>
          </a:r>
        </a:p>
      </xdr:txBody>
    </xdr:sp>
    <xdr:clientData/>
  </xdr:twoCellAnchor>
  <xdr:twoCellAnchor>
    <xdr:from>
      <xdr:col>2</xdr:col>
      <xdr:colOff>133350</xdr:colOff>
      <xdr:row>22</xdr:row>
      <xdr:rowOff>38100</xdr:rowOff>
    </xdr:from>
    <xdr:to>
      <xdr:col>7</xdr:col>
      <xdr:colOff>390525</xdr:colOff>
      <xdr:row>36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13</xdr:col>
      <xdr:colOff>533400</xdr:colOff>
      <xdr:row>36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142875</xdr:colOff>
      <xdr:row>22</xdr:row>
      <xdr:rowOff>19050</xdr:rowOff>
    </xdr:from>
    <xdr:to>
      <xdr:col>20</xdr:col>
      <xdr:colOff>400050</xdr:colOff>
      <xdr:row>36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0.40058</cdr:x>
      <cdr:y>0.28929</cdr:y>
    </cdr:from>
    <cdr:to>
      <cdr:x>0.40198</cdr:x>
      <cdr:y>0.46283</cdr:y>
    </cdr:to>
    <cdr:cxnSp macro="">
      <cdr:nvCxnSpPr>
        <cdr:cNvPr id="3" name="Rovná spojovacia šípka 2"/>
        <cdr:cNvCxnSpPr/>
      </cdr:nvCxnSpPr>
      <cdr:spPr>
        <a:xfrm xmlns:a="http://schemas.openxmlformats.org/drawingml/2006/main">
          <a:off x="1323975" y="771525"/>
          <a:ext cx="4627" cy="46284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0.38152</cdr:x>
      <cdr:y>0.30809</cdr:y>
    </cdr:from>
    <cdr:to>
      <cdr:x>0.56203</cdr:x>
      <cdr:y>0.43677</cdr:y>
    </cdr:to>
    <cdr:sp macro="" textlink="">
      <cdr:nvSpPr>
        <cdr:cNvPr id="4" name="BlokTextu 4"/>
        <cdr:cNvSpPr txBox="1"/>
      </cdr:nvSpPr>
      <cdr:spPr>
        <a:xfrm xmlns:a="http://schemas.openxmlformats.org/drawingml/2006/main">
          <a:off x="1261005" y="821676"/>
          <a:ext cx="596617" cy="343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benchmark</a:t>
          </a:r>
        </a:p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Q4 2020</a:t>
          </a:r>
        </a:p>
      </cdr:txBody>
    </cdr:sp>
  </cdr:relSizeAnchor>
  <cdr:relSizeAnchor xmlns:cdr="http://schemas.openxmlformats.org/drawingml/2006/chartDrawing">
    <cdr:from>
      <cdr:x>0.67115</cdr:x>
      <cdr:y>0.27857</cdr:y>
    </cdr:from>
    <cdr:to>
      <cdr:x>0.67147</cdr:x>
      <cdr:y>0.38081</cdr:y>
    </cdr:to>
    <cdr:cxnSp macro="">
      <cdr:nvCxnSpPr>
        <cdr:cNvPr id="5" name="Rovná spojovacia šípka 4"/>
        <cdr:cNvCxnSpPr/>
      </cdr:nvCxnSpPr>
      <cdr:spPr>
        <a:xfrm xmlns:a="http://schemas.openxmlformats.org/drawingml/2006/main" flipH="1">
          <a:off x="2218284" y="742950"/>
          <a:ext cx="1041" cy="27265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0.60615</cdr:x>
      <cdr:y>0.17665</cdr:y>
    </cdr:from>
    <cdr:to>
      <cdr:x>0.78674</cdr:x>
      <cdr:y>0.29628</cdr:y>
    </cdr:to>
    <cdr:sp macro="" textlink="">
      <cdr:nvSpPr>
        <cdr:cNvPr id="7" name="BlokTextu 4"/>
        <cdr:cNvSpPr txBox="1"/>
      </cdr:nvSpPr>
      <cdr:spPr>
        <a:xfrm xmlns:a="http://schemas.openxmlformats.org/drawingml/2006/main">
          <a:off x="2003447" y="471118"/>
          <a:ext cx="596881" cy="319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3. vlna cca -1,5%</a:t>
          </a:r>
        </a:p>
      </cdr:txBody>
    </cdr:sp>
  </cdr:relSizeAnchor>
  <cdr:relSizeAnchor xmlns:cdr="http://schemas.openxmlformats.org/drawingml/2006/chartDrawing">
    <cdr:from>
      <cdr:x>0.25477</cdr:x>
      <cdr:y>0.5992</cdr:y>
    </cdr:from>
    <cdr:to>
      <cdr:x>0.30548</cdr:x>
      <cdr:y>0.67143</cdr:y>
    </cdr:to>
    <cdr:cxnSp macro="">
      <cdr:nvCxnSpPr>
        <cdr:cNvPr id="9" name="Rovná spojovacia šípka 8"/>
        <cdr:cNvCxnSpPr/>
      </cdr:nvCxnSpPr>
      <cdr:spPr>
        <a:xfrm xmlns:a="http://schemas.openxmlformats.org/drawingml/2006/main">
          <a:off x="842065" y="1598066"/>
          <a:ext cx="167585" cy="19263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0.40058</cdr:x>
      <cdr:y>0.61247</cdr:y>
    </cdr:from>
    <cdr:to>
      <cdr:x>0.4534</cdr:x>
      <cdr:y>0.66786</cdr:y>
    </cdr:to>
    <cdr:cxnSp macro="">
      <cdr:nvCxnSpPr>
        <cdr:cNvPr id="10" name="Rovná spojovacia šípka 9"/>
        <cdr:cNvCxnSpPr/>
      </cdr:nvCxnSpPr>
      <cdr:spPr>
        <a:xfrm xmlns:a="http://schemas.openxmlformats.org/drawingml/2006/main" flipH="1">
          <a:off x="1323975" y="1633465"/>
          <a:ext cx="174600" cy="1477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0.21998</cdr:x>
      <cdr:y>0.67262</cdr:y>
    </cdr:from>
    <cdr:to>
      <cdr:x>0.50082</cdr:x>
      <cdr:y>0.85187</cdr:y>
    </cdr:to>
    <cdr:sp macro="" textlink="">
      <cdr:nvSpPr>
        <cdr:cNvPr id="11" name="BlokTextu 4"/>
        <cdr:cNvSpPr txBox="1"/>
      </cdr:nvSpPr>
      <cdr:spPr>
        <a:xfrm xmlns:a="http://schemas.openxmlformats.org/drawingml/2006/main">
          <a:off x="727075" y="1793875"/>
          <a:ext cx="928226" cy="4780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lockdown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</a:t>
          </a:r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vždy na úrovni -5% oproti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predkrízovej úrovni</a:t>
          </a:r>
          <a:endParaRPr lang="sk-SK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5_Dlh/11%20-%20DSA/DSA_2026_0610_DBP_V2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jko/AppData/Local/Microsoft/Windows/Temporary%20Internet%20Files/Content.Outlook/X5UMJ5BC/Annex_1-EDP_notif_tables-Oct2016-lock-anony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od%20levels%20manufacturing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Program_stability/2021/Tabu&#318;ky/PS_2021_Tabulky_Komplet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5_Vybor/EDV/2019_zasadnutia/DV_2019_02/1-PROGNOZA/Prispevky_k_prognoze_201902_medzirocne_v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17/Dane/Prispevky_k_prognoze_RVS_vs_201709_pre_DBP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O2/MKD/REP/TABLES/red98/Mk-red9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C3/CZE/REER/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meta/Downloads/zhrnutie_1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Program_stability/2021/Vstupy/MM%20RVS%202021_2021_04_12_M_pribeh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OS-ka/MM%20RVS%202021_2021_09_22_pribeh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OS-ka/Waterfall_OS_2021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3_Databaza/MIN_graf_rozne_fiskalne_pravidla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Udr&#382;ate&#318;nos&#357;/S1_indicator_zakladny_scenar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Udr&#382;ate&#318;nos&#357;/S1_indicator_zakladny_scenar_DB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05_Vybor/EDV/2021_zasadnutia/DV_2021_09/1-PROGNOZA/1_Vstupy/Makro_tabulka_MV_sep2021_final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NPC/3_IFP_NPC_ESA_2010_2021_2024_20211013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21/Vstupy/OS-ka/Priloha_3_Ocakavane_cerpanie_august2021_rozpis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4_Stanoviska_Podklady/2021/Pomoc%20&#353;t&#225;tu_COVID-19_&#269;erpani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  <sheetName val="[MFLOW96.XLS]_WIN_TEMP_MFLOW9_2"/>
      <sheetName val="[MFLOW96.XLS]_WIN_TEMP_MFLOW9_3"/>
      <sheetName val="[MFLOW96.XLS]_WIN_TEMP_MFLOW9_4"/>
      <sheetName val="[MFLOW96.XLS]_WIN_TEMP_MFLOW9_5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splatnos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Data source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Variable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 refreshError="1"/>
      <sheetData sheetId="1" refreshError="1"/>
      <sheetData sheetId="2" refreshError="1">
        <row r="3">
          <cell r="D3" t="str">
            <v>Slovak Republic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_Content"/>
      <sheetName val="ESA2010_source"/>
      <sheetName val="Zhrnutie "/>
      <sheetName val="Tab 1"/>
      <sheetName val="Tab 2 + Graf 1"/>
      <sheetName val="Tab 3"/>
      <sheetName val="Graf 2+3"/>
      <sheetName val="Graf 4+5"/>
      <sheetName val="Graf 6"/>
      <sheetName val="Graf 7"/>
      <sheetName val="Graf 8+Tab 4"/>
      <sheetName val="Graf 9 + Tab 5"/>
      <sheetName val="Tab 6"/>
      <sheetName val="Graf 10 + 11 "/>
      <sheetName val="Tab 7 "/>
      <sheetName val="Graf 12"/>
      <sheetName val="Graf 13"/>
      <sheetName val="Graf 14"/>
      <sheetName val="Tab 8 "/>
      <sheetName val="Graf 15"/>
      <sheetName val="Tab 9"/>
      <sheetName val="Graf 16"/>
      <sheetName val="Graf 17"/>
      <sheetName val="Graf 18"/>
      <sheetName val="Tab 10"/>
      <sheetName val="Tab 11"/>
      <sheetName val="Graf 19"/>
      <sheetName val="Graf 20+21"/>
      <sheetName val="Graf 22"/>
      <sheetName val="Graf 23"/>
      <sheetName val="Graf 24"/>
      <sheetName val="Graf 25"/>
      <sheetName val="Graf 26"/>
      <sheetName val="Graf 27"/>
      <sheetName val="Graf 28"/>
      <sheetName val="Tab 12"/>
      <sheetName val="Graf 29+30"/>
      <sheetName val="Tab 13+Graf 31"/>
      <sheetName val="Graf 32"/>
      <sheetName val="Graf XX"/>
      <sheetName val="Graf 33 + 34"/>
      <sheetName val="Graf 35+36"/>
      <sheetName val="Graf 37+38"/>
      <sheetName val="Graf 39+40"/>
      <sheetName val="Graf 41"/>
      <sheetName val="Graf 42"/>
      <sheetName val="Graf 43"/>
      <sheetName val="Graf 44"/>
      <sheetName val="Graf xx3"/>
      <sheetName val="Graf 45"/>
      <sheetName val="Graf 46"/>
      <sheetName val="Tab 14"/>
      <sheetName val="Graf 47"/>
      <sheetName val="Graf 48"/>
      <sheetName val="Graf 49"/>
      <sheetName val="Tab 15"/>
      <sheetName val="Tab 16"/>
      <sheetName val="Tab 34"/>
      <sheetName val="Tab 35"/>
      <sheetName val="Tab 36 "/>
      <sheetName val="Tab 37"/>
      <sheetName val="Tab 38"/>
      <sheetName val="Tab 39+40"/>
      <sheetName val="Tab 41 + 42"/>
      <sheetName val="Tab 43"/>
      <sheetName val="Tab 44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4">
          <cell r="B24">
            <v>2008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lyvy sumar"/>
      <sheetName val="dane"/>
      <sheetName val="makro"/>
      <sheetName val="legislativa"/>
      <sheetName val="grafy"/>
      <sheetName val="grafy EN"/>
      <sheetName val="grafy_rasty"/>
      <sheetName val="ESAras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78.502858382318436</v>
          </cell>
          <cell r="D4">
            <v>81.275452380922246</v>
          </cell>
          <cell r="E4">
            <v>84.423579375810974</v>
          </cell>
          <cell r="F4">
            <v>88.130188629539617</v>
          </cell>
          <cell r="G4">
            <v>0</v>
          </cell>
        </row>
        <row r="5">
          <cell r="C5">
            <v>80.547803876732885</v>
          </cell>
          <cell r="D5">
            <v>83.991385519523988</v>
          </cell>
          <cell r="E5">
            <v>88.52128676831191</v>
          </cell>
          <cell r="F5">
            <v>94.214617048377477</v>
          </cell>
          <cell r="G5">
            <v>0</v>
          </cell>
        </row>
        <row r="6">
          <cell r="C6">
            <v>40.665754122542438</v>
          </cell>
          <cell r="D6">
            <v>41.680666361334218</v>
          </cell>
          <cell r="E6">
            <v>42.821904778464514</v>
          </cell>
          <cell r="F6">
            <v>44.08020114451071</v>
          </cell>
          <cell r="G6">
            <v>0</v>
          </cell>
        </row>
        <row r="7">
          <cell r="C7">
            <v>43.984500712420669</v>
          </cell>
          <cell r="D7">
            <v>45.484535352602684</v>
          </cell>
          <cell r="E7">
            <v>47.497836713264157</v>
          </cell>
          <cell r="F7">
            <v>49.833106284220669</v>
          </cell>
          <cell r="G7">
            <v>0</v>
          </cell>
        </row>
        <row r="8">
          <cell r="C8">
            <v>38.524899015465365</v>
          </cell>
          <cell r="D8">
            <v>39.582549462948265</v>
          </cell>
          <cell r="E8">
            <v>41.070550408639242</v>
          </cell>
          <cell r="F8">
            <v>42.977890830757936</v>
          </cell>
          <cell r="G8">
            <v>0</v>
          </cell>
        </row>
        <row r="11">
          <cell r="C11">
            <v>25.061205094962499</v>
          </cell>
          <cell r="D11">
            <v>26.325903158710343</v>
          </cell>
          <cell r="E11">
            <v>27.735670690784264</v>
          </cell>
          <cell r="F11">
            <v>29.32785259387137</v>
          </cell>
          <cell r="G11">
            <v>0</v>
          </cell>
        </row>
        <row r="14">
          <cell r="C14">
            <v>0.22924020064339004</v>
          </cell>
          <cell r="D14">
            <v>0.22483632448877952</v>
          </cell>
          <cell r="E14">
            <v>0.24011994064497608</v>
          </cell>
          <cell r="F14">
            <v>0.27414675953044987</v>
          </cell>
          <cell r="G14">
            <v>0</v>
          </cell>
        </row>
        <row r="16">
          <cell r="C16">
            <v>49.281091445453157</v>
          </cell>
          <cell r="D16">
            <v>51.065913586707978</v>
          </cell>
          <cell r="E16">
            <v>53.834842349880567</v>
          </cell>
          <cell r="F16">
            <v>57.568129491799702</v>
          </cell>
          <cell r="G16">
            <v>0</v>
          </cell>
        </row>
        <row r="17">
          <cell r="C17">
            <v>66.319277427653276</v>
          </cell>
          <cell r="D17">
            <v>70.182634133387978</v>
          </cell>
          <cell r="E17">
            <v>75.439345535102163</v>
          </cell>
          <cell r="F17">
            <v>81.793801752423647</v>
          </cell>
          <cell r="G17">
            <v>0</v>
          </cell>
        </row>
        <row r="26">
          <cell r="C26">
            <v>78.854728000000009</v>
          </cell>
          <cell r="D26">
            <v>81.484094566064485</v>
          </cell>
          <cell r="E26">
            <v>84.87893092860277</v>
          </cell>
          <cell r="F26">
            <v>88.591069889878383</v>
          </cell>
          <cell r="G26">
            <v>92.026930652835716</v>
          </cell>
        </row>
        <row r="27">
          <cell r="C27">
            <v>80.958004000000003</v>
          </cell>
          <cell r="D27">
            <v>84.5995693583274</v>
          </cell>
          <cell r="E27">
            <v>89.495333808169264</v>
          </cell>
          <cell r="F27">
            <v>95.260868620557332</v>
          </cell>
          <cell r="G27">
            <v>101.00735417605054</v>
          </cell>
        </row>
        <row r="28">
          <cell r="C28">
            <v>40.196354000000007</v>
          </cell>
          <cell r="D28">
            <v>41.547512733512335</v>
          </cell>
          <cell r="E28">
            <v>42.754818304678729</v>
          </cell>
          <cell r="F28">
            <v>43.975046180032002</v>
          </cell>
          <cell r="G28">
            <v>45.240036950748845</v>
          </cell>
        </row>
        <row r="29">
          <cell r="C29">
            <v>43.548813000000003</v>
          </cell>
          <cell r="D29">
            <v>45.641597296232476</v>
          </cell>
          <cell r="E29">
            <v>47.75602071442546</v>
          </cell>
          <cell r="F29">
            <v>50.052825164944132</v>
          </cell>
          <cell r="G29">
            <v>52.566197780740211</v>
          </cell>
        </row>
        <row r="30">
          <cell r="C30">
            <v>38.032027270299999</v>
          </cell>
          <cell r="D30">
            <v>39.582992287585846</v>
          </cell>
          <cell r="E30">
            <v>41.252391473310389</v>
          </cell>
          <cell r="F30">
            <v>43.192634607434158</v>
          </cell>
          <cell r="G30">
            <v>45.244232556433211</v>
          </cell>
        </row>
        <row r="33">
          <cell r="C33">
            <v>25.247460527999998</v>
          </cell>
          <cell r="D33">
            <v>26.73031719291571</v>
          </cell>
          <cell r="E33">
            <v>28.366257844877175</v>
          </cell>
          <cell r="F33">
            <v>30.038917613277654</v>
          </cell>
          <cell r="G33">
            <v>31.909135439919183</v>
          </cell>
        </row>
        <row r="36">
          <cell r="C36">
            <v>0.21851840145167084</v>
          </cell>
          <cell r="D36">
            <v>0.15625706290990021</v>
          </cell>
          <cell r="E36">
            <v>0.15418751268812014</v>
          </cell>
          <cell r="F36">
            <v>0.149105036903216</v>
          </cell>
          <cell r="G36">
            <v>0.1570961354122469</v>
          </cell>
        </row>
        <row r="38">
          <cell r="C38">
            <v>49.331429000000007</v>
          </cell>
          <cell r="D38">
            <v>51.009380978787284</v>
          </cell>
          <cell r="E38">
            <v>53.916898308264891</v>
          </cell>
          <cell r="F38">
            <v>57.604658786380242</v>
          </cell>
          <cell r="G38">
            <v>61.012127420618299</v>
          </cell>
        </row>
        <row r="39">
          <cell r="C39">
            <v>65.799836999999997</v>
          </cell>
          <cell r="D39">
            <v>70.666258866172427</v>
          </cell>
          <cell r="E39">
            <v>76.432399798318372</v>
          </cell>
          <cell r="F39">
            <v>82.850139524502367</v>
          </cell>
          <cell r="G39">
            <v>88.954858057466581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J(Priv.Cap)"/>
      <sheetName val="makro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hrnutie "/>
    </sheetNames>
    <sheetDataSet>
      <sheetData sheetId="0">
        <row r="20">
          <cell r="B20">
            <v>2019</v>
          </cell>
          <cell r="C20">
            <v>2020</v>
          </cell>
          <cell r="D20">
            <v>2021</v>
          </cell>
          <cell r="E20">
            <v>2022</v>
          </cell>
          <cell r="F20">
            <v>2023</v>
          </cell>
          <cell r="G20">
            <v>2024</v>
          </cell>
          <cell r="K20">
            <v>2019</v>
          </cell>
          <cell r="L20">
            <v>2020</v>
          </cell>
          <cell r="M20">
            <v>2021</v>
          </cell>
          <cell r="N20">
            <v>2022</v>
          </cell>
          <cell r="O20">
            <v>2023</v>
          </cell>
          <cell r="P20">
            <v>2024</v>
          </cell>
        </row>
        <row r="21">
          <cell r="B21">
            <v>-1.331659961458199</v>
          </cell>
          <cell r="C21">
            <v>-5.4972654915000234</v>
          </cell>
          <cell r="D21">
            <v>-7.92</v>
          </cell>
          <cell r="E21">
            <v>-4.9400000000000004</v>
          </cell>
          <cell r="F21">
            <v>-2.6760906917588114</v>
          </cell>
          <cell r="G21">
            <v>-2.5997988270923895</v>
          </cell>
          <cell r="J21" t="str">
            <v>Hrubý dlh VS</v>
          </cell>
          <cell r="K21">
            <v>48.142443340627871</v>
          </cell>
          <cell r="L21">
            <v>59.741737913534124</v>
          </cell>
          <cell r="M21">
            <v>61.538863309792049</v>
          </cell>
          <cell r="N21">
            <v>61.480978780764936</v>
          </cell>
          <cell r="O21">
            <v>58.606269959583145</v>
          </cell>
          <cell r="P21">
            <v>58.688496979061455</v>
          </cell>
        </row>
        <row r="22">
          <cell r="B22">
            <v>-2.034494137395904</v>
          </cell>
          <cell r="C22">
            <v>-2.4356621546077144</v>
          </cell>
          <cell r="D22">
            <v>-4.2757747817135785</v>
          </cell>
          <cell r="E22">
            <v>-4.0771795915916851</v>
          </cell>
          <cell r="F22">
            <v>-3.0767713629137114</v>
          </cell>
          <cell r="G22">
            <v>-2.0767713629137114</v>
          </cell>
          <cell r="J22" t="str">
            <v>Likvidné finančné aktíva</v>
          </cell>
          <cell r="K22">
            <v>4.8918620126802637</v>
          </cell>
          <cell r="L22">
            <v>10.080012269430554</v>
          </cell>
          <cell r="M22">
            <v>6.004766082767631</v>
          </cell>
          <cell r="N22">
            <v>5.8595971012867025</v>
          </cell>
          <cell r="O22">
            <v>4.5852871293209461</v>
          </cell>
          <cell r="P22">
            <v>3.9349158204018835</v>
          </cell>
        </row>
        <row r="23">
          <cell r="B23">
            <v>-0.42022344974479364</v>
          </cell>
          <cell r="C23">
            <v>-0.40116801721181039</v>
          </cell>
          <cell r="D23">
            <v>-1.8401126271058641</v>
          </cell>
          <cell r="E23">
            <v>0.19859519012189342</v>
          </cell>
          <cell r="F23">
            <v>1.0004082286779736</v>
          </cell>
          <cell r="G23">
            <v>1</v>
          </cell>
          <cell r="J23" t="str">
            <v>Čistý dlh VS</v>
          </cell>
          <cell r="K23">
            <v>43.250581327947607</v>
          </cell>
          <cell r="L23">
            <v>49.661725644103569</v>
          </cell>
          <cell r="M23">
            <v>55.534097227024418</v>
          </cell>
          <cell r="N23">
            <v>55.621381679478233</v>
          </cell>
          <cell r="O23">
            <v>54.020982830262199</v>
          </cell>
          <cell r="P23">
            <v>54.753581158659571</v>
          </cell>
        </row>
        <row r="24">
          <cell r="J24" t="str">
            <v>Sankčné pásma (hrubý dlh)</v>
          </cell>
          <cell r="K24">
            <v>58</v>
          </cell>
          <cell r="L24">
            <v>57</v>
          </cell>
          <cell r="M24">
            <v>56</v>
          </cell>
          <cell r="N24">
            <v>55</v>
          </cell>
          <cell r="O24">
            <v>54</v>
          </cell>
          <cell r="P24">
            <v>53</v>
          </cell>
        </row>
        <row r="25">
          <cell r="J25" t="str">
            <v>4. sankčné pásmo</v>
          </cell>
          <cell r="K25">
            <v>55</v>
          </cell>
          <cell r="L25">
            <v>54</v>
          </cell>
          <cell r="M25">
            <v>53</v>
          </cell>
          <cell r="N25">
            <v>52</v>
          </cell>
          <cell r="O25">
            <v>51</v>
          </cell>
          <cell r="P25">
            <v>50</v>
          </cell>
        </row>
        <row r="26">
          <cell r="J26" t="str">
            <v>3. sankčné pásmo</v>
          </cell>
          <cell r="K26">
            <v>53</v>
          </cell>
          <cell r="L26">
            <v>52</v>
          </cell>
          <cell r="M26">
            <v>51</v>
          </cell>
          <cell r="N26">
            <v>50</v>
          </cell>
          <cell r="O26">
            <v>49</v>
          </cell>
          <cell r="P26">
            <v>48</v>
          </cell>
        </row>
        <row r="27">
          <cell r="J27" t="str">
            <v>2. sankčné pásmo</v>
          </cell>
          <cell r="K27">
            <v>51</v>
          </cell>
          <cell r="L27">
            <v>50</v>
          </cell>
          <cell r="M27">
            <v>49</v>
          </cell>
          <cell r="N27">
            <v>48</v>
          </cell>
          <cell r="O27">
            <v>47</v>
          </cell>
          <cell r="P27">
            <v>46</v>
          </cell>
        </row>
        <row r="28">
          <cell r="J28" t="str">
            <v>Dolné sankčné pásmo</v>
          </cell>
          <cell r="K28">
            <v>48</v>
          </cell>
          <cell r="L28">
            <v>47</v>
          </cell>
          <cell r="M28">
            <v>46</v>
          </cell>
          <cell r="N28">
            <v>45</v>
          </cell>
          <cell r="O28">
            <v>44</v>
          </cell>
          <cell r="P28">
            <v>43</v>
          </cell>
        </row>
        <row r="48">
          <cell r="B48">
            <v>2019</v>
          </cell>
          <cell r="C48">
            <v>2020</v>
          </cell>
          <cell r="D48">
            <v>2021</v>
          </cell>
          <cell r="E48">
            <v>2022</v>
          </cell>
          <cell r="F48">
            <v>2023</v>
          </cell>
          <cell r="G48">
            <v>2024</v>
          </cell>
        </row>
        <row r="49">
          <cell r="A49" t="str">
            <v>General government balance</v>
          </cell>
          <cell r="B49">
            <v>-1.331659961458199</v>
          </cell>
          <cell r="C49">
            <v>-5.4972654915000234</v>
          </cell>
          <cell r="D49">
            <v>-7.92</v>
          </cell>
          <cell r="E49">
            <v>-4.9400000000000004</v>
          </cell>
          <cell r="F49">
            <v>-2.6760906917588114</v>
          </cell>
          <cell r="G49">
            <v>-2.5997988270923895</v>
          </cell>
          <cell r="J49" t="str">
            <v>General government gross debt</v>
          </cell>
          <cell r="K49">
            <v>48.142443340627871</v>
          </cell>
          <cell r="L49">
            <v>59.741737913534124</v>
          </cell>
          <cell r="M49">
            <v>61.538863309792049</v>
          </cell>
          <cell r="N49">
            <v>61.480978780764936</v>
          </cell>
          <cell r="O49">
            <v>58.606269959583145</v>
          </cell>
          <cell r="P49">
            <v>58.688496979061455</v>
          </cell>
        </row>
        <row r="50">
          <cell r="A50" t="str">
            <v>Structural balance</v>
          </cell>
          <cell r="B50">
            <v>-2.034494137395904</v>
          </cell>
          <cell r="C50">
            <v>-2.4356621546077144</v>
          </cell>
          <cell r="D50">
            <v>-4.2757747817135785</v>
          </cell>
          <cell r="E50">
            <v>-4.0771795915916851</v>
          </cell>
          <cell r="F50">
            <v>-3.0767713629137114</v>
          </cell>
          <cell r="G50">
            <v>-2.0767713629137114</v>
          </cell>
          <cell r="J50" t="str">
            <v>LFA</v>
          </cell>
          <cell r="K50">
            <v>4.8918620126802637</v>
          </cell>
          <cell r="L50">
            <v>10.080012269430554</v>
          </cell>
          <cell r="M50">
            <v>6.004766082767631</v>
          </cell>
          <cell r="N50">
            <v>5.8595971012867025</v>
          </cell>
          <cell r="O50">
            <v>4.5852871293209461</v>
          </cell>
          <cell r="P50">
            <v>3.9349158204018835</v>
          </cell>
        </row>
        <row r="51">
          <cell r="A51" t="str">
            <v>Consolidation effort</v>
          </cell>
          <cell r="B51">
            <v>-0.42022344974479364</v>
          </cell>
          <cell r="C51">
            <v>-0.40116801721181039</v>
          </cell>
          <cell r="D51">
            <v>-1.8401126271058641</v>
          </cell>
          <cell r="E51">
            <v>0.19859519012189342</v>
          </cell>
          <cell r="F51">
            <v>1.0004082286779736</v>
          </cell>
          <cell r="G51">
            <v>1</v>
          </cell>
          <cell r="J51" t="str">
            <v>Net debt</v>
          </cell>
          <cell r="K51">
            <v>43.250581327947607</v>
          </cell>
          <cell r="L51">
            <v>49.661725644103569</v>
          </cell>
          <cell r="M51">
            <v>55.534097227024418</v>
          </cell>
          <cell r="N51">
            <v>55.621381679478233</v>
          </cell>
          <cell r="O51">
            <v>54.020982830262199</v>
          </cell>
          <cell r="P51">
            <v>54.753581158659571</v>
          </cell>
        </row>
        <row r="53">
          <cell r="J53" t="str">
            <v>Debt break rule (gross debt)</v>
          </cell>
          <cell r="K53">
            <v>58</v>
          </cell>
          <cell r="L53">
            <v>57</v>
          </cell>
          <cell r="M53">
            <v>56</v>
          </cell>
          <cell r="N53">
            <v>55</v>
          </cell>
          <cell r="O53">
            <v>54</v>
          </cell>
          <cell r="P53">
            <v>53</v>
          </cell>
        </row>
        <row r="55">
          <cell r="J55" t="str">
            <v>3. sanction threshold</v>
          </cell>
          <cell r="K55">
            <v>53</v>
          </cell>
          <cell r="L55">
            <v>52</v>
          </cell>
          <cell r="M55">
            <v>51</v>
          </cell>
          <cell r="N55">
            <v>50</v>
          </cell>
          <cell r="O55">
            <v>49</v>
          </cell>
          <cell r="P55">
            <v>48</v>
          </cell>
        </row>
        <row r="56">
          <cell r="J56" t="str">
            <v>2. sanction threshold</v>
          </cell>
          <cell r="K56">
            <v>51</v>
          </cell>
          <cell r="L56">
            <v>50</v>
          </cell>
          <cell r="M56">
            <v>49</v>
          </cell>
          <cell r="N56">
            <v>48</v>
          </cell>
          <cell r="O56">
            <v>47</v>
          </cell>
          <cell r="P56">
            <v>46</v>
          </cell>
        </row>
        <row r="57">
          <cell r="J57" t="str">
            <v>Lowest sanction threshold</v>
          </cell>
          <cell r="K57">
            <v>48</v>
          </cell>
          <cell r="L57">
            <v>47</v>
          </cell>
          <cell r="M57">
            <v>46</v>
          </cell>
          <cell r="N57">
            <v>45</v>
          </cell>
          <cell r="O57">
            <v>44</v>
          </cell>
          <cell r="P57">
            <v>43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Príbeh&quot;"/>
      <sheetName val="február"/>
      <sheetName val="ŠFA"/>
      <sheetName val="Dividendy PS, OS, návrh"/>
    </sheetNames>
    <sheetDataSet>
      <sheetData sheetId="0">
        <row r="4">
          <cell r="C4">
            <v>-7090.5</v>
          </cell>
        </row>
      </sheetData>
      <sheetData sheetId="1">
        <row r="10">
          <cell r="E10">
            <v>-292611</v>
          </cell>
        </row>
      </sheetData>
      <sheetData sheetId="2">
        <row r="6">
          <cell r="D6">
            <v>28000000</v>
          </cell>
        </row>
      </sheetData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Príbeh&quot;"/>
      <sheetName val="august"/>
    </sheetNames>
    <sheetDataSet>
      <sheetData sheetId="0">
        <row r="3">
          <cell r="P3">
            <v>-655</v>
          </cell>
        </row>
        <row r="5">
          <cell r="I5">
            <v>-500</v>
          </cell>
        </row>
        <row r="6">
          <cell r="I6">
            <v>-48</v>
          </cell>
        </row>
        <row r="7">
          <cell r="I7">
            <v>-31.799999999999997</v>
          </cell>
        </row>
        <row r="8">
          <cell r="I8">
            <v>-20.9</v>
          </cell>
        </row>
        <row r="9">
          <cell r="I9">
            <v>-5.3</v>
          </cell>
        </row>
        <row r="10">
          <cell r="I10">
            <v>-30.5</v>
          </cell>
        </row>
        <row r="11">
          <cell r="I11">
            <v>-0.7</v>
          </cell>
        </row>
        <row r="12">
          <cell r="I12">
            <v>-12.1</v>
          </cell>
        </row>
        <row r="13">
          <cell r="I13">
            <v>-13.3</v>
          </cell>
        </row>
        <row r="14">
          <cell r="I14">
            <v>-139.19999999999999</v>
          </cell>
        </row>
        <row r="15">
          <cell r="I15">
            <v>-7.2</v>
          </cell>
        </row>
        <row r="16">
          <cell r="I16">
            <v>-5</v>
          </cell>
        </row>
        <row r="17">
          <cell r="I17">
            <v>-50</v>
          </cell>
        </row>
        <row r="18">
          <cell r="I18">
            <v>-39.4</v>
          </cell>
        </row>
        <row r="19">
          <cell r="I19">
            <v>-5.0999999999999996</v>
          </cell>
        </row>
        <row r="20">
          <cell r="I20">
            <v>-15</v>
          </cell>
        </row>
        <row r="21">
          <cell r="I21">
            <v>-6.3</v>
          </cell>
        </row>
        <row r="22">
          <cell r="I22">
            <v>-3.2</v>
          </cell>
        </row>
        <row r="23">
          <cell r="I23">
            <v>-54</v>
          </cell>
        </row>
        <row r="24">
          <cell r="I24">
            <v>-70</v>
          </cell>
        </row>
        <row r="25">
          <cell r="I25">
            <v>-30</v>
          </cell>
        </row>
        <row r="157">
          <cell r="C157">
            <v>-7718.1000000000022</v>
          </cell>
        </row>
      </sheetData>
      <sheetData sheetId="1">
        <row r="90">
          <cell r="G90">
            <v>-7718089213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fall_očakávačka_2021"/>
      <sheetName val="COVID_pomoc_box"/>
      <sheetName val="Covid_pomoc_do_prilohy"/>
      <sheetName val="One_offs"/>
      <sheetName val="One-offs_RRZ"/>
    </sheetNames>
    <sheetDataSet>
      <sheetData sheetId="0">
        <row r="26">
          <cell r="C26" t="str">
            <v>Saldo VS - rozpočet</v>
          </cell>
          <cell r="H26">
            <v>-7090.5</v>
          </cell>
        </row>
        <row r="27">
          <cell r="C27" t="str">
            <v>Vyšší vplyv prijatých opatrení v boji s pandémiou COVID-19</v>
          </cell>
          <cell r="F27">
            <v>0</v>
          </cell>
          <cell r="G27">
            <v>-7090.5</v>
          </cell>
          <cell r="H27">
            <v>-1996.6399999999996</v>
          </cell>
        </row>
        <row r="28">
          <cell r="C28" t="str">
            <v>Dofinancovanie podnikov pod MDV SR</v>
          </cell>
          <cell r="F28">
            <v>0</v>
          </cell>
          <cell r="G28">
            <v>-9087.14</v>
          </cell>
          <cell r="H28">
            <v>-223</v>
          </cell>
        </row>
        <row r="29">
          <cell r="C29" t="str">
            <v>Vybrané expanzívne opatrenia vlády</v>
          </cell>
          <cell r="F29">
            <v>0</v>
          </cell>
          <cell r="G29">
            <v>-9310.14</v>
          </cell>
          <cell r="H29">
            <v>-93.5</v>
          </cell>
        </row>
        <row r="30">
          <cell r="C30" t="str">
            <v>Čistý vplyv korekcií EU a vyšší odvod do EU</v>
          </cell>
          <cell r="F30">
            <v>0</v>
          </cell>
          <cell r="G30">
            <v>-9403.64</v>
          </cell>
          <cell r="H30">
            <v>-40.500000000000007</v>
          </cell>
        </row>
        <row r="31">
          <cell r="C31" t="str">
            <v>Vyššie daňovo-odvodové príjmy</v>
          </cell>
          <cell r="F31">
            <v>0</v>
          </cell>
          <cell r="G31">
            <v>-8100.9089999999997</v>
          </cell>
          <cell r="H31">
            <v>-1343.2309999999995</v>
          </cell>
        </row>
        <row r="32">
          <cell r="C32" t="str">
            <v>Nižšie výdavky SP (najmä dôchodky a nemocenské poistenie)</v>
          </cell>
          <cell r="F32">
            <v>0</v>
          </cell>
          <cell r="G32">
            <v>-7814.2089999999998</v>
          </cell>
          <cell r="H32">
            <v>-286.7</v>
          </cell>
        </row>
        <row r="33">
          <cell r="C33" t="str">
            <v>Nižšie výdavky na spolufinancovanie (mimo COVID-19)</v>
          </cell>
          <cell r="F33">
            <v>0</v>
          </cell>
          <cell r="G33">
            <v>-7655.2089999999998</v>
          </cell>
          <cell r="H33">
            <v>-159</v>
          </cell>
        </row>
        <row r="34">
          <cell r="C34" t="str">
            <v>Ostatné vplyvy</v>
          </cell>
          <cell r="F34">
            <v>0</v>
          </cell>
          <cell r="G34">
            <v>-7655.2089999999998</v>
          </cell>
          <cell r="H34">
            <v>-62.89100000000235</v>
          </cell>
        </row>
        <row r="35">
          <cell r="C35" t="str">
            <v>Saldo VS - očakávaná skutočnosť</v>
          </cell>
          <cell r="H35">
            <v>-7718.1000000000022</v>
          </cell>
        </row>
      </sheetData>
      <sheetData sheetId="1">
        <row r="3">
          <cell r="P3" t="str">
            <v>Pomoc s vplyvom na deficit</v>
          </cell>
          <cell r="Q3" t="str">
            <v>Ostatné opatrenia bez vplyvu na deficit</v>
          </cell>
          <cell r="R3" t="str">
            <v>Pomoc s vplyvom na deficit</v>
          </cell>
          <cell r="S3" t="str">
            <v>Ostatné opatrenia bez vplyvu na deficit</v>
          </cell>
          <cell r="T3" t="str">
            <v>Pomoc s vplyvom na deficit</v>
          </cell>
        </row>
        <row r="4">
          <cell r="O4" t="str">
            <v>Podpora udržania zamestnanosti</v>
          </cell>
          <cell r="P4">
            <v>1.0065156558774431</v>
          </cell>
          <cell r="R4">
            <v>1.8577967575777905</v>
          </cell>
          <cell r="T4">
            <v>0.31269111829656221</v>
          </cell>
        </row>
        <row r="5">
          <cell r="O5" t="str">
            <v xml:space="preserve">Sociálna pomoc </v>
          </cell>
          <cell r="P5">
            <v>0.32652243362411065</v>
          </cell>
          <cell r="R5">
            <v>0.52432473412024605</v>
          </cell>
          <cell r="T5">
            <v>0.13748933716615505</v>
          </cell>
        </row>
        <row r="6">
          <cell r="O6" t="str">
            <v>Odpustenie daní a odvodov</v>
          </cell>
          <cell r="P6">
            <v>9.6079189521661293E-2</v>
          </cell>
          <cell r="R6">
            <v>1.6140252678624213E-2</v>
          </cell>
        </row>
        <row r="7">
          <cell r="O7" t="str">
            <v>Zvýšené výdavky v zdravotníctve</v>
          </cell>
          <cell r="P7">
            <v>0.40971585314663667</v>
          </cell>
          <cell r="R7">
            <v>0.66356584319540468</v>
          </cell>
          <cell r="T7">
            <v>0.18288640224975597</v>
          </cell>
        </row>
        <row r="8">
          <cell r="O8" t="str">
            <v>Iné opatrenia</v>
          </cell>
          <cell r="P8">
            <v>0.28877923455786503</v>
          </cell>
          <cell r="R8">
            <v>0.20323766763900736</v>
          </cell>
          <cell r="T8">
            <v>9.3807335488968649E-2</v>
          </cell>
        </row>
        <row r="10">
          <cell r="O10" t="str">
            <v xml:space="preserve">Odklad daní a odvodov </v>
          </cell>
          <cell r="Q10">
            <v>0.49834072778036181</v>
          </cell>
          <cell r="S10">
            <v>5.8178586275804828E-2</v>
          </cell>
        </row>
        <row r="11">
          <cell r="O11" t="str">
            <v xml:space="preserve">Bankové garancie </v>
          </cell>
          <cell r="Q11">
            <v>1.1274418136298303</v>
          </cell>
          <cell r="S11">
            <v>0.34559318421689361</v>
          </cell>
        </row>
        <row r="12">
          <cell r="O12" t="str">
            <v>Financovanie z EÚ fondov</v>
          </cell>
          <cell r="P12">
            <v>-0.37246283915878425</v>
          </cell>
          <cell r="R12">
            <v>-0.15022928129097662</v>
          </cell>
        </row>
        <row r="13">
          <cell r="O13" t="str">
            <v>Odložené splátky</v>
          </cell>
          <cell r="Q13">
            <v>0.53106425613596153</v>
          </cell>
          <cell r="S13">
            <v>9.8419929540285001E-2</v>
          </cell>
        </row>
        <row r="14">
          <cell r="O14" t="str">
            <v>Transfery v rámci verejnej správy</v>
          </cell>
          <cell r="Q14">
            <v>1.063466697541519</v>
          </cell>
          <cell r="S14">
            <v>0.30788299126262247</v>
          </cell>
        </row>
        <row r="15">
          <cell r="P15">
            <v>1.7551495275689324</v>
          </cell>
          <cell r="Q15">
            <v>3.2203134950876722</v>
          </cell>
          <cell r="R15">
            <v>3.1148359739200964</v>
          </cell>
          <cell r="S15">
            <v>0.81007469129560583</v>
          </cell>
          <cell r="T15">
            <v>0.72687419320144186</v>
          </cell>
        </row>
      </sheetData>
      <sheetData sheetId="2">
        <row r="18">
          <cell r="I18">
            <v>27</v>
          </cell>
        </row>
        <row r="19">
          <cell r="I19">
            <v>23.1</v>
          </cell>
        </row>
        <row r="30">
          <cell r="I30">
            <v>153.01000000000002</v>
          </cell>
        </row>
        <row r="41">
          <cell r="I41">
            <v>9</v>
          </cell>
        </row>
      </sheetData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3">
          <cell r="D3" t="str">
            <v>2020 S</v>
          </cell>
          <cell r="E3" t="str">
            <v>2021 OS</v>
          </cell>
          <cell r="F3">
            <v>2022</v>
          </cell>
          <cell r="G3">
            <v>2023</v>
          </cell>
          <cell r="H3">
            <v>2024</v>
          </cell>
        </row>
        <row r="4">
          <cell r="C4" t="str">
            <v>NB - European Fiscal Rules</v>
          </cell>
          <cell r="D4">
            <v>-5.4972654915000234</v>
          </cell>
          <cell r="E4">
            <v>-7.92</v>
          </cell>
          <cell r="F4">
            <v>-4.9400000000000004</v>
          </cell>
          <cell r="G4">
            <v>-2.6760906917588114</v>
          </cell>
          <cell r="H4">
            <v>-2.5997988270923895</v>
          </cell>
        </row>
        <row r="5">
          <cell r="C5" t="str">
            <v>SB - European Fiscal Rules</v>
          </cell>
          <cell r="D5">
            <v>-2.4356621546077144</v>
          </cell>
          <cell r="E5">
            <v>-4.2757747817135785</v>
          </cell>
          <cell r="F5">
            <v>-4.0771795915916851</v>
          </cell>
          <cell r="G5">
            <v>-3.0767713629137114</v>
          </cell>
          <cell r="H5">
            <v>-2.0767713629137114</v>
          </cell>
        </row>
        <row r="6">
          <cell r="C6" t="str">
            <v>NB - Amendment to the Act (UZoRZ)</v>
          </cell>
          <cell r="F6">
            <v>-4.9400000000000004</v>
          </cell>
          <cell r="G6">
            <v>-2.0969720963668261</v>
          </cell>
          <cell r="H6">
            <v>-2.2206802317004044</v>
          </cell>
        </row>
        <row r="7">
          <cell r="C7" t="str">
            <v>SB - Amendment to the Act (UZoRZ)</v>
          </cell>
          <cell r="F7">
            <v>-4.0976527675217262</v>
          </cell>
          <cell r="G7">
            <v>-2.4976527675217262</v>
          </cell>
          <cell r="H7">
            <v>-1.6976527675217263</v>
          </cell>
        </row>
        <row r="8">
          <cell r="C8" t="str">
            <v>NB - Applicable Act (UZoRZ)</v>
          </cell>
          <cell r="F8">
            <v>-4.9400000000000004</v>
          </cell>
          <cell r="G8">
            <v>-2.6760906917588114</v>
          </cell>
          <cell r="H8">
            <v>0</v>
          </cell>
        </row>
        <row r="9">
          <cell r="C9" t="str">
            <v>SB - Applicable Act (UZoRZ)</v>
          </cell>
          <cell r="F9">
            <v>-4.0771795915916851</v>
          </cell>
          <cell r="G9">
            <v>-3.0767713629137114</v>
          </cell>
          <cell r="H9">
            <v>0.52302746417867818</v>
          </cell>
        </row>
        <row r="10">
          <cell r="C10" t="str">
            <v>ŠŠ - Prienik všetkých 3 pravidiel</v>
          </cell>
          <cell r="D10">
            <v>-2.4356621546077144</v>
          </cell>
          <cell r="E10">
            <v>-4.2757747817135785</v>
          </cell>
          <cell r="F10">
            <v>-4.0771795915916851</v>
          </cell>
          <cell r="G10">
            <v>-2.4976527675217262</v>
          </cell>
          <cell r="H10">
            <v>0.52302746417867818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_2021"/>
      <sheetName val="Oct_2020_exp_EC_forecast_rok"/>
      <sheetName val="Oct_2020_exp_EC_forecast_awg"/>
      <sheetName val="Oct_2020_exp_EC_forecast_legisl"/>
      <sheetName val="Oct_2020_exp_EC_forecast_vychod"/>
      <sheetName val="Oct_2020_exp_EC_forecast_DS"/>
      <sheetName val="Mar_2021_bezRRP_21"/>
      <sheetName val="Mar_2021_RRP_24"/>
      <sheetName val="Mar_2021_bezRRP_24"/>
      <sheetName val="Mar_2021_RRP_21_reforma"/>
      <sheetName val="Mar_2021_bezRRP_21_reforma"/>
      <sheetName val="Hárok1"/>
    </sheetNames>
    <sheetDataSet>
      <sheetData sheetId="0">
        <row r="109">
          <cell r="C109">
            <v>2006</v>
          </cell>
          <cell r="D109">
            <v>2009</v>
          </cell>
          <cell r="E109">
            <v>2014</v>
          </cell>
          <cell r="F109">
            <v>2016</v>
          </cell>
          <cell r="G109">
            <v>2017</v>
          </cell>
          <cell r="H109">
            <v>2019</v>
          </cell>
          <cell r="I109">
            <v>2020</v>
          </cell>
          <cell r="J109">
            <v>2022</v>
          </cell>
          <cell r="K109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_2021_RRP_21"/>
      <sheetName val="Oct_2020_exp_EC_forecast_rok"/>
      <sheetName val="Oct_2020_exp_EC_forecast_awg"/>
      <sheetName val="Oct_2020_exp_EC_forecast_legisl"/>
      <sheetName val="Oct_2020_exp_EC_forecast_vychod"/>
      <sheetName val="Oct_2020_exp_EC_forecast_DS"/>
      <sheetName val="Mar_2021_bezRRP_21"/>
      <sheetName val="Mar_2021_RRP_24"/>
      <sheetName val="Mar_2021_bezRRP_24"/>
      <sheetName val="Mar_2021_RRP_21_reforma"/>
      <sheetName val="Mar_2021_bezRRP_21_reforma"/>
      <sheetName val="Hárok1"/>
    </sheetNames>
    <sheetDataSet>
      <sheetData sheetId="0">
        <row r="105">
          <cell r="C105">
            <v>2006</v>
          </cell>
          <cell r="D105">
            <v>2009</v>
          </cell>
          <cell r="E105">
            <v>2014</v>
          </cell>
          <cell r="F105">
            <v>2016</v>
          </cell>
          <cell r="G105">
            <v>2017</v>
          </cell>
          <cell r="H105">
            <v>2019</v>
          </cell>
          <cell r="I105">
            <v>2020</v>
          </cell>
          <cell r="J105">
            <v>2022</v>
          </cell>
          <cell r="K105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né indikátory"/>
      <sheetName val="Externé prostredie"/>
      <sheetName val="Hrubý domáci produkt"/>
      <sheetName val="Ponuková strana"/>
      <sheetName val="Verejná správa"/>
      <sheetName val="Domácnosti"/>
      <sheetName val="Trh práce"/>
      <sheetName val="Cenová inflácia"/>
      <sheetName val="Platobná bilancia"/>
      <sheetName val="Atypické základne"/>
      <sheetName val="Polročné údaje"/>
      <sheetName val="Kvartálne základne"/>
      <sheetName val="Hárok1"/>
    </sheetNames>
    <sheetDataSet>
      <sheetData sheetId="0" refreshError="1"/>
      <sheetData sheetId="1" refreshError="1"/>
      <sheetData sheetId="2">
        <row r="28">
          <cell r="C28">
            <v>68.590534000000005</v>
          </cell>
          <cell r="D28">
            <v>64.095518999999996</v>
          </cell>
          <cell r="E28">
            <v>68.188652000000005</v>
          </cell>
          <cell r="F28">
            <v>71.30450900000001</v>
          </cell>
          <cell r="G28">
            <v>73.575776000000005</v>
          </cell>
          <cell r="H28">
            <v>74.448761999999988</v>
          </cell>
          <cell r="I28">
            <v>76.269799000000006</v>
          </cell>
          <cell r="J28">
            <v>79.767564000000007</v>
          </cell>
          <cell r="K28">
            <v>81.051498999999993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_2021_2024_NPC"/>
      <sheetName val="RVS_2022_2024"/>
      <sheetName val="NPC_2022_2024"/>
      <sheetName val="OS_2021"/>
      <sheetName val="NPC_2022_2024_bez EU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3"/>
    </sheetNames>
    <sheetDataSet>
      <sheetData sheetId="0">
        <row r="3">
          <cell r="G3">
            <v>1641.4099999999999</v>
          </cell>
        </row>
        <row r="4">
          <cell r="G4">
            <v>570.4</v>
          </cell>
        </row>
        <row r="5">
          <cell r="G5">
            <v>244</v>
          </cell>
        </row>
        <row r="6">
          <cell r="G6">
            <v>3.6</v>
          </cell>
        </row>
        <row r="7">
          <cell r="G7">
            <v>30</v>
          </cell>
        </row>
        <row r="8">
          <cell r="G8">
            <v>25</v>
          </cell>
        </row>
        <row r="10">
          <cell r="G10">
            <v>26.8</v>
          </cell>
        </row>
        <row r="11">
          <cell r="G11">
            <v>65.2</v>
          </cell>
        </row>
        <row r="12">
          <cell r="G12">
            <v>6.5</v>
          </cell>
        </row>
        <row r="13">
          <cell r="G13">
            <v>1</v>
          </cell>
        </row>
        <row r="14">
          <cell r="G14">
            <v>92.4</v>
          </cell>
        </row>
        <row r="15">
          <cell r="G15">
            <v>29.6</v>
          </cell>
        </row>
        <row r="16">
          <cell r="G16">
            <v>6</v>
          </cell>
        </row>
        <row r="17">
          <cell r="G17">
            <v>60</v>
          </cell>
        </row>
        <row r="18">
          <cell r="G18">
            <v>0.6</v>
          </cell>
        </row>
        <row r="19">
          <cell r="G19">
            <v>20</v>
          </cell>
        </row>
        <row r="20">
          <cell r="G20">
            <v>120.3</v>
          </cell>
        </row>
        <row r="21">
          <cell r="G21">
            <v>37.200000000000003</v>
          </cell>
        </row>
        <row r="22">
          <cell r="G22">
            <v>20</v>
          </cell>
        </row>
        <row r="23">
          <cell r="G23">
            <v>6</v>
          </cell>
        </row>
        <row r="24">
          <cell r="G24">
            <v>58.5</v>
          </cell>
        </row>
        <row r="25">
          <cell r="G25">
            <v>6</v>
          </cell>
        </row>
        <row r="26">
          <cell r="G26">
            <v>0.2</v>
          </cell>
        </row>
        <row r="27">
          <cell r="G27">
            <v>12.4</v>
          </cell>
        </row>
        <row r="34">
          <cell r="G34">
            <v>0.68200000000000005</v>
          </cell>
        </row>
        <row r="35">
          <cell r="G35">
            <v>0.09</v>
          </cell>
        </row>
        <row r="36">
          <cell r="G36">
            <v>1.052</v>
          </cell>
        </row>
        <row r="37">
          <cell r="G37">
            <v>3.863</v>
          </cell>
        </row>
        <row r="38">
          <cell r="G38">
            <v>4.2999999999999997E-2</v>
          </cell>
        </row>
        <row r="39">
          <cell r="G39">
            <v>4.1779999999999999</v>
          </cell>
        </row>
        <row r="40">
          <cell r="G40">
            <v>4.282</v>
          </cell>
        </row>
        <row r="41">
          <cell r="G41">
            <v>0.8</v>
          </cell>
        </row>
        <row r="42">
          <cell r="G42">
            <v>3.875</v>
          </cell>
        </row>
        <row r="43">
          <cell r="G43">
            <v>0.14499999999999999</v>
          </cell>
        </row>
        <row r="44">
          <cell r="G44">
            <v>42</v>
          </cell>
        </row>
        <row r="45">
          <cell r="G45">
            <v>25</v>
          </cell>
        </row>
        <row r="47">
          <cell r="G47">
            <v>4.5</v>
          </cell>
        </row>
        <row r="48">
          <cell r="G48">
            <v>0.1</v>
          </cell>
        </row>
        <row r="49">
          <cell r="G49">
            <v>3.6</v>
          </cell>
        </row>
        <row r="50">
          <cell r="G50">
            <v>0.2</v>
          </cell>
        </row>
        <row r="52">
          <cell r="G52">
            <v>30.7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jan"/>
      <sheetName val="5feb"/>
      <sheetName val="12feb"/>
      <sheetName val="19feb"/>
      <sheetName val="26feb"/>
      <sheetName val="5mar"/>
      <sheetName val="15okt"/>
      <sheetName val="08okt"/>
      <sheetName val="01okt"/>
      <sheetName val="24sept"/>
      <sheetName val="17sept"/>
      <sheetName val="10sept"/>
      <sheetName val="03sept"/>
      <sheetName val="27aug"/>
      <sheetName val="20aug"/>
      <sheetName val="13aug"/>
      <sheetName val="6aug"/>
      <sheetName val="30jul"/>
      <sheetName val="23jul"/>
      <sheetName val="16jul"/>
      <sheetName val="9jul"/>
      <sheetName val="2jul"/>
      <sheetName val="25jun"/>
      <sheetName val="18jun"/>
      <sheetName val="11jun"/>
      <sheetName val="4jun"/>
      <sheetName val="28maj"/>
      <sheetName val="21maj"/>
      <sheetName val="14maj"/>
      <sheetName val="7maj"/>
      <sheetName val="30apr"/>
      <sheetName val="23apr"/>
      <sheetName val="16apr "/>
      <sheetName val="9apr"/>
      <sheetName val="1apr"/>
      <sheetName val="26mar"/>
      <sheetName val="19mar"/>
      <sheetName val="12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D24">
            <v>2.45208</v>
          </cell>
        </row>
        <row r="91">
          <cell r="D91">
            <v>15.648529</v>
          </cell>
        </row>
      </sheetData>
      <sheetData sheetId="10">
        <row r="31">
          <cell r="I31">
            <v>10.227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8">
          <cell r="K28">
            <v>10.227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lastné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Vlastné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info/sites/info/files/economy-finance/2021_dbp_sk_sk_0_1.pdf" TargetMode="External"/><Relationship Id="rId1" Type="http://schemas.openxmlformats.org/officeDocument/2006/relationships/hyperlink" Target="https://ec.europa.eu/info/sites/info/files/economy-finance/2021_dbp_sk_sk_0_1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/>
  <dimension ref="A1:H33"/>
  <sheetViews>
    <sheetView showGridLines="0" tabSelected="1" zoomScale="90" zoomScaleNormal="90" workbookViewId="0"/>
  </sheetViews>
  <sheetFormatPr defaultColWidth="9.140625" defaultRowHeight="16.5" x14ac:dyDescent="0.3"/>
  <cols>
    <col min="1" max="1" width="9.140625" style="38"/>
    <col min="2" max="2" width="83.5703125" style="38" customWidth="1"/>
    <col min="3" max="3" width="6.140625" style="38" customWidth="1"/>
    <col min="4" max="4" width="90.85546875" style="38" bestFit="1" customWidth="1"/>
    <col min="5" max="5" width="9.42578125" style="482" customWidth="1"/>
    <col min="6" max="6" width="87.5703125" style="38" customWidth="1"/>
    <col min="7" max="7" width="8" style="38" customWidth="1"/>
    <col min="8" max="8" width="75.140625" style="38" customWidth="1"/>
    <col min="9" max="16384" width="9.140625" style="38"/>
  </cols>
  <sheetData>
    <row r="1" spans="1:8" s="473" customFormat="1" ht="24" thickBot="1" x14ac:dyDescent="0.4">
      <c r="A1" s="787"/>
      <c r="B1" s="475" t="s">
        <v>1422</v>
      </c>
      <c r="C1" s="476"/>
      <c r="D1" s="476"/>
      <c r="E1" s="478"/>
      <c r="F1" s="475" t="s">
        <v>1259</v>
      </c>
      <c r="G1" s="476"/>
      <c r="H1" s="476"/>
    </row>
    <row r="2" spans="1:8" s="473" customFormat="1" ht="23.25" x14ac:dyDescent="0.35">
      <c r="B2" s="477"/>
      <c r="C2" s="478"/>
      <c r="D2" s="478"/>
      <c r="E2" s="478"/>
      <c r="F2" s="477"/>
      <c r="G2" s="478"/>
      <c r="H2" s="478"/>
    </row>
    <row r="3" spans="1:8" ht="20.25" x14ac:dyDescent="0.3">
      <c r="B3" s="479" t="s">
        <v>685</v>
      </c>
      <c r="C3" s="474"/>
      <c r="D3" s="474"/>
      <c r="E3" s="481"/>
      <c r="F3" s="479" t="s">
        <v>686</v>
      </c>
    </row>
    <row r="5" spans="1:8" s="484" customFormat="1" x14ac:dyDescent="0.3">
      <c r="B5" s="748" t="s">
        <v>1433</v>
      </c>
      <c r="C5" s="746"/>
      <c r="D5" s="486" t="s">
        <v>687</v>
      </c>
      <c r="E5" s="485"/>
      <c r="F5" s="748" t="s">
        <v>1379</v>
      </c>
      <c r="G5" s="38"/>
      <c r="H5" s="748" t="s">
        <v>688</v>
      </c>
    </row>
    <row r="6" spans="1:8" s="484" customFormat="1" x14ac:dyDescent="0.3">
      <c r="B6" s="747" t="s">
        <v>1432</v>
      </c>
      <c r="C6" s="745"/>
      <c r="D6" s="747" t="s">
        <v>1272</v>
      </c>
      <c r="E6" s="485"/>
      <c r="F6" s="747" t="s">
        <v>1380</v>
      </c>
      <c r="G6" s="38"/>
      <c r="H6" s="750" t="s">
        <v>1406</v>
      </c>
    </row>
    <row r="7" spans="1:8" s="484" customFormat="1" x14ac:dyDescent="0.3">
      <c r="B7" s="748" t="s">
        <v>1260</v>
      </c>
      <c r="C7" s="745"/>
      <c r="D7" s="748" t="s">
        <v>1273</v>
      </c>
      <c r="E7" s="485"/>
      <c r="F7" s="748" t="s">
        <v>1381</v>
      </c>
      <c r="G7" s="38"/>
      <c r="H7" s="749" t="s">
        <v>1407</v>
      </c>
    </row>
    <row r="8" spans="1:8" s="484" customFormat="1" x14ac:dyDescent="0.3">
      <c r="B8" s="747" t="s">
        <v>1261</v>
      </c>
      <c r="C8" s="745"/>
      <c r="D8" s="747" t="s">
        <v>1274</v>
      </c>
      <c r="E8" s="485"/>
      <c r="F8" s="747" t="s">
        <v>1382</v>
      </c>
      <c r="G8" s="38"/>
      <c r="H8" s="750" t="s">
        <v>1408</v>
      </c>
    </row>
    <row r="9" spans="1:8" s="484" customFormat="1" x14ac:dyDescent="0.3">
      <c r="B9" s="748" t="s">
        <v>1360</v>
      </c>
      <c r="C9" s="745"/>
      <c r="D9" s="748" t="s">
        <v>1275</v>
      </c>
      <c r="E9" s="485"/>
      <c r="F9" s="748" t="s">
        <v>1383</v>
      </c>
      <c r="G9" s="38"/>
      <c r="H9" s="749" t="s">
        <v>1451</v>
      </c>
    </row>
    <row r="10" spans="1:8" s="484" customFormat="1" x14ac:dyDescent="0.3">
      <c r="B10" s="747" t="s">
        <v>1361</v>
      </c>
      <c r="C10" s="745"/>
      <c r="D10" s="747" t="s">
        <v>1276</v>
      </c>
      <c r="E10" s="485"/>
      <c r="F10" s="747" t="s">
        <v>1384</v>
      </c>
      <c r="G10" s="38"/>
      <c r="H10" s="750" t="s">
        <v>1409</v>
      </c>
    </row>
    <row r="11" spans="1:8" s="746" customFormat="1" x14ac:dyDescent="0.3">
      <c r="B11" s="748" t="s">
        <v>1247</v>
      </c>
      <c r="C11" s="788"/>
      <c r="D11" s="748" t="s">
        <v>1281</v>
      </c>
      <c r="E11" s="789"/>
      <c r="F11" s="748" t="s">
        <v>1385</v>
      </c>
      <c r="G11" s="762"/>
      <c r="H11" s="749" t="s">
        <v>1359</v>
      </c>
    </row>
    <row r="12" spans="1:8" s="484" customFormat="1" x14ac:dyDescent="0.3">
      <c r="B12" s="747" t="s">
        <v>1362</v>
      </c>
      <c r="C12" s="745"/>
      <c r="D12" s="747" t="s">
        <v>1277</v>
      </c>
      <c r="E12" s="485"/>
      <c r="F12" s="747" t="s">
        <v>1386</v>
      </c>
      <c r="G12" s="38"/>
      <c r="H12" s="750" t="s">
        <v>1410</v>
      </c>
    </row>
    <row r="13" spans="1:8" s="484" customFormat="1" x14ac:dyDescent="0.3">
      <c r="B13" s="748" t="s">
        <v>1262</v>
      </c>
      <c r="C13" s="745"/>
      <c r="D13" s="748" t="s">
        <v>1278</v>
      </c>
      <c r="E13" s="485"/>
      <c r="F13" s="748" t="s">
        <v>1387</v>
      </c>
      <c r="G13" s="38"/>
      <c r="H13" s="749" t="s">
        <v>1411</v>
      </c>
    </row>
    <row r="14" spans="1:8" s="484" customFormat="1" x14ac:dyDescent="0.3">
      <c r="B14" s="747" t="s">
        <v>1263</v>
      </c>
      <c r="C14" s="745"/>
      <c r="D14" s="747" t="s">
        <v>1279</v>
      </c>
      <c r="E14" s="485"/>
      <c r="F14" s="747" t="s">
        <v>1388</v>
      </c>
      <c r="G14" s="38"/>
      <c r="H14" s="750" t="s">
        <v>1412</v>
      </c>
    </row>
    <row r="15" spans="1:8" s="484" customFormat="1" x14ac:dyDescent="0.3">
      <c r="B15" s="748" t="s">
        <v>1363</v>
      </c>
      <c r="C15" s="745"/>
      <c r="D15" s="748" t="s">
        <v>1369</v>
      </c>
      <c r="E15" s="485"/>
      <c r="F15" s="748" t="s">
        <v>1389</v>
      </c>
      <c r="G15" s="38"/>
      <c r="H15" s="749" t="s">
        <v>1413</v>
      </c>
    </row>
    <row r="16" spans="1:8" s="484" customFormat="1" x14ac:dyDescent="0.3">
      <c r="B16" s="747" t="s">
        <v>1264</v>
      </c>
      <c r="C16" s="745"/>
      <c r="D16" s="747" t="s">
        <v>1370</v>
      </c>
      <c r="E16" s="485"/>
      <c r="F16" s="747" t="s">
        <v>1390</v>
      </c>
      <c r="G16" s="38"/>
      <c r="H16" s="750" t="s">
        <v>1414</v>
      </c>
    </row>
    <row r="17" spans="1:8" s="484" customFormat="1" x14ac:dyDescent="0.3">
      <c r="B17" s="748" t="s">
        <v>1044</v>
      </c>
      <c r="C17" s="745"/>
      <c r="D17" s="748" t="s">
        <v>1371</v>
      </c>
      <c r="E17" s="485"/>
      <c r="F17" s="748" t="s">
        <v>1391</v>
      </c>
      <c r="G17" s="38"/>
      <c r="H17" s="749" t="s">
        <v>1415</v>
      </c>
    </row>
    <row r="18" spans="1:8" s="484" customFormat="1" x14ac:dyDescent="0.3">
      <c r="B18" s="747" t="s">
        <v>1054</v>
      </c>
      <c r="C18" s="745"/>
      <c r="D18" s="747" t="s">
        <v>1372</v>
      </c>
      <c r="E18" s="485"/>
      <c r="F18" s="747" t="s">
        <v>1392</v>
      </c>
      <c r="G18" s="38"/>
      <c r="H18" s="750" t="s">
        <v>1416</v>
      </c>
    </row>
    <row r="19" spans="1:8" s="484" customFormat="1" x14ac:dyDescent="0.3">
      <c r="B19" s="748" t="s">
        <v>1076</v>
      </c>
      <c r="C19" s="745"/>
      <c r="D19" s="748" t="s">
        <v>1373</v>
      </c>
      <c r="E19" s="485"/>
      <c r="F19" s="748" t="s">
        <v>1393</v>
      </c>
      <c r="G19" s="38"/>
      <c r="H19" s="749" t="s">
        <v>1417</v>
      </c>
    </row>
    <row r="20" spans="1:8" s="484" customFormat="1" x14ac:dyDescent="0.3">
      <c r="B20" s="747" t="s">
        <v>1077</v>
      </c>
      <c r="C20" s="745"/>
      <c r="D20" s="747" t="s">
        <v>1374</v>
      </c>
      <c r="E20" s="485"/>
      <c r="F20" s="747" t="s">
        <v>1394</v>
      </c>
      <c r="G20" s="38"/>
      <c r="H20" s="750" t="s">
        <v>1427</v>
      </c>
    </row>
    <row r="21" spans="1:8" s="746" customFormat="1" x14ac:dyDescent="0.3">
      <c r="B21" s="748" t="s">
        <v>1352</v>
      </c>
      <c r="C21" s="788"/>
      <c r="D21" s="748" t="s">
        <v>1375</v>
      </c>
      <c r="E21" s="789"/>
      <c r="F21" s="748" t="s">
        <v>1395</v>
      </c>
      <c r="G21" s="762"/>
      <c r="H21" s="749" t="s">
        <v>1418</v>
      </c>
    </row>
    <row r="22" spans="1:8" s="746" customFormat="1" x14ac:dyDescent="0.3">
      <c r="B22" s="747" t="s">
        <v>1353</v>
      </c>
      <c r="C22" s="788"/>
      <c r="D22" s="747" t="s">
        <v>1376</v>
      </c>
      <c r="E22" s="789"/>
      <c r="F22" s="747" t="s">
        <v>1396</v>
      </c>
      <c r="G22" s="762"/>
      <c r="H22" s="750" t="s">
        <v>1419</v>
      </c>
    </row>
    <row r="23" spans="1:8" s="746" customFormat="1" x14ac:dyDescent="0.3">
      <c r="B23" s="748" t="s">
        <v>1354</v>
      </c>
      <c r="C23" s="788"/>
      <c r="D23" s="748" t="s">
        <v>1377</v>
      </c>
      <c r="E23" s="789"/>
      <c r="F23" s="748" t="s">
        <v>1397</v>
      </c>
      <c r="G23" s="762"/>
      <c r="H23" s="749" t="s">
        <v>1420</v>
      </c>
    </row>
    <row r="24" spans="1:8" s="746" customFormat="1" x14ac:dyDescent="0.3">
      <c r="B24" s="747" t="s">
        <v>1364</v>
      </c>
      <c r="D24" s="747" t="s">
        <v>1378</v>
      </c>
      <c r="E24" s="789"/>
      <c r="F24" s="747" t="s">
        <v>1398</v>
      </c>
      <c r="G24" s="762"/>
      <c r="H24" s="750" t="s">
        <v>1421</v>
      </c>
    </row>
    <row r="25" spans="1:8" s="484" customFormat="1" x14ac:dyDescent="0.3">
      <c r="A25" s="746"/>
      <c r="B25" s="748" t="s">
        <v>1365</v>
      </c>
      <c r="C25" s="746"/>
      <c r="E25" s="789"/>
      <c r="F25" s="748" t="s">
        <v>1399</v>
      </c>
      <c r="G25" s="38"/>
      <c r="H25" s="38"/>
    </row>
    <row r="26" spans="1:8" s="484" customFormat="1" x14ac:dyDescent="0.3">
      <c r="A26" s="746"/>
      <c r="B26" s="747" t="s">
        <v>1267</v>
      </c>
      <c r="C26" s="746"/>
      <c r="D26" s="748" t="s">
        <v>1431</v>
      </c>
      <c r="E26" s="789"/>
      <c r="F26" s="747" t="s">
        <v>1455</v>
      </c>
      <c r="G26" s="38"/>
      <c r="H26" s="748" t="s">
        <v>1430</v>
      </c>
    </row>
    <row r="27" spans="1:8" s="484" customFormat="1" x14ac:dyDescent="0.3">
      <c r="A27" s="746"/>
      <c r="B27" s="748" t="s">
        <v>1268</v>
      </c>
      <c r="C27" s="746"/>
      <c r="E27" s="789"/>
      <c r="F27" s="748" t="s">
        <v>1456</v>
      </c>
      <c r="G27" s="38"/>
      <c r="H27" s="38"/>
    </row>
    <row r="28" spans="1:8" s="484" customFormat="1" x14ac:dyDescent="0.3">
      <c r="B28" s="747" t="s">
        <v>1269</v>
      </c>
      <c r="C28" s="746"/>
      <c r="E28" s="485"/>
      <c r="F28" s="747" t="s">
        <v>1400</v>
      </c>
      <c r="G28" s="38"/>
      <c r="H28" s="38"/>
    </row>
    <row r="29" spans="1:8" s="484" customFormat="1" x14ac:dyDescent="0.3">
      <c r="B29" s="748" t="s">
        <v>1270</v>
      </c>
      <c r="E29" s="485"/>
      <c r="F29" s="748" t="s">
        <v>1401</v>
      </c>
      <c r="G29" s="38"/>
      <c r="H29" s="38"/>
    </row>
    <row r="30" spans="1:8" s="484" customFormat="1" x14ac:dyDescent="0.3">
      <c r="B30" s="747" t="s">
        <v>1271</v>
      </c>
      <c r="D30" s="38"/>
      <c r="E30" s="485"/>
      <c r="F30" s="747" t="s">
        <v>1402</v>
      </c>
      <c r="G30" s="38"/>
      <c r="H30" s="38"/>
    </row>
    <row r="31" spans="1:8" s="484" customFormat="1" x14ac:dyDescent="0.3">
      <c r="B31" s="748" t="s">
        <v>1366</v>
      </c>
      <c r="D31" s="38"/>
      <c r="E31" s="485"/>
      <c r="F31" s="748" t="s">
        <v>1403</v>
      </c>
      <c r="G31" s="38"/>
      <c r="H31" s="38"/>
    </row>
    <row r="32" spans="1:8" s="484" customFormat="1" x14ac:dyDescent="0.3">
      <c r="B32" s="747" t="s">
        <v>1367</v>
      </c>
      <c r="D32" s="38"/>
      <c r="E32" s="485"/>
      <c r="F32" s="747" t="s">
        <v>1404</v>
      </c>
      <c r="G32" s="38"/>
      <c r="H32" s="38"/>
    </row>
    <row r="33" spans="2:8" s="484" customFormat="1" x14ac:dyDescent="0.3">
      <c r="B33" s="748" t="s">
        <v>1368</v>
      </c>
      <c r="D33" s="38"/>
      <c r="E33" s="485"/>
      <c r="F33" s="748" t="s">
        <v>1405</v>
      </c>
      <c r="G33" s="38"/>
      <c r="H33" s="38"/>
    </row>
  </sheetData>
  <hyperlinks>
    <hyperlink ref="D5" location="'MMF_TABULKA'!A1" display="MMF_TABULKA"/>
    <hyperlink ref="D15" location="'Tabuľka 10'!A1" display="TABUĽKA 10 - Prognóza vybraných indikátorov vývoja ekonomiky SR"/>
    <hyperlink ref="D16" location="'Tabuľka 11'!A1" display="TABUĽKA 11 - Porovnanie rozpočtových cieľov s Programom stability"/>
    <hyperlink ref="D18" location="'Tabuľka 13 '!A1" display="TABUĽKA 13 - Priemerná prognóza členov Výboru* (okrem MF SR) a prognóza MF SR"/>
    <hyperlink ref="D19" location="'Tabuľka 14'!A1" display="TABUĽKA 14 - Hodnotenie prognózy MF SR vo Výbore pre daňové prognózy"/>
    <hyperlink ref="D20" location="'Tabuľka 15'!A1" display="Tabuľka 15"/>
    <hyperlink ref="D21" location="'Tabuľka 16'!A1" display="Tabuľka 16"/>
    <hyperlink ref="D22" location="'Tabuľka 17'!A1" display="TABUĽKA 17 - Výdavkové pravidlo"/>
    <hyperlink ref="D23" location="DRM!A1" display="TABUĽKA 18 - Diskrečné opatrenia – medziročné vplyvy opatrení (mil. eur, ESA2010)"/>
    <hyperlink ref="D7" location="'Graf 11+Tabuľka 2'!A1" display="TABUĽKA 2 – Produkčná medzera a príspevky faktorov k rastu potenciálneho produktu – národná metodika"/>
    <hyperlink ref="D24" location="'Tab COVID'!A1" display="TABUĽKA - Jednotlivé opatrenia prijaté v boji proti korona-vírusu"/>
    <hyperlink ref="D8" location="'Tabuľka 3'!A1" display="TABUĽKA 3 – Opätovné obmedzenie ekonomiky"/>
    <hyperlink ref="D9" location="'Tabuľka 4'!A1" display="Tabuľka 4"/>
    <hyperlink ref="D10" location="'Tabuľka 5 '!A1" display="Tabuľka 5 "/>
    <hyperlink ref="D11" location="'Tabuľka 6'!A1" display="Tabuľka 6"/>
    <hyperlink ref="D12" location="'Tabuľka 7'!A1" display="TABUĽKA 7 – Výdavky verejnej správy podľa klasifikácie COFOG"/>
    <hyperlink ref="B3" r:id="rId1"/>
    <hyperlink ref="F3" r:id="rId2"/>
    <hyperlink ref="D14" location="'Tabuľka 9'!A1" display="TABUĽKA 9 – Výdavkové opatrenia zahrnuté v návrhu rozpočtu verejnej správy (ESA 2010, porovnanie voči NPC)"/>
    <hyperlink ref="D13" location="'Tabuľka 8'!A1" display="TABUĽKA 8 – Porovnanie bilancie výdavkov a príjmov a NPC v 2022 až 2024 (% HDP)"/>
    <hyperlink ref="D17" location="'Tabuľka 12'!A1" display="TABUĽKA 12 - Hodnotenie septembrovej prognózy MF SR vo Výbore pre makroekonomické prognózy"/>
    <hyperlink ref="D6" location="'Tabuľka 1'!A1" display="TABUĽKA 1 – Porovnanie prognóz Európskej komisie a Ministerstva financií SR"/>
    <hyperlink ref="H23" location="'DRM'!A1" display="DRM"/>
    <hyperlink ref="F5" location="'Graf 1+2'!A1" display="Graf 1+2"/>
    <hyperlink ref="F16" location="'Graf 12'!A1" display="Graf 12"/>
    <hyperlink ref="F31" location="'Graf 27'!A1" display="Figure 27 - VAT gap"/>
    <hyperlink ref="F32" location="'Graf 28'!A1" display="Figure 28 -Development of the general government expenditures"/>
    <hyperlink ref="F33" location="'Graf 29'!A1" display="Graf 29"/>
    <hyperlink ref="F9" location="'Graf 5+6'!A1" display="Figure 5 - Contributions of sectors to employment growth "/>
    <hyperlink ref="F11" location="'Graf 7+8'!A1" display="Figure 7 - GDP of main trading partners"/>
    <hyperlink ref="H5" location="'MMF_TABULKA'!A1" display="MMF_TABULKA"/>
    <hyperlink ref="H12" location="'Tabuľka 7'!A1" display="Table 7 - General government expenditure by COFOG classification"/>
    <hyperlink ref="H15" location="'Tabuľka 10'!A1" display="Table 10 - Forecast of selected economic indicators in SR"/>
    <hyperlink ref="H6" location="'Tabuľka 1'!A1" display="Table 1 - Comparison of forecasts of EC and MoF SR"/>
    <hyperlink ref="H17" location="'Tabuľka 12'!A1" display="Table 12 - Assessment of the September MoF forecast by the Macroeconomic Forecast Committee"/>
    <hyperlink ref="H18" location="'Tabuľka 13 '!A1" display="Table 13 - Average forecast of MFC members and forecast of MoF SR"/>
    <hyperlink ref="H19" location="'Tabuľka 14'!A1" display="Table 14 - Assessment of the  MoF forecast by the Tax Forecast Committee"/>
    <hyperlink ref="H20" location="'Tabuľka 15'!A1" display="Table 15 - General Government Gross debt (cash perspective)"/>
    <hyperlink ref="H8" location="'Tabuľka 3'!A1" display="Table 3 - Reoccuring lockdown"/>
    <hyperlink ref="H21" location="'Tabuľka 16'!A1" display="Table 16 - One-off measures"/>
    <hyperlink ref="H22" location="'Tabuľka 17'!A1" display="Table 17 - Expenditure benchmark"/>
    <hyperlink ref="H10" location="'Tabuľka 5 '!A1" display="Tabuľka 5 "/>
    <hyperlink ref="H11" location="'Tabuľka 6'!A1" display="Tabuľka 6"/>
    <hyperlink ref="H13" location="'Tabuľka 8'!A1" display="Table 8 - Comparison of Expenditure and Revenue Balance and NPC"/>
    <hyperlink ref="H14" location="'Tabuľka 9'!A1" display="Table 9 - Expenditure measures included in the draft general government budget"/>
    <hyperlink ref="F6" location="'Graf 1+2'!A1" display="Graf 1+2"/>
    <hyperlink ref="F10" location="'Graf 5+6'!A1" display="Figure 6 - Contributions to inflation"/>
    <hyperlink ref="F12" location="'Graf 7+8'!A1" display="Figure 8 - Stock indices"/>
    <hyperlink ref="F15" location="'Graf 11+Tabuľka 2'!A1" display="Figure 11 - Output gap"/>
    <hyperlink ref="H7" location="'Graf 11+Tabuľka 2'!A1" display="Table 2 - Output gap and factor contributions to potential growth"/>
    <hyperlink ref="B29" location="'Graf 24 + 25'!A1" display="GRAF 25 – Procyklický vývoj DPPO sa nezopakoval"/>
    <hyperlink ref="B22" location="'Graf 18'!A1" display="GRAF 18 – Príspevky k zmene dlhu VS (% HDP)"/>
    <hyperlink ref="B18" location="'Graf 14'!A1" display="GRAF 14 – Faktory vedúce k nárastu štrukturálneho deficitu medzi rokmi 2020 a 2021 v % HDP"/>
    <hyperlink ref="B11" location="'Graf 7+8'!A1" display="GRAF 7 – HDP obchodných partnerov Slovenska podľa septembrovej prognózy IFP (% zmena)"/>
    <hyperlink ref="B10" location="'Graf 5+6'!A1" display="GRAF 6 - Príspevky k inflácii (p. b.)"/>
    <hyperlink ref="B8" location="'Graf3+4'!A1" display="GRAF 4 – Prognóza reálneho HDP (index 4Q2019=100, sezónne očistené)"/>
    <hyperlink ref="B6" location="'Graf 1+2'!A1" display="Graf 1+2"/>
    <hyperlink ref="B13" location="'Graf 9+10'!A1" display="GRAF 9 – Predpoklad o vývoji počtu nových prípadov (7-denný kĺzavý priemer)"/>
    <hyperlink ref="B12" location="'Graf 7+8'!A1" display="GRAF 8 - Akciové indexy sa po prudkom prepade rýchlo spamätali (15. jan 2016 = 1)"/>
    <hyperlink ref="B9" location="'Graf 5+6'!A1" display="GRAF 5 - Príspevky odvetví k rastu zamestnanosti (p. b.)"/>
    <hyperlink ref="B7" location="'Graf3+4'!A1" display="GRAF 3 – Predpokladaná realizácia investícií z EÚ fondov a plánu obnovy (v mil. eur, b. c.)"/>
    <hyperlink ref="B33" location="'Graf 29'!A1" display="GRAF 29 - Porovnanie prognóz makroekonomických základní pre rozpočtové príjmy s členmi výboru"/>
    <hyperlink ref="B32" location="'Graf 28'!A1" display="GRAF 28 - Vývoj výdavkov VS (% HDP)"/>
    <hyperlink ref="B31" location="'Graf 26 + 27'!A1" display="GRAF 27 - Daňová medzera na DPH (% potenciálneho výnosu)"/>
    <hyperlink ref="B30" location="'Graf 26 + 27'!A1" display="GRAF 26 – DPH opätovne rastie"/>
    <hyperlink ref="B28" location="'Graf 24 + 25'!A1" display="GRAF 24 – Medziročný rast HDP, daní a odvodov"/>
    <hyperlink ref="B27" location="'Graf 22 + 23'!A1" display="GRAF 23 – Zmena indikátora S2 pri zavedení jednotlivých opatrení aktuálnej reformy (v p. b. HDP)"/>
    <hyperlink ref="B26" location="'Graf 22 + 23'!A1" display="GRAF 22 – Vplyv opatrení aktuálnej reformy I. piliera na výdavky citlivé na starnutie (v p. b. HDP)"/>
    <hyperlink ref="B25" location="'Graf 21'!A1" display="GRAF 21 - Udržateľnosť S2 (% HDP)"/>
    <hyperlink ref="B24" location="'Graf 20'!A1" display="GRAF 20 - Udržateľnosť S1 (% HDP)"/>
    <hyperlink ref="B23" location="'Graf 19'!A1" display="GRAF 19 – Dlhodobá prognóza dlhu v scenári nezmenených politík po roku 2024 (% HDP)"/>
    <hyperlink ref="B21" location="'Graf 17'!A1" display="GRAF 17 – Prognóza hrubého a čistého dlhu verejnej správy v rokoch 2021-2024 (% HDP)"/>
    <hyperlink ref="B20" location="'Graf 15+16'!A1" display="GRAF 16 – Štrukturálne saldo podľa jednotlivých vrstiev pravidiel (v % HDP)"/>
    <hyperlink ref="B19" location="'Graf 15+16'!A1" display="GRAF 15 – Nominálne saldo podľa jednotlivých vrstiev pravidiel (v % HDP)"/>
    <hyperlink ref="B17" location="'Graf 13'!A1" display="GRAF 13 – Súhrn opatrení prijatých v boji proti koronavírusu (odhad do konca roka, v % HDP)"/>
    <hyperlink ref="B16" location="'Graf 12'!A1" display="GRAF 12 – Plnenie schváleného rozpočtu - rozdiely na hlavných položkách (príspevky v mil. eur, ESA2010)"/>
    <hyperlink ref="B15" location="'Graf 11+Tabuľka 2'!A1" display="GRAF 11 - Vývoj produkčnej medzery (% pot. HDP): porovnanie MF SR, NBS, EK"/>
    <hyperlink ref="B14" location="'Graf 9+10'!A1" display="GRAF 10 – Vplyv 3. vlny na spotrebu domácností (s. c. index 4Q2019=100, sezónne očistené)"/>
    <hyperlink ref="B5" location="'Graf 1+2'!A1" display="Graf 1+2"/>
    <hyperlink ref="H24" location="'Tab COVID'!A1" display="Table - List of measures taken to combat coronavirus"/>
    <hyperlink ref="H9" location="'Tabuľka 4'!A1" display="Table 4 - Drawing of resources from the Recovery and Resilience Facility"/>
    <hyperlink ref="F7" location="'Graf3+4'!A1" display="Figure 3: Preliminary plan of allocating investments from EU funds and RRP "/>
    <hyperlink ref="F8" location="'Graf3+4'!A1" display="Figure 4: Real GDP forecast "/>
    <hyperlink ref="F13" location="'Graf 9'!A1" display="Figure 9: Reported and forecasted new COVID-19 cases"/>
    <hyperlink ref="F14" location="'Graf 9+10'!A1" display="Figure 10: Impact of the 3rd wave on household consumption"/>
    <hyperlink ref="F17" location="'Graf 13'!A1" display="Figure 13 - Summary of measures taken to combat coronavirus (estimated by the end of the year, in% of GDP)"/>
    <hyperlink ref="F18" location="'Graf 14'!A1" display="Figure 14 - Factors leading to an increase in the structural deficit between 2020 and 2021 in% of GDP"/>
    <hyperlink ref="F19" location="'Graf 15+16'!A1" display="Figure 15 - Nominal balance according different fiscal rules (% of GDP)"/>
    <hyperlink ref="F20" location="'Graf 15+16'!A1" display="Figure 16 - Structural balance according different fiscal rules (% of GDP)"/>
    <hyperlink ref="F28" location="'Graf 24 '!A1" display="Figure 24: GDP, taxes and social contributions growth ( % y-o-y)"/>
    <hyperlink ref="F29" location="'Graf 25+26'!A1" display="Figure 25 - Procyclical behavior of CIT did not repeat as in 2009 (y-o-y growth)"/>
    <hyperlink ref="F30" location="'Graf 25+26'!A1" display="Figure 26 - Effective tax rate"/>
    <hyperlink ref="F21" location="'Graf 17'!A1" display="Figure 17 - Projection of gross and net public debtin 2022-2024 (% of GDP) "/>
    <hyperlink ref="F22" location="'Graf 18'!A1" display="Figure 18 - Main drivers of change in public debt (% of GDP)"/>
    <hyperlink ref="F23" location="'Graf 19'!A1" display="GRAF 19 - Long-term projection of public debt in No-policy change scenario after 2024 (% of GDP)"/>
    <hyperlink ref="F24" location="'Graf 20'!A1" display="GRAF 20 -Sustainability of S1 (% of GDP)"/>
    <hyperlink ref="F25" location="'Graf 21'!A1" display="GRAF 21 -Sustainability of S2 (% of GDP)"/>
    <hyperlink ref="D26" location="'Schéma 1'!A1" display="SCHÉMA 1 - Časový harmonogram najprísnejších sankcií od roku 2023"/>
    <hyperlink ref="H26" location="'Schéma 1'!A1" display="SCHÉMA 1 - Časový harmonogram najprísnejších sankcií od roku 2023"/>
    <hyperlink ref="F26" location="'Graf 22 + 23'!A1" display="Figure 22 – Impact of the measures of the current reform of the first pillar on age-related expenditures (p.p. of GDP)"/>
    <hyperlink ref="F27" location="'Graf 22 + 23'!A1" display="Figure 23 – Change of indicator S2 during the introduction of individual measures of the current reform (p.p. ofGDP)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AF44"/>
  <sheetViews>
    <sheetView showGridLines="0" zoomScaleNormal="100" workbookViewId="0">
      <selection activeCell="C2" sqref="C2"/>
    </sheetView>
  </sheetViews>
  <sheetFormatPr defaultColWidth="8.85546875" defaultRowHeight="13.5" x14ac:dyDescent="0.25"/>
  <cols>
    <col min="1" max="1" width="14.140625" style="88" bestFit="1" customWidth="1"/>
    <col min="2" max="2" width="8.85546875" style="88"/>
    <col min="3" max="3" width="11.140625" style="88" customWidth="1"/>
    <col min="4" max="4" width="9.85546875" style="88" customWidth="1"/>
    <col min="5" max="11" width="8.85546875" style="88"/>
    <col min="12" max="13" width="15.140625" style="88" customWidth="1"/>
    <col min="14" max="14" width="8.85546875" style="88" customWidth="1"/>
    <col min="15" max="16384" width="8.85546875" style="88"/>
  </cols>
  <sheetData>
    <row r="1" spans="1:32" ht="15" x14ac:dyDescent="0.25">
      <c r="A1" s="1"/>
    </row>
    <row r="4" spans="1:32" x14ac:dyDescent="0.25">
      <c r="L4" s="231" t="s">
        <v>127</v>
      </c>
      <c r="M4" s="231" t="s">
        <v>370</v>
      </c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</row>
    <row r="5" spans="1:32" x14ac:dyDescent="0.25">
      <c r="L5" s="227"/>
      <c r="M5" s="227"/>
    </row>
    <row r="6" spans="1:32" x14ac:dyDescent="0.25">
      <c r="B6" s="807" t="s">
        <v>1080</v>
      </c>
      <c r="C6" s="808"/>
      <c r="D6" s="808"/>
      <c r="E6" s="808"/>
      <c r="F6" s="808"/>
      <c r="G6" s="808"/>
      <c r="H6" s="808"/>
      <c r="I6" s="808"/>
      <c r="L6" s="227" t="s">
        <v>132</v>
      </c>
      <c r="M6" s="227" t="s">
        <v>381</v>
      </c>
    </row>
    <row r="7" spans="1:32" x14ac:dyDescent="0.25">
      <c r="B7" s="229"/>
      <c r="L7" s="139"/>
      <c r="M7" s="139"/>
      <c r="N7" s="139">
        <v>2017</v>
      </c>
      <c r="O7" s="139">
        <v>2018</v>
      </c>
      <c r="P7" s="139">
        <v>2019</v>
      </c>
      <c r="Q7" s="139">
        <v>2020</v>
      </c>
      <c r="R7" s="139">
        <v>2021</v>
      </c>
      <c r="S7" s="139">
        <v>2022</v>
      </c>
    </row>
    <row r="8" spans="1:32" x14ac:dyDescent="0.25">
      <c r="B8" s="229"/>
      <c r="L8" s="227" t="s">
        <v>327</v>
      </c>
      <c r="M8" s="227" t="s">
        <v>392</v>
      </c>
      <c r="N8" s="141">
        <v>0.47247402629104762</v>
      </c>
      <c r="O8" s="141">
        <v>1.5810501770998631</v>
      </c>
      <c r="P8" s="141">
        <v>1.8447091231960755</v>
      </c>
      <c r="Q8" s="141">
        <v>-3.6373461214121328</v>
      </c>
      <c r="R8" s="141">
        <v>-1.7177581496915284</v>
      </c>
      <c r="S8" s="141">
        <v>-0.35681421314139872</v>
      </c>
    </row>
    <row r="9" spans="1:32" x14ac:dyDescent="0.25">
      <c r="L9" s="227" t="s">
        <v>575</v>
      </c>
      <c r="M9" s="227" t="s">
        <v>575</v>
      </c>
      <c r="N9" s="141">
        <v>0.7</v>
      </c>
      <c r="O9" s="141">
        <v>1.6</v>
      </c>
      <c r="P9" s="141">
        <v>1.4</v>
      </c>
      <c r="Q9" s="141">
        <v>-4.9000000000000004</v>
      </c>
      <c r="R9" s="141">
        <v>-2.7</v>
      </c>
      <c r="S9" s="141">
        <v>0</v>
      </c>
      <c r="T9" s="229"/>
    </row>
    <row r="10" spans="1:32" x14ac:dyDescent="0.25">
      <c r="B10" s="229"/>
      <c r="L10" s="227" t="s">
        <v>328</v>
      </c>
      <c r="M10" s="227" t="s">
        <v>393</v>
      </c>
      <c r="N10" s="141">
        <v>0.46648201908467968</v>
      </c>
      <c r="O10" s="141">
        <v>1.5635691119450623</v>
      </c>
      <c r="P10" s="141">
        <v>1.8277616897985682</v>
      </c>
      <c r="Q10" s="141">
        <v>-3.6470298477175422</v>
      </c>
      <c r="R10" s="141">
        <v>-1.0056332158416947</v>
      </c>
      <c r="S10" s="141">
        <v>1.2818090691245843</v>
      </c>
    </row>
    <row r="11" spans="1:32" x14ac:dyDescent="0.25">
      <c r="B11" s="229"/>
      <c r="L11" s="227" t="s">
        <v>329</v>
      </c>
      <c r="M11" s="227" t="s">
        <v>394</v>
      </c>
      <c r="N11" s="141">
        <v>0.81942179999999998</v>
      </c>
      <c r="O11" s="141">
        <v>2.2823101000000001</v>
      </c>
      <c r="P11" s="141">
        <v>2.435616</v>
      </c>
      <c r="Q11" s="141">
        <v>-3.8862937</v>
      </c>
      <c r="R11" s="141">
        <v>-1.3559395000000001</v>
      </c>
      <c r="S11" s="141">
        <v>0.83108400000000004</v>
      </c>
    </row>
    <row r="12" spans="1:32" x14ac:dyDescent="0.25">
      <c r="B12" s="229"/>
      <c r="L12" s="227"/>
      <c r="M12" s="227"/>
      <c r="N12" s="141"/>
      <c r="O12" s="141"/>
      <c r="P12" s="141"/>
      <c r="Q12" s="141"/>
      <c r="R12" s="141"/>
      <c r="S12" s="141"/>
    </row>
    <row r="13" spans="1:32" x14ac:dyDescent="0.25">
      <c r="B13" s="229"/>
      <c r="L13" s="227"/>
      <c r="M13" s="227"/>
      <c r="N13" s="250"/>
    </row>
    <row r="14" spans="1:32" x14ac:dyDescent="0.25">
      <c r="B14" s="229"/>
    </row>
    <row r="15" spans="1:32" x14ac:dyDescent="0.25">
      <c r="B15" s="229"/>
    </row>
    <row r="16" spans="1:32" x14ac:dyDescent="0.25">
      <c r="B16" s="229"/>
    </row>
    <row r="17" spans="2:20" x14ac:dyDescent="0.25">
      <c r="B17" s="229"/>
    </row>
    <row r="18" spans="2:20" x14ac:dyDescent="0.25">
      <c r="B18" s="229"/>
      <c r="L18" s="233" t="s">
        <v>1081</v>
      </c>
      <c r="M18" s="234"/>
      <c r="N18" s="234"/>
      <c r="O18" s="234"/>
      <c r="P18" s="234"/>
      <c r="Q18" s="234"/>
      <c r="R18" s="234"/>
      <c r="S18" s="234"/>
      <c r="T18" s="234"/>
    </row>
    <row r="19" spans="2:20" ht="27.75" thickBot="1" x14ac:dyDescent="0.3">
      <c r="B19" s="229"/>
      <c r="L19" s="251"/>
      <c r="M19" s="104" t="s">
        <v>326</v>
      </c>
      <c r="N19" s="104" t="s">
        <v>92</v>
      </c>
      <c r="O19" s="104" t="s">
        <v>680</v>
      </c>
      <c r="P19" s="104" t="s">
        <v>316</v>
      </c>
      <c r="Q19" s="104" t="s">
        <v>93</v>
      </c>
    </row>
    <row r="20" spans="2:20" x14ac:dyDescent="0.25">
      <c r="B20" s="229"/>
      <c r="I20" s="141"/>
      <c r="L20" s="3">
        <v>2017</v>
      </c>
      <c r="M20" s="19">
        <v>0.47247402629104762</v>
      </c>
      <c r="N20" s="252">
        <v>2.1461480519262111</v>
      </c>
      <c r="O20" s="252">
        <v>1.0040311657747658</v>
      </c>
      <c r="P20" s="252">
        <v>0.53080740653425151</v>
      </c>
      <c r="Q20" s="19">
        <v>0.6001724349491061</v>
      </c>
      <c r="R20" s="141"/>
    </row>
    <row r="21" spans="2:20" x14ac:dyDescent="0.25">
      <c r="I21" s="141"/>
      <c r="L21" s="3">
        <v>2018</v>
      </c>
      <c r="M21" s="19">
        <v>1.5810501770998631</v>
      </c>
      <c r="N21" s="252">
        <v>2.5189669601789255</v>
      </c>
      <c r="O21" s="252">
        <v>1.3078104011209568</v>
      </c>
      <c r="P21" s="252">
        <v>0.64939278840578396</v>
      </c>
      <c r="Q21" s="19">
        <v>0.54613782161266522</v>
      </c>
      <c r="R21" s="141"/>
    </row>
    <row r="22" spans="2:20" x14ac:dyDescent="0.25">
      <c r="I22" s="141"/>
      <c r="L22" s="253">
        <v>2019</v>
      </c>
      <c r="M22" s="254">
        <v>1.8447091231960755</v>
      </c>
      <c r="N22" s="255">
        <v>2.2462027564713383</v>
      </c>
      <c r="O22" s="255">
        <v>1.1351769763135122</v>
      </c>
      <c r="P22" s="255">
        <v>0.73487997135076677</v>
      </c>
      <c r="Q22" s="254">
        <v>0.36395653292115554</v>
      </c>
      <c r="R22" s="141"/>
    </row>
    <row r="23" spans="2:20" ht="14.25" thickBot="1" x14ac:dyDescent="0.3">
      <c r="I23" s="141"/>
      <c r="J23" s="227"/>
      <c r="L23" s="16">
        <v>2020</v>
      </c>
      <c r="M23" s="256">
        <v>-3.6373461214121328</v>
      </c>
      <c r="N23" s="257">
        <v>0.66418514272221785</v>
      </c>
      <c r="O23" s="257">
        <v>0.28905386484356921</v>
      </c>
      <c r="P23" s="257">
        <v>0.72906237026694065</v>
      </c>
      <c r="Q23" s="256">
        <v>-0.34961434299442273</v>
      </c>
      <c r="R23" s="141"/>
    </row>
    <row r="24" spans="2:20" x14ac:dyDescent="0.25">
      <c r="I24" s="141"/>
      <c r="L24" s="3" t="s">
        <v>294</v>
      </c>
      <c r="M24" s="19">
        <v>-1.7177581496915284</v>
      </c>
      <c r="N24" s="252">
        <v>1.6469940014836704</v>
      </c>
      <c r="O24" s="252">
        <v>1.2531380310423001</v>
      </c>
      <c r="P24" s="252">
        <v>0.44396601645415223</v>
      </c>
      <c r="Q24" s="19">
        <v>-5.3958689222308683E-2</v>
      </c>
      <c r="R24" s="141"/>
    </row>
    <row r="25" spans="2:20" x14ac:dyDescent="0.25">
      <c r="I25" s="141"/>
      <c r="L25" s="3" t="s">
        <v>325</v>
      </c>
      <c r="M25" s="19">
        <v>-0.35681421314139872</v>
      </c>
      <c r="N25" s="252">
        <v>2.7824165879495766</v>
      </c>
      <c r="O25" s="252">
        <v>1.8606625771226515</v>
      </c>
      <c r="P25" s="252">
        <v>0.60704012348637038</v>
      </c>
      <c r="Q25" s="19">
        <v>0.29807443370825032</v>
      </c>
      <c r="R25" s="141"/>
    </row>
    <row r="26" spans="2:20" x14ac:dyDescent="0.25">
      <c r="I26" s="141"/>
      <c r="L26" s="3" t="s">
        <v>538</v>
      </c>
      <c r="M26" s="19">
        <v>1.051655304868504</v>
      </c>
      <c r="N26" s="252">
        <v>3.5339735352266866</v>
      </c>
      <c r="O26" s="252">
        <v>2.2708616647451052</v>
      </c>
      <c r="P26" s="252">
        <v>1.0631444651696644</v>
      </c>
      <c r="Q26" s="19">
        <v>0.17464916301634503</v>
      </c>
      <c r="R26" s="141"/>
    </row>
    <row r="27" spans="2:20" x14ac:dyDescent="0.25">
      <c r="B27" s="137" t="s">
        <v>1255</v>
      </c>
      <c r="I27" s="141"/>
      <c r="L27" s="3" t="s">
        <v>689</v>
      </c>
      <c r="M27" s="19">
        <v>-1.3727754965319638</v>
      </c>
      <c r="N27" s="252">
        <v>3.1892904128925093</v>
      </c>
      <c r="O27" s="252">
        <v>1.9158517507776196</v>
      </c>
      <c r="P27" s="252">
        <v>1.1251348706308748</v>
      </c>
      <c r="Q27" s="19">
        <v>0.12794171196170304</v>
      </c>
      <c r="R27" s="141"/>
    </row>
    <row r="28" spans="2:20" x14ac:dyDescent="0.25">
      <c r="L28" s="3"/>
      <c r="M28" s="19"/>
      <c r="N28" s="252"/>
      <c r="O28" s="252"/>
      <c r="P28" s="252"/>
      <c r="Q28" s="19"/>
      <c r="T28" s="141"/>
    </row>
    <row r="29" spans="2:20" x14ac:dyDescent="0.25">
      <c r="L29" s="3"/>
      <c r="M29" s="19"/>
      <c r="N29" s="252"/>
      <c r="O29" s="252"/>
      <c r="P29" s="252"/>
      <c r="Q29" s="19"/>
      <c r="T29" s="141"/>
    </row>
    <row r="30" spans="2:20" x14ac:dyDescent="0.25">
      <c r="L30" s="137" t="s">
        <v>1256</v>
      </c>
      <c r="T30" s="141"/>
    </row>
    <row r="31" spans="2:20" x14ac:dyDescent="0.25">
      <c r="T31" s="141"/>
    </row>
    <row r="32" spans="2:20" ht="27.75" thickBot="1" x14ac:dyDescent="0.3">
      <c r="L32" s="251"/>
      <c r="M32" s="104" t="s">
        <v>389</v>
      </c>
      <c r="N32" s="104" t="s">
        <v>390</v>
      </c>
      <c r="O32" s="104" t="s">
        <v>680</v>
      </c>
      <c r="P32" s="104" t="s">
        <v>391</v>
      </c>
      <c r="Q32" s="104" t="s">
        <v>527</v>
      </c>
      <c r="R32" s="141"/>
      <c r="S32" s="141"/>
      <c r="T32" s="141"/>
    </row>
    <row r="33" spans="11:20" x14ac:dyDescent="0.25">
      <c r="L33" s="3">
        <v>2017</v>
      </c>
      <c r="M33" s="19">
        <v>0.47247402629104762</v>
      </c>
      <c r="N33" s="252">
        <v>2.1461480519262111</v>
      </c>
      <c r="O33" s="252">
        <v>1.0040311657747658</v>
      </c>
      <c r="P33" s="252">
        <v>0.53080740653425151</v>
      </c>
      <c r="Q33" s="19">
        <v>0.6001724349491061</v>
      </c>
      <c r="R33" s="141"/>
      <c r="S33" s="141"/>
      <c r="T33" s="141"/>
    </row>
    <row r="34" spans="11:20" x14ac:dyDescent="0.25">
      <c r="L34" s="3">
        <v>2018</v>
      </c>
      <c r="M34" s="19">
        <v>1.5810501770998631</v>
      </c>
      <c r="N34" s="252">
        <v>2.5189669601789255</v>
      </c>
      <c r="O34" s="252">
        <v>1.3078104011209568</v>
      </c>
      <c r="P34" s="252">
        <v>0.64939278840578396</v>
      </c>
      <c r="Q34" s="19">
        <v>0.54613782161266522</v>
      </c>
      <c r="R34" s="141"/>
      <c r="S34" s="141"/>
      <c r="T34" s="141"/>
    </row>
    <row r="35" spans="11:20" x14ac:dyDescent="0.25">
      <c r="L35" s="253">
        <v>2019</v>
      </c>
      <c r="M35" s="254">
        <v>1.8447091231960755</v>
      </c>
      <c r="N35" s="255">
        <v>2.2462027564713383</v>
      </c>
      <c r="O35" s="255">
        <v>1.1351769763135122</v>
      </c>
      <c r="P35" s="255">
        <v>0.73487997135076677</v>
      </c>
      <c r="Q35" s="254">
        <v>0.36395653292115554</v>
      </c>
      <c r="R35" s="141"/>
      <c r="S35" s="141"/>
      <c r="T35" s="141"/>
    </row>
    <row r="36" spans="11:20" ht="14.25" thickBot="1" x14ac:dyDescent="0.3">
      <c r="K36" s="141"/>
      <c r="L36" s="16">
        <v>2020</v>
      </c>
      <c r="M36" s="256">
        <v>-3.6373461214121328</v>
      </c>
      <c r="N36" s="257">
        <v>0.66418514272221785</v>
      </c>
      <c r="O36" s="257">
        <v>0.28905386484356921</v>
      </c>
      <c r="P36" s="257">
        <v>0.72906237026694065</v>
      </c>
      <c r="Q36" s="256">
        <v>-0.34961434299442273</v>
      </c>
      <c r="R36" s="141"/>
      <c r="S36" s="141"/>
      <c r="T36" s="141"/>
    </row>
    <row r="37" spans="11:20" x14ac:dyDescent="0.25">
      <c r="K37" s="141"/>
      <c r="L37" s="3" t="s">
        <v>294</v>
      </c>
      <c r="M37" s="19">
        <v>-1.7177581496915284</v>
      </c>
      <c r="N37" s="252">
        <v>1.6469940014836704</v>
      </c>
      <c r="O37" s="252">
        <v>1.2531380310423001</v>
      </c>
      <c r="P37" s="252">
        <v>0.44396601645415223</v>
      </c>
      <c r="Q37" s="19">
        <v>-5.3958689222308683E-2</v>
      </c>
      <c r="R37" s="141"/>
      <c r="S37" s="141"/>
    </row>
    <row r="38" spans="11:20" x14ac:dyDescent="0.25">
      <c r="K38" s="141"/>
      <c r="L38" s="3" t="s">
        <v>325</v>
      </c>
      <c r="M38" s="19">
        <v>-0.35681421314139872</v>
      </c>
      <c r="N38" s="252">
        <v>2.7824165879495766</v>
      </c>
      <c r="O38" s="252">
        <v>1.8606625771226515</v>
      </c>
      <c r="P38" s="252">
        <v>0.60704012348637038</v>
      </c>
      <c r="Q38" s="19">
        <v>0.29807443370825032</v>
      </c>
      <c r="R38" s="141"/>
      <c r="S38" s="141"/>
    </row>
    <row r="39" spans="11:20" x14ac:dyDescent="0.25">
      <c r="K39" s="141"/>
      <c r="L39" s="3" t="s">
        <v>538</v>
      </c>
      <c r="M39" s="19">
        <v>1.051655304868504</v>
      </c>
      <c r="N39" s="252">
        <v>3.5339735352266866</v>
      </c>
      <c r="O39" s="252">
        <v>2.2708616647451052</v>
      </c>
      <c r="P39" s="252">
        <v>1.0631444651696644</v>
      </c>
      <c r="Q39" s="19">
        <v>0.17464916301634503</v>
      </c>
    </row>
    <row r="40" spans="11:20" ht="33.75" customHeight="1" x14ac:dyDescent="0.25">
      <c r="K40" s="141"/>
      <c r="L40" s="3" t="s">
        <v>689</v>
      </c>
      <c r="M40" s="19">
        <v>-1.3727754965319638</v>
      </c>
      <c r="N40" s="252">
        <v>3.1892904128925093</v>
      </c>
      <c r="O40" s="252">
        <v>1.9158517507776196</v>
      </c>
      <c r="P40" s="252">
        <v>1.1251348706308748</v>
      </c>
      <c r="Q40" s="19">
        <v>0.12794171196170304</v>
      </c>
    </row>
    <row r="41" spans="11:20" x14ac:dyDescent="0.25">
      <c r="K41" s="141"/>
    </row>
    <row r="42" spans="11:20" x14ac:dyDescent="0.25">
      <c r="K42" s="141"/>
    </row>
    <row r="43" spans="11:20" x14ac:dyDescent="0.25">
      <c r="K43" s="141"/>
    </row>
    <row r="44" spans="11:20" x14ac:dyDescent="0.25">
      <c r="K44" s="141"/>
    </row>
  </sheetData>
  <mergeCells count="1">
    <mergeCell ref="B6:I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N25"/>
  <sheetViews>
    <sheetView showGridLines="0" workbookViewId="0">
      <selection activeCell="B17" sqref="B17:N17"/>
    </sheetView>
  </sheetViews>
  <sheetFormatPr defaultColWidth="9.140625" defaultRowHeight="13.5" x14ac:dyDescent="0.25"/>
  <cols>
    <col min="1" max="1" width="14.140625" style="88" bestFit="1" customWidth="1"/>
    <col min="2" max="16384" width="9.140625" style="88"/>
  </cols>
  <sheetData>
    <row r="1" spans="1:14" ht="15" x14ac:dyDescent="0.25">
      <c r="A1" s="1"/>
    </row>
    <row r="2" spans="1:14" ht="15" x14ac:dyDescent="0.25">
      <c r="A2" s="1"/>
    </row>
    <row r="3" spans="1:14" ht="15" x14ac:dyDescent="0.25">
      <c r="A3" s="1"/>
    </row>
    <row r="5" spans="1:14" ht="14.25" thickBot="1" x14ac:dyDescent="0.3">
      <c r="B5" s="807" t="s">
        <v>1257</v>
      </c>
      <c r="C5" s="821"/>
      <c r="D5" s="821"/>
      <c r="E5" s="821"/>
      <c r="F5" s="821"/>
      <c r="G5" s="821"/>
      <c r="H5" s="821"/>
      <c r="I5" s="821"/>
      <c r="J5" s="821"/>
    </row>
    <row r="6" spans="1:14" ht="14.25" thickTop="1" x14ac:dyDescent="0.25">
      <c r="B6" s="837" t="s">
        <v>644</v>
      </c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</row>
    <row r="7" spans="1:14" ht="14.25" thickBot="1" x14ac:dyDescent="0.3">
      <c r="B7" s="838" t="s">
        <v>645</v>
      </c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</row>
    <row r="8" spans="1:14" ht="27" x14ac:dyDescent="0.25">
      <c r="B8" s="832" t="s">
        <v>350</v>
      </c>
      <c r="C8" s="832"/>
      <c r="D8" s="823" t="s">
        <v>348</v>
      </c>
      <c r="E8" s="823" t="s">
        <v>646</v>
      </c>
      <c r="F8" s="823" t="s">
        <v>647</v>
      </c>
      <c r="G8" s="677" t="s">
        <v>648</v>
      </c>
      <c r="H8" s="823" t="s">
        <v>650</v>
      </c>
      <c r="I8" s="823" t="s">
        <v>651</v>
      </c>
      <c r="J8" s="823" t="s">
        <v>652</v>
      </c>
      <c r="K8" s="825" t="s">
        <v>653</v>
      </c>
      <c r="L8" s="823" t="s">
        <v>654</v>
      </c>
      <c r="M8" s="677" t="s">
        <v>173</v>
      </c>
      <c r="N8" s="677" t="s">
        <v>656</v>
      </c>
    </row>
    <row r="9" spans="1:14" ht="14.25" thickBot="1" x14ac:dyDescent="0.3">
      <c r="B9" s="833"/>
      <c r="C9" s="833"/>
      <c r="D9" s="824"/>
      <c r="E9" s="824"/>
      <c r="F9" s="824"/>
      <c r="G9" s="678" t="s">
        <v>649</v>
      </c>
      <c r="H9" s="824"/>
      <c r="I9" s="824"/>
      <c r="J9" s="824"/>
      <c r="K9" s="826"/>
      <c r="L9" s="824"/>
      <c r="M9" s="678" t="s">
        <v>655</v>
      </c>
      <c r="N9" s="678" t="s">
        <v>655</v>
      </c>
    </row>
    <row r="10" spans="1:14" ht="14.25" thickTop="1" x14ac:dyDescent="0.25">
      <c r="B10" s="827">
        <v>2021</v>
      </c>
      <c r="C10" s="827"/>
      <c r="D10" s="330">
        <v>-0.28809685196167223</v>
      </c>
      <c r="E10" s="330">
        <v>0.17782561017920528</v>
      </c>
      <c r="F10" s="443">
        <v>-0.27311796438561631</v>
      </c>
      <c r="G10" s="330">
        <v>-0.51068831912949308</v>
      </c>
      <c r="H10" s="330">
        <v>-2.0312619452012015E-3</v>
      </c>
      <c r="I10" s="330">
        <v>-0.27991104839956149</v>
      </c>
      <c r="J10" s="330">
        <v>-5.3269744171302591E-8</v>
      </c>
      <c r="K10" s="330">
        <v>-0.17414445205155005</v>
      </c>
      <c r="L10" s="443">
        <v>-0.22837627354475032</v>
      </c>
      <c r="M10" s="679">
        <v>-0.2</v>
      </c>
      <c r="N10" s="680">
        <v>0.3</v>
      </c>
    </row>
    <row r="11" spans="1:14" x14ac:dyDescent="0.25">
      <c r="B11" s="828">
        <v>2022</v>
      </c>
      <c r="C11" s="828"/>
      <c r="D11" s="330">
        <v>-9.7835809263102647E-2</v>
      </c>
      <c r="E11" s="330">
        <v>0.42404803494697774</v>
      </c>
      <c r="F11" s="443">
        <v>-0.3567566673400413</v>
      </c>
      <c r="G11" s="330">
        <v>3.3879725107299752E-2</v>
      </c>
      <c r="H11" s="330">
        <v>0.39740889161852255</v>
      </c>
      <c r="I11" s="330">
        <v>-0.3429324165395653</v>
      </c>
      <c r="J11" s="330">
        <v>-6.2692590714052976E-2</v>
      </c>
      <c r="K11" s="330">
        <v>-4.1612668954105203E-2</v>
      </c>
      <c r="L11" s="443">
        <v>-4.5486055510002288E-2</v>
      </c>
      <c r="M11" s="681">
        <v>-0.1</v>
      </c>
      <c r="N11" s="682">
        <v>0.2</v>
      </c>
    </row>
    <row r="12" spans="1:14" x14ac:dyDescent="0.25">
      <c r="B12" s="829">
        <v>2023</v>
      </c>
      <c r="C12" s="829"/>
      <c r="D12" s="330">
        <v>-9.0332413735483286E-2</v>
      </c>
      <c r="E12" s="330">
        <v>0.41418719166441686</v>
      </c>
      <c r="F12" s="443">
        <v>-0.41625114746847158</v>
      </c>
      <c r="G12" s="330">
        <v>-7.9994127802007764E-2</v>
      </c>
      <c r="H12" s="330">
        <v>0.25956206204507115</v>
      </c>
      <c r="I12" s="330">
        <v>-0.19596624692176379</v>
      </c>
      <c r="J12" s="330">
        <v>-6.7436498938810985E-2</v>
      </c>
      <c r="K12" s="330">
        <v>-3.7816892470732277E-2</v>
      </c>
      <c r="L12" s="443">
        <v>-0.10258800425628767</v>
      </c>
      <c r="M12" s="681">
        <v>-0.1</v>
      </c>
      <c r="N12" s="682">
        <v>0.3</v>
      </c>
    </row>
    <row r="13" spans="1:14" ht="14.25" thickBot="1" x14ac:dyDescent="0.3">
      <c r="B13" s="829">
        <v>2024</v>
      </c>
      <c r="C13" s="829"/>
      <c r="D13" s="330">
        <v>-0.10461634734268976</v>
      </c>
      <c r="E13" s="330">
        <v>0.3797857515790426</v>
      </c>
      <c r="F13" s="443">
        <v>-0.4789240674453632</v>
      </c>
      <c r="G13" s="330">
        <v>-0.17119446230867696</v>
      </c>
      <c r="H13" s="330">
        <v>0.33327488776965231</v>
      </c>
      <c r="I13" s="330">
        <v>-0.24483664112413539</v>
      </c>
      <c r="J13" s="330">
        <v>-6.0088269408686834E-2</v>
      </c>
      <c r="K13" s="330">
        <v>-7.0359468773983913E-2</v>
      </c>
      <c r="L13" s="443">
        <v>-5.9909053832352122E-2</v>
      </c>
      <c r="M13" s="681">
        <v>-0.1</v>
      </c>
      <c r="N13" s="682">
        <v>0.4</v>
      </c>
    </row>
    <row r="14" spans="1:14" ht="14.25" thickTop="1" x14ac:dyDescent="0.25">
      <c r="B14" s="683"/>
      <c r="C14" s="834" t="s">
        <v>2</v>
      </c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</row>
    <row r="15" spans="1:14" x14ac:dyDescent="0.25"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</row>
    <row r="16" spans="1:14" ht="14.25" thickBot="1" x14ac:dyDescent="0.3">
      <c r="B16" s="835" t="s">
        <v>1258</v>
      </c>
      <c r="C16" s="836"/>
      <c r="D16" s="836"/>
      <c r="E16" s="836"/>
      <c r="F16" s="836"/>
      <c r="G16" s="836"/>
      <c r="H16" s="836"/>
      <c r="I16" s="836"/>
      <c r="J16" s="836"/>
      <c r="K16" s="280"/>
      <c r="L16" s="280"/>
      <c r="M16" s="280"/>
      <c r="N16" s="280"/>
    </row>
    <row r="17" spans="2:14" ht="14.25" thickTop="1" x14ac:dyDescent="0.25">
      <c r="B17" s="830" t="s">
        <v>657</v>
      </c>
      <c r="C17" s="830"/>
      <c r="D17" s="830"/>
      <c r="E17" s="830"/>
      <c r="F17" s="830"/>
      <c r="G17" s="830"/>
      <c r="H17" s="830"/>
      <c r="I17" s="830"/>
      <c r="J17" s="830"/>
      <c r="K17" s="830"/>
      <c r="L17" s="830"/>
      <c r="M17" s="830"/>
      <c r="N17" s="830"/>
    </row>
    <row r="18" spans="2:14" ht="14.25" thickBot="1" x14ac:dyDescent="0.3">
      <c r="B18" s="831" t="s">
        <v>658</v>
      </c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831"/>
    </row>
    <row r="19" spans="2:14" ht="27" x14ac:dyDescent="0.25">
      <c r="B19" s="832" t="s">
        <v>350</v>
      </c>
      <c r="C19" s="832"/>
      <c r="D19" s="823" t="s">
        <v>424</v>
      </c>
      <c r="E19" s="823" t="s">
        <v>659</v>
      </c>
      <c r="F19" s="823" t="s">
        <v>660</v>
      </c>
      <c r="G19" s="677" t="s">
        <v>661</v>
      </c>
      <c r="H19" s="823" t="s">
        <v>523</v>
      </c>
      <c r="I19" s="823" t="s">
        <v>663</v>
      </c>
      <c r="J19" s="823" t="s">
        <v>664</v>
      </c>
      <c r="K19" s="825" t="s">
        <v>382</v>
      </c>
      <c r="L19" s="823" t="s">
        <v>665</v>
      </c>
      <c r="M19" s="677" t="s">
        <v>666</v>
      </c>
      <c r="N19" s="677" t="s">
        <v>668</v>
      </c>
    </row>
    <row r="20" spans="2:14" ht="27.75" thickBot="1" x14ac:dyDescent="0.3">
      <c r="B20" s="833"/>
      <c r="C20" s="833"/>
      <c r="D20" s="824"/>
      <c r="E20" s="824"/>
      <c r="F20" s="824"/>
      <c r="G20" s="678" t="s">
        <v>662</v>
      </c>
      <c r="H20" s="824"/>
      <c r="I20" s="824"/>
      <c r="J20" s="824"/>
      <c r="K20" s="826"/>
      <c r="L20" s="824"/>
      <c r="M20" s="678" t="s">
        <v>667</v>
      </c>
      <c r="N20" s="678" t="s">
        <v>667</v>
      </c>
    </row>
    <row r="21" spans="2:14" ht="14.25" thickTop="1" x14ac:dyDescent="0.25">
      <c r="B21" s="827">
        <v>2021</v>
      </c>
      <c r="C21" s="827"/>
      <c r="D21" s="330">
        <v>-0.28809685196167223</v>
      </c>
      <c r="E21" s="330">
        <v>0.17782561017920528</v>
      </c>
      <c r="F21" s="443">
        <v>-0.27311796438561631</v>
      </c>
      <c r="G21" s="330">
        <v>-0.51068831912949308</v>
      </c>
      <c r="H21" s="330">
        <v>-2.0312619452012015E-3</v>
      </c>
      <c r="I21" s="330">
        <v>-0.27991104839956149</v>
      </c>
      <c r="J21" s="330">
        <v>-5.3269744171302591E-8</v>
      </c>
      <c r="K21" s="330">
        <v>-0.17414445205155005</v>
      </c>
      <c r="L21" s="443">
        <v>-0.22837627354475032</v>
      </c>
      <c r="M21" s="679">
        <v>-0.2</v>
      </c>
      <c r="N21" s="680">
        <v>0.3</v>
      </c>
    </row>
    <row r="22" spans="2:14" x14ac:dyDescent="0.25">
      <c r="B22" s="828">
        <v>2022</v>
      </c>
      <c r="C22" s="828"/>
      <c r="D22" s="330">
        <v>-9.7835809263102647E-2</v>
      </c>
      <c r="E22" s="330">
        <v>0.42404803494697774</v>
      </c>
      <c r="F22" s="443">
        <v>-0.3567566673400413</v>
      </c>
      <c r="G22" s="330">
        <v>3.3879725107299752E-2</v>
      </c>
      <c r="H22" s="330">
        <v>0.39740889161852255</v>
      </c>
      <c r="I22" s="330">
        <v>-0.3429324165395653</v>
      </c>
      <c r="J22" s="330">
        <v>-6.2692590714052976E-2</v>
      </c>
      <c r="K22" s="330">
        <v>-4.1612668954105203E-2</v>
      </c>
      <c r="L22" s="443">
        <v>-4.5486055510002288E-2</v>
      </c>
      <c r="M22" s="681">
        <v>-0.1</v>
      </c>
      <c r="N22" s="682">
        <v>0.2</v>
      </c>
    </row>
    <row r="23" spans="2:14" x14ac:dyDescent="0.25">
      <c r="B23" s="829">
        <v>2023</v>
      </c>
      <c r="C23" s="829"/>
      <c r="D23" s="330">
        <v>-9.0332413735483286E-2</v>
      </c>
      <c r="E23" s="330">
        <v>0.41418719166441686</v>
      </c>
      <c r="F23" s="443">
        <v>-0.41625114746847158</v>
      </c>
      <c r="G23" s="330">
        <v>-7.9994127802007764E-2</v>
      </c>
      <c r="H23" s="330">
        <v>0.25956206204507115</v>
      </c>
      <c r="I23" s="330">
        <v>-0.19596624692176379</v>
      </c>
      <c r="J23" s="330">
        <v>-6.7436498938810985E-2</v>
      </c>
      <c r="K23" s="330">
        <v>-3.7816892470732277E-2</v>
      </c>
      <c r="L23" s="443">
        <v>-0.10258800425628767</v>
      </c>
      <c r="M23" s="681">
        <v>-0.1</v>
      </c>
      <c r="N23" s="682">
        <v>0.3</v>
      </c>
    </row>
    <row r="24" spans="2:14" ht="14.25" thickBot="1" x14ac:dyDescent="0.3">
      <c r="B24" s="829">
        <v>2024</v>
      </c>
      <c r="C24" s="829"/>
      <c r="D24" s="330">
        <v>-0.10461634734268976</v>
      </c>
      <c r="E24" s="330">
        <v>0.3797857515790426</v>
      </c>
      <c r="F24" s="443">
        <v>-0.4789240674453632</v>
      </c>
      <c r="G24" s="330">
        <v>-0.17119446230867696</v>
      </c>
      <c r="H24" s="330">
        <v>0.33327488776965231</v>
      </c>
      <c r="I24" s="330">
        <v>-0.24483664112413539</v>
      </c>
      <c r="J24" s="330">
        <v>-6.0088269408686834E-2</v>
      </c>
      <c r="K24" s="330">
        <v>-7.0359468773983913E-2</v>
      </c>
      <c r="L24" s="443">
        <v>-5.9909053832352122E-2</v>
      </c>
      <c r="M24" s="681">
        <v>-0.1</v>
      </c>
      <c r="N24" s="682">
        <v>0.4</v>
      </c>
    </row>
    <row r="25" spans="2:14" ht="14.25" thickTop="1" x14ac:dyDescent="0.25">
      <c r="B25" s="259"/>
      <c r="C25" s="822" t="s">
        <v>669</v>
      </c>
      <c r="D25" s="822"/>
      <c r="E25" s="822"/>
      <c r="F25" s="822"/>
      <c r="G25" s="822"/>
      <c r="H25" s="822"/>
      <c r="I25" s="822"/>
      <c r="J25" s="822"/>
      <c r="K25" s="822"/>
      <c r="L25" s="822"/>
      <c r="M25" s="822"/>
      <c r="N25" s="822"/>
    </row>
  </sheetData>
  <mergeCells count="34">
    <mergeCell ref="B5:J5"/>
    <mergeCell ref="B6:N6"/>
    <mergeCell ref="B7:N7"/>
    <mergeCell ref="B8:C9"/>
    <mergeCell ref="D8:D9"/>
    <mergeCell ref="E8:E9"/>
    <mergeCell ref="F8:F9"/>
    <mergeCell ref="H8:H9"/>
    <mergeCell ref="I8:I9"/>
    <mergeCell ref="J8:J9"/>
    <mergeCell ref="K8:K9"/>
    <mergeCell ref="L8:L9"/>
    <mergeCell ref="B10:C10"/>
    <mergeCell ref="B11:C11"/>
    <mergeCell ref="B12:C12"/>
    <mergeCell ref="C14:N14"/>
    <mergeCell ref="B16:J16"/>
    <mergeCell ref="B13:C13"/>
    <mergeCell ref="B17:N17"/>
    <mergeCell ref="B18:N18"/>
    <mergeCell ref="B19:C20"/>
    <mergeCell ref="D19:D20"/>
    <mergeCell ref="E19:E20"/>
    <mergeCell ref="F19:F20"/>
    <mergeCell ref="H19:H20"/>
    <mergeCell ref="I19:I20"/>
    <mergeCell ref="C25:N25"/>
    <mergeCell ref="J19:J20"/>
    <mergeCell ref="K19:K20"/>
    <mergeCell ref="L19:L20"/>
    <mergeCell ref="B21:C21"/>
    <mergeCell ref="B22:C22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2:N24"/>
  <sheetViews>
    <sheetView showGridLines="0" workbookViewId="0">
      <selection activeCell="A3" sqref="A3"/>
    </sheetView>
  </sheetViews>
  <sheetFormatPr defaultColWidth="9.140625" defaultRowHeight="13.5" x14ac:dyDescent="0.25"/>
  <cols>
    <col min="1" max="1" width="14.140625" style="88" bestFit="1" customWidth="1"/>
    <col min="2" max="16384" width="9.140625" style="88"/>
  </cols>
  <sheetData>
    <row r="2" spans="1:14" ht="15" x14ac:dyDescent="0.25">
      <c r="A2" s="1"/>
    </row>
    <row r="4" spans="1:14" ht="14.25" thickBot="1" x14ac:dyDescent="0.3">
      <c r="B4" s="807" t="s">
        <v>1082</v>
      </c>
      <c r="C4" s="821"/>
      <c r="D4" s="821"/>
      <c r="E4" s="821"/>
      <c r="F4" s="821"/>
      <c r="G4" s="821"/>
      <c r="H4" s="821"/>
      <c r="I4" s="821"/>
      <c r="J4" s="821"/>
    </row>
    <row r="5" spans="1:14" ht="14.25" thickTop="1" x14ac:dyDescent="0.25">
      <c r="B5" s="837" t="s">
        <v>644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1:14" ht="14.25" thickBot="1" x14ac:dyDescent="0.3">
      <c r="B6" s="838" t="s">
        <v>645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</row>
    <row r="7" spans="1:14" ht="27" x14ac:dyDescent="0.25">
      <c r="B7" s="841" t="s">
        <v>350</v>
      </c>
      <c r="C7" s="841"/>
      <c r="D7" s="843" t="s">
        <v>348</v>
      </c>
      <c r="E7" s="843" t="s">
        <v>646</v>
      </c>
      <c r="F7" s="843" t="s">
        <v>647</v>
      </c>
      <c r="G7" s="79" t="s">
        <v>648</v>
      </c>
      <c r="H7" s="843" t="s">
        <v>650</v>
      </c>
      <c r="I7" s="843" t="s">
        <v>651</v>
      </c>
      <c r="J7" s="843" t="s">
        <v>652</v>
      </c>
      <c r="K7" s="845" t="s">
        <v>653</v>
      </c>
      <c r="L7" s="843" t="s">
        <v>654</v>
      </c>
      <c r="M7" s="677" t="s">
        <v>173</v>
      </c>
      <c r="N7" s="677" t="s">
        <v>656</v>
      </c>
    </row>
    <row r="8" spans="1:14" ht="14.25" thickBot="1" x14ac:dyDescent="0.3">
      <c r="B8" s="842"/>
      <c r="C8" s="842"/>
      <c r="D8" s="844"/>
      <c r="E8" s="844"/>
      <c r="F8" s="844"/>
      <c r="G8" s="258" t="s">
        <v>649</v>
      </c>
      <c r="H8" s="844"/>
      <c r="I8" s="844"/>
      <c r="J8" s="844"/>
      <c r="K8" s="846"/>
      <c r="L8" s="844"/>
      <c r="M8" s="678" t="s">
        <v>655</v>
      </c>
      <c r="N8" s="678" t="s">
        <v>655</v>
      </c>
    </row>
    <row r="9" spans="1:14" ht="14.25" thickTop="1" x14ac:dyDescent="0.25">
      <c r="B9" s="847">
        <v>2021</v>
      </c>
      <c r="C9" s="847"/>
      <c r="D9" s="252">
        <v>2.8230778138293999E-3</v>
      </c>
      <c r="E9" s="252">
        <v>-2.4146805046587616E-4</v>
      </c>
      <c r="F9" s="19">
        <v>2.3539591713084285E-3</v>
      </c>
      <c r="G9" s="252">
        <v>4.1784600464778165E-3</v>
      </c>
      <c r="H9" s="252">
        <v>8.1283967329648377E-3</v>
      </c>
      <c r="I9" s="252">
        <v>-1.629768647803953E-3</v>
      </c>
      <c r="J9" s="252">
        <v>-2.9353180108770971E-6</v>
      </c>
      <c r="K9" s="261">
        <v>9.6837773957414441E-4</v>
      </c>
      <c r="L9" s="262">
        <v>4.7871122762943585E-3</v>
      </c>
      <c r="M9" s="674">
        <v>0</v>
      </c>
      <c r="N9" s="674">
        <v>0</v>
      </c>
    </row>
    <row r="10" spans="1:14" x14ac:dyDescent="0.25">
      <c r="B10" s="839">
        <v>2022</v>
      </c>
      <c r="C10" s="839"/>
      <c r="D10" s="252">
        <v>-0.10867569789092535</v>
      </c>
      <c r="E10" s="252">
        <v>-1.5891475905260855E-2</v>
      </c>
      <c r="F10" s="19">
        <v>-0.10199941357857956</v>
      </c>
      <c r="G10" s="252">
        <v>-3.287136402865265E-2</v>
      </c>
      <c r="H10" s="252">
        <v>-0.12942359709939844</v>
      </c>
      <c r="I10" s="252">
        <v>-0.60673149871038889</v>
      </c>
      <c r="J10" s="252">
        <v>4.3134128291377749E-4</v>
      </c>
      <c r="K10" s="252">
        <v>-1.4160331925849867E-2</v>
      </c>
      <c r="L10" s="19">
        <v>-8.1574854219934601E-2</v>
      </c>
      <c r="M10" s="675">
        <v>0</v>
      </c>
      <c r="N10" s="676">
        <v>0.1</v>
      </c>
    </row>
    <row r="11" spans="1:14" x14ac:dyDescent="0.25">
      <c r="B11" s="840">
        <v>2023</v>
      </c>
      <c r="C11" s="840"/>
      <c r="D11" s="252">
        <v>-1.8434747165859688</v>
      </c>
      <c r="E11" s="252">
        <v>-0.26509849808826758</v>
      </c>
      <c r="F11" s="19">
        <v>-1.8346471835698264</v>
      </c>
      <c r="G11" s="252">
        <v>-0.66137980683185216</v>
      </c>
      <c r="H11" s="252">
        <v>-2.2461055719236955</v>
      </c>
      <c r="I11" s="252">
        <v>-9.2228329252028161</v>
      </c>
      <c r="J11" s="252">
        <v>5.2013512780391125E-3</v>
      </c>
      <c r="K11" s="252">
        <v>-0.28969741719393483</v>
      </c>
      <c r="L11" s="19">
        <v>-1.3357290387693954</v>
      </c>
      <c r="M11" s="675">
        <v>-0.6</v>
      </c>
      <c r="N11" s="676">
        <v>1.9</v>
      </c>
    </row>
    <row r="12" spans="1:14" ht="14.25" thickBot="1" x14ac:dyDescent="0.3">
      <c r="B12" s="840">
        <v>2024</v>
      </c>
      <c r="C12" s="840"/>
      <c r="D12" s="252">
        <v>-0.58434121968695685</v>
      </c>
      <c r="E12" s="252">
        <v>-0.62625641576801172</v>
      </c>
      <c r="F12" s="19">
        <v>-2.1048960007871376</v>
      </c>
      <c r="G12" s="252">
        <v>-0.41606933214599628</v>
      </c>
      <c r="H12" s="252">
        <v>-0.79389746045112064</v>
      </c>
      <c r="I12" s="252">
        <v>-3.8339603969576022</v>
      </c>
      <c r="J12" s="252">
        <v>1.3982596680861548E-2</v>
      </c>
      <c r="K12" s="252">
        <v>-0.90587138499420572</v>
      </c>
      <c r="L12" s="19">
        <v>-0.26777432690205938</v>
      </c>
      <c r="M12" s="675">
        <v>-0.4</v>
      </c>
      <c r="N12" s="676">
        <v>1.7</v>
      </c>
    </row>
    <row r="13" spans="1:14" ht="14.25" thickTop="1" x14ac:dyDescent="0.25">
      <c r="B13" s="259"/>
      <c r="C13" s="822" t="s">
        <v>2</v>
      </c>
      <c r="D13" s="822"/>
      <c r="E13" s="822"/>
      <c r="F13" s="822"/>
      <c r="G13" s="822"/>
      <c r="H13" s="822"/>
      <c r="I13" s="822"/>
      <c r="J13" s="822"/>
      <c r="K13" s="822"/>
      <c r="L13" s="822"/>
      <c r="M13" s="822"/>
      <c r="N13" s="822"/>
    </row>
    <row r="15" spans="1:14" ht="14.25" thickBot="1" x14ac:dyDescent="0.3">
      <c r="B15" s="807" t="s">
        <v>1351</v>
      </c>
      <c r="C15" s="821"/>
      <c r="D15" s="821"/>
      <c r="E15" s="821"/>
      <c r="F15" s="821"/>
      <c r="G15" s="821"/>
      <c r="H15" s="821"/>
      <c r="I15" s="821"/>
      <c r="J15" s="821"/>
    </row>
    <row r="16" spans="1:14" ht="14.25" thickTop="1" x14ac:dyDescent="0.25">
      <c r="B16" s="837" t="s">
        <v>657</v>
      </c>
      <c r="C16" s="837"/>
      <c r="D16" s="837"/>
      <c r="E16" s="837"/>
      <c r="F16" s="837"/>
      <c r="G16" s="837"/>
      <c r="H16" s="837"/>
      <c r="I16" s="837"/>
      <c r="J16" s="837"/>
      <c r="K16" s="837"/>
      <c r="L16" s="837"/>
      <c r="M16" s="837"/>
      <c r="N16" s="837"/>
    </row>
    <row r="17" spans="2:14" ht="14.25" thickBot="1" x14ac:dyDescent="0.3">
      <c r="B17" s="838" t="s">
        <v>658</v>
      </c>
      <c r="C17" s="838"/>
      <c r="D17" s="838"/>
      <c r="E17" s="838"/>
      <c r="F17" s="838"/>
      <c r="G17" s="838"/>
      <c r="H17" s="838"/>
      <c r="I17" s="838"/>
      <c r="J17" s="838"/>
      <c r="K17" s="838"/>
      <c r="L17" s="838"/>
      <c r="M17" s="838"/>
      <c r="N17" s="838"/>
    </row>
    <row r="18" spans="2:14" ht="27" x14ac:dyDescent="0.25">
      <c r="B18" s="841" t="s">
        <v>350</v>
      </c>
      <c r="C18" s="841"/>
      <c r="D18" s="843" t="s">
        <v>424</v>
      </c>
      <c r="E18" s="843" t="s">
        <v>659</v>
      </c>
      <c r="F18" s="843" t="s">
        <v>660</v>
      </c>
      <c r="G18" s="79" t="s">
        <v>661</v>
      </c>
      <c r="H18" s="843" t="s">
        <v>523</v>
      </c>
      <c r="I18" s="843" t="s">
        <v>663</v>
      </c>
      <c r="J18" s="843" t="s">
        <v>664</v>
      </c>
      <c r="K18" s="845" t="s">
        <v>382</v>
      </c>
      <c r="L18" s="843" t="s">
        <v>665</v>
      </c>
      <c r="M18" s="79" t="s">
        <v>666</v>
      </c>
      <c r="N18" s="79" t="s">
        <v>668</v>
      </c>
    </row>
    <row r="19" spans="2:14" ht="27.75" thickBot="1" x14ac:dyDescent="0.3">
      <c r="B19" s="842"/>
      <c r="C19" s="842"/>
      <c r="D19" s="844"/>
      <c r="E19" s="844"/>
      <c r="F19" s="844"/>
      <c r="G19" s="258" t="s">
        <v>662</v>
      </c>
      <c r="H19" s="844"/>
      <c r="I19" s="844"/>
      <c r="J19" s="844"/>
      <c r="K19" s="846"/>
      <c r="L19" s="844"/>
      <c r="M19" s="258" t="s">
        <v>667</v>
      </c>
      <c r="N19" s="258" t="s">
        <v>667</v>
      </c>
    </row>
    <row r="20" spans="2:14" ht="14.25" thickTop="1" x14ac:dyDescent="0.25">
      <c r="B20" s="847">
        <v>2021</v>
      </c>
      <c r="C20" s="847"/>
      <c r="D20" s="252">
        <v>2.8230778138293999E-3</v>
      </c>
      <c r="E20" s="252">
        <v>-2.4146805046587616E-4</v>
      </c>
      <c r="F20" s="19">
        <v>2.3539591713084285E-3</v>
      </c>
      <c r="G20" s="252">
        <v>4.1784600464778165E-3</v>
      </c>
      <c r="H20" s="252">
        <v>8.1283967329648377E-3</v>
      </c>
      <c r="I20" s="252">
        <v>-1.629768647803953E-3</v>
      </c>
      <c r="J20" s="252">
        <v>-2.9353180108770971E-6</v>
      </c>
      <c r="K20" s="261">
        <v>9.6837773957414441E-4</v>
      </c>
      <c r="L20" s="262">
        <v>4.7871122762943585E-3</v>
      </c>
      <c r="M20" s="674">
        <v>0</v>
      </c>
      <c r="N20" s="674">
        <v>0</v>
      </c>
    </row>
    <row r="21" spans="2:14" x14ac:dyDescent="0.25">
      <c r="B21" s="839">
        <v>2022</v>
      </c>
      <c r="C21" s="839"/>
      <c r="D21" s="252">
        <v>-0.10867569789092535</v>
      </c>
      <c r="E21" s="252">
        <v>-1.5891475905260855E-2</v>
      </c>
      <c r="F21" s="19">
        <v>-0.10199941357857956</v>
      </c>
      <c r="G21" s="252">
        <v>-3.287136402865265E-2</v>
      </c>
      <c r="H21" s="252">
        <v>-0.12942359709939844</v>
      </c>
      <c r="I21" s="252">
        <v>-0.60673149871038889</v>
      </c>
      <c r="J21" s="252">
        <v>4.3134128291377749E-4</v>
      </c>
      <c r="K21" s="252">
        <v>-1.4160331925849867E-2</v>
      </c>
      <c r="L21" s="19">
        <v>-8.1574854219934601E-2</v>
      </c>
      <c r="M21" s="675">
        <v>0</v>
      </c>
      <c r="N21" s="676">
        <v>0.1</v>
      </c>
    </row>
    <row r="22" spans="2:14" x14ac:dyDescent="0.25">
      <c r="B22" s="840">
        <v>2023</v>
      </c>
      <c r="C22" s="840"/>
      <c r="D22" s="252">
        <v>-1.8434747165859688</v>
      </c>
      <c r="E22" s="252">
        <v>-0.26509849808826758</v>
      </c>
      <c r="F22" s="19">
        <v>-1.8346471835698264</v>
      </c>
      <c r="G22" s="252">
        <v>-0.66137980683185216</v>
      </c>
      <c r="H22" s="252">
        <v>-2.2461055719236955</v>
      </c>
      <c r="I22" s="252">
        <v>-9.2228329252028161</v>
      </c>
      <c r="J22" s="252">
        <v>5.2013512780391125E-3</v>
      </c>
      <c r="K22" s="252">
        <v>-0.28969741719393483</v>
      </c>
      <c r="L22" s="19">
        <v>-1.3357290387693954</v>
      </c>
      <c r="M22" s="675">
        <v>-0.6</v>
      </c>
      <c r="N22" s="676">
        <v>1.9</v>
      </c>
    </row>
    <row r="23" spans="2:14" ht="14.25" thickBot="1" x14ac:dyDescent="0.3">
      <c r="B23" s="840">
        <v>2024</v>
      </c>
      <c r="C23" s="840"/>
      <c r="D23" s="252">
        <v>-0.58434121968695685</v>
      </c>
      <c r="E23" s="252">
        <v>-0.62625641576801172</v>
      </c>
      <c r="F23" s="19">
        <v>-2.1048960007871376</v>
      </c>
      <c r="G23" s="252">
        <v>-0.41606933214599628</v>
      </c>
      <c r="H23" s="252">
        <v>-0.79389746045112064</v>
      </c>
      <c r="I23" s="252">
        <v>-3.8339603969576022</v>
      </c>
      <c r="J23" s="252">
        <v>1.3982596680861548E-2</v>
      </c>
      <c r="K23" s="252">
        <v>-0.90587138499420572</v>
      </c>
      <c r="L23" s="19">
        <v>-0.26777432690205938</v>
      </c>
      <c r="M23" s="675">
        <v>-0.4</v>
      </c>
      <c r="N23" s="676">
        <v>1.7</v>
      </c>
    </row>
    <row r="24" spans="2:14" ht="14.25" thickTop="1" x14ac:dyDescent="0.25">
      <c r="B24" s="259"/>
      <c r="C24" s="822" t="s">
        <v>669</v>
      </c>
      <c r="D24" s="822"/>
      <c r="E24" s="822"/>
      <c r="F24" s="822"/>
      <c r="G24" s="822"/>
      <c r="H24" s="822"/>
      <c r="I24" s="822"/>
      <c r="J24" s="822"/>
      <c r="K24" s="822"/>
      <c r="L24" s="822"/>
      <c r="M24" s="822"/>
      <c r="N24" s="822"/>
    </row>
  </sheetData>
  <mergeCells count="34">
    <mergeCell ref="B9:C9"/>
    <mergeCell ref="B4:J4"/>
    <mergeCell ref="B5:N5"/>
    <mergeCell ref="B6:N6"/>
    <mergeCell ref="B7:C8"/>
    <mergeCell ref="D7:D8"/>
    <mergeCell ref="E7:E8"/>
    <mergeCell ref="F7:F8"/>
    <mergeCell ref="H7:H8"/>
    <mergeCell ref="I7:I8"/>
    <mergeCell ref="J7:J8"/>
    <mergeCell ref="K7:K8"/>
    <mergeCell ref="L7:L8"/>
    <mergeCell ref="B23:C23"/>
    <mergeCell ref="B12:C12"/>
    <mergeCell ref="C13:N13"/>
    <mergeCell ref="B21:C21"/>
    <mergeCell ref="B22:C22"/>
    <mergeCell ref="B10:C10"/>
    <mergeCell ref="B11:C11"/>
    <mergeCell ref="C24:N24"/>
    <mergeCell ref="B15:J15"/>
    <mergeCell ref="B16:N16"/>
    <mergeCell ref="B17:N17"/>
    <mergeCell ref="B18:C19"/>
    <mergeCell ref="D18:D19"/>
    <mergeCell ref="E18:E19"/>
    <mergeCell ref="F18:F19"/>
    <mergeCell ref="H18:H19"/>
    <mergeCell ref="I18:I19"/>
    <mergeCell ref="J18:J19"/>
    <mergeCell ref="K18:K19"/>
    <mergeCell ref="L18:L19"/>
    <mergeCell ref="B20:C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4:S96"/>
  <sheetViews>
    <sheetView showGridLines="0" zoomScale="110" zoomScaleNormal="110" workbookViewId="0">
      <selection activeCell="B3" sqref="B3"/>
    </sheetView>
  </sheetViews>
  <sheetFormatPr defaultColWidth="9.140625" defaultRowHeight="13.5" x14ac:dyDescent="0.25"/>
  <cols>
    <col min="1" max="1" width="14.140625" style="44" bestFit="1" customWidth="1"/>
    <col min="2" max="2" width="54.42578125" style="44" bestFit="1" customWidth="1"/>
    <col min="3" max="4" width="11.140625" style="44" customWidth="1"/>
    <col min="5" max="13" width="9.140625" style="44"/>
    <col min="14" max="14" width="46.42578125" style="44" bestFit="1" customWidth="1"/>
    <col min="15" max="15" width="9.140625" style="44"/>
    <col min="16" max="16" width="8.5703125" style="44" bestFit="1" customWidth="1"/>
    <col min="17" max="17" width="10.140625" style="44" customWidth="1"/>
    <col min="18" max="16384" width="9.140625" style="44"/>
  </cols>
  <sheetData>
    <row r="4" spans="1:19" ht="15" x14ac:dyDescent="0.25">
      <c r="A4" s="1"/>
    </row>
    <row r="5" spans="1:19" ht="14.25" thickBot="1" x14ac:dyDescent="0.3">
      <c r="B5" s="848" t="s">
        <v>599</v>
      </c>
      <c r="C5" s="848"/>
      <c r="D5" s="848"/>
      <c r="E5" s="848"/>
      <c r="F5" s="848"/>
      <c r="G5" s="848"/>
    </row>
    <row r="6" spans="1:19" ht="14.25" thickBot="1" x14ac:dyDescent="0.3">
      <c r="H6" s="45"/>
      <c r="I6" s="45"/>
      <c r="J6" s="45"/>
      <c r="N6" s="848" t="s">
        <v>600</v>
      </c>
      <c r="O6" s="848"/>
      <c r="P6" s="848"/>
      <c r="Q6" s="848"/>
      <c r="R6" s="848"/>
      <c r="S6" s="848"/>
    </row>
    <row r="8" spans="1:19" x14ac:dyDescent="0.25">
      <c r="B8" s="46"/>
      <c r="C8" s="47"/>
    </row>
    <row r="29" spans="1:19" ht="27" x14ac:dyDescent="0.25">
      <c r="B29" s="48" t="s">
        <v>616</v>
      </c>
      <c r="C29" s="49" t="s">
        <v>111</v>
      </c>
      <c r="D29" s="49" t="s">
        <v>112</v>
      </c>
      <c r="E29" s="49" t="s">
        <v>113</v>
      </c>
      <c r="F29" s="49" t="s">
        <v>114</v>
      </c>
      <c r="G29" s="49" t="s">
        <v>115</v>
      </c>
      <c r="H29" s="50"/>
      <c r="I29" s="50"/>
      <c r="J29" s="50"/>
      <c r="N29" s="51" t="s">
        <v>601</v>
      </c>
      <c r="O29" s="52" t="s">
        <v>602</v>
      </c>
      <c r="P29" s="52" t="s">
        <v>603</v>
      </c>
      <c r="Q29" s="52" t="s">
        <v>604</v>
      </c>
      <c r="R29" s="52" t="s">
        <v>605</v>
      </c>
      <c r="S29" s="52" t="s">
        <v>606</v>
      </c>
    </row>
    <row r="30" spans="1:19" x14ac:dyDescent="0.25">
      <c r="B30" s="97" t="s">
        <v>160</v>
      </c>
      <c r="C30" s="636">
        <f>'[64]"Príbeh"'!$C$4</f>
        <v>-7090.5</v>
      </c>
      <c r="D30" s="637">
        <f>C30</f>
        <v>-7090.5</v>
      </c>
      <c r="E30" s="637"/>
      <c r="F30" s="637"/>
      <c r="G30" s="637">
        <f>C30</f>
        <v>-7090.5</v>
      </c>
      <c r="H30" s="55"/>
      <c r="I30" s="55"/>
      <c r="J30" s="55"/>
      <c r="N30" s="53" t="s">
        <v>1014</v>
      </c>
      <c r="O30" s="54">
        <f>C30</f>
        <v>-7090.5</v>
      </c>
      <c r="P30" s="55">
        <f>D30</f>
        <v>-7090.5</v>
      </c>
      <c r="Q30" s="55"/>
      <c r="R30" s="55"/>
      <c r="S30" s="55">
        <f>G30</f>
        <v>-7090.5</v>
      </c>
    </row>
    <row r="31" spans="1:19" x14ac:dyDescent="0.25">
      <c r="A31" s="56"/>
      <c r="B31" s="56" t="s">
        <v>1005</v>
      </c>
      <c r="C31" s="638">
        <v>-1996.6399999999996</v>
      </c>
      <c r="D31" s="637">
        <f>C31+D30</f>
        <v>-9087.14</v>
      </c>
      <c r="E31" s="637">
        <f>IF(AND(D30*C31&lt;0,ABS(C31)-ABS(D30)&gt;0),D30,0)</f>
        <v>0</v>
      </c>
      <c r="F31" s="637">
        <f>IF(E31&lt;&gt;0,0,IF(D30*C31&gt;=0,D30,D30+C31))</f>
        <v>-7090.5</v>
      </c>
      <c r="G31" s="637">
        <f>IF(AND(D30&lt;&gt;0,E31=0),IF(D30+C31&lt;0,-1,IF(D30&lt;0,-1,1))*ABS(C31)+E31,IF(D30+C31&lt;0,-1,1)*ABS(C31)+E31)</f>
        <v>-1996.6399999999996</v>
      </c>
      <c r="H31" s="55"/>
      <c r="I31" s="55"/>
      <c r="J31" s="57"/>
      <c r="K31" s="59"/>
      <c r="L31" s="57"/>
      <c r="N31" s="57" t="s">
        <v>607</v>
      </c>
      <c r="O31" s="54">
        <f t="shared" ref="O31:O38" si="0">C31</f>
        <v>-1996.6399999999996</v>
      </c>
      <c r="P31" s="55">
        <f t="shared" ref="P31:P39" si="1">D31</f>
        <v>-9087.14</v>
      </c>
      <c r="Q31" s="55">
        <f>E31</f>
        <v>0</v>
      </c>
      <c r="R31" s="55">
        <f>F31</f>
        <v>-7090.5</v>
      </c>
      <c r="S31" s="55">
        <f t="shared" ref="S31:S39" si="2">G31</f>
        <v>-1996.6399999999996</v>
      </c>
    </row>
    <row r="32" spans="1:19" x14ac:dyDescent="0.25">
      <c r="B32" s="56" t="s">
        <v>1006</v>
      </c>
      <c r="C32" s="638">
        <v>-223</v>
      </c>
      <c r="D32" s="637">
        <f t="shared" ref="D32:D38" si="3">C32+D31</f>
        <v>-9310.14</v>
      </c>
      <c r="E32" s="637">
        <f t="shared" ref="E32:E38" si="4">IF(AND(D31*C32&lt;0,ABS(C32)-ABS(D31)&gt;0),D31,0)</f>
        <v>0</v>
      </c>
      <c r="F32" s="637">
        <f t="shared" ref="F32:F38" si="5">IF(E32&lt;&gt;0,0,IF(D31*C32&gt;=0,D31,D31+C32))</f>
        <v>-9087.14</v>
      </c>
      <c r="G32" s="637">
        <f t="shared" ref="G32:G38" si="6">IF(AND(D31&lt;&gt;0,E32=0),IF(D31+C32&lt;0,-1,IF(D31&lt;0,-1,1))*ABS(C32)+E32,IF(D31+C32&lt;0,-1,1)*ABS(C32)+E32)</f>
        <v>-223</v>
      </c>
      <c r="H32" s="55"/>
      <c r="I32" s="55"/>
      <c r="J32" s="56"/>
      <c r="K32" s="86"/>
      <c r="L32" s="57"/>
      <c r="M32" s="56"/>
      <c r="N32" s="57" t="s">
        <v>1017</v>
      </c>
      <c r="O32" s="54">
        <f t="shared" si="0"/>
        <v>-223</v>
      </c>
      <c r="P32" s="55">
        <f t="shared" si="1"/>
        <v>-9310.14</v>
      </c>
      <c r="Q32" s="55">
        <f t="shared" ref="Q32:Q38" si="7">E32</f>
        <v>0</v>
      </c>
      <c r="R32" s="55">
        <f t="shared" ref="R32:R38" si="8">F32</f>
        <v>-9087.14</v>
      </c>
      <c r="S32" s="55">
        <f t="shared" si="2"/>
        <v>-223</v>
      </c>
    </row>
    <row r="33" spans="2:19" x14ac:dyDescent="0.25">
      <c r="B33" s="98" t="s">
        <v>1007</v>
      </c>
      <c r="C33" s="638">
        <v>-93.5</v>
      </c>
      <c r="D33" s="637">
        <f t="shared" si="3"/>
        <v>-9403.64</v>
      </c>
      <c r="E33" s="637">
        <f t="shared" si="4"/>
        <v>0</v>
      </c>
      <c r="F33" s="637">
        <f t="shared" si="5"/>
        <v>-9310.14</v>
      </c>
      <c r="G33" s="637">
        <f t="shared" si="6"/>
        <v>-93.5</v>
      </c>
      <c r="H33" s="55"/>
      <c r="I33" s="55"/>
      <c r="J33" s="56"/>
      <c r="K33" s="56"/>
      <c r="L33" s="57"/>
      <c r="M33" s="98"/>
      <c r="N33" s="57" t="s">
        <v>1018</v>
      </c>
      <c r="O33" s="54">
        <f t="shared" si="0"/>
        <v>-93.5</v>
      </c>
      <c r="P33" s="55">
        <f t="shared" si="1"/>
        <v>-9403.64</v>
      </c>
      <c r="Q33" s="55">
        <f t="shared" si="7"/>
        <v>0</v>
      </c>
      <c r="R33" s="55">
        <f t="shared" si="8"/>
        <v>-9310.14</v>
      </c>
      <c r="S33" s="55">
        <f t="shared" si="2"/>
        <v>-93.5</v>
      </c>
    </row>
    <row r="34" spans="2:19" x14ac:dyDescent="0.25">
      <c r="B34" s="56" t="s">
        <v>1008</v>
      </c>
      <c r="C34" s="61">
        <v>-40.500000000000007</v>
      </c>
      <c r="D34" s="637">
        <f t="shared" si="3"/>
        <v>-9444.14</v>
      </c>
      <c r="E34" s="637">
        <f t="shared" si="4"/>
        <v>0</v>
      </c>
      <c r="F34" s="637">
        <f t="shared" si="5"/>
        <v>-9403.64</v>
      </c>
      <c r="G34" s="637">
        <f t="shared" si="6"/>
        <v>-40.500000000000007</v>
      </c>
      <c r="H34" s="55"/>
      <c r="I34" s="55"/>
      <c r="J34" s="56"/>
      <c r="K34" s="56"/>
      <c r="L34" s="56"/>
      <c r="M34" s="56"/>
      <c r="N34" s="57" t="s">
        <v>1015</v>
      </c>
      <c r="O34" s="54">
        <f t="shared" si="0"/>
        <v>-40.500000000000007</v>
      </c>
      <c r="P34" s="55">
        <f t="shared" si="1"/>
        <v>-9444.14</v>
      </c>
      <c r="Q34" s="55">
        <f t="shared" si="7"/>
        <v>0</v>
      </c>
      <c r="R34" s="55">
        <f t="shared" si="8"/>
        <v>-9403.64</v>
      </c>
      <c r="S34" s="55">
        <f t="shared" si="2"/>
        <v>-40.500000000000007</v>
      </c>
    </row>
    <row r="35" spans="2:19" x14ac:dyDescent="0.25">
      <c r="B35" s="56" t="s">
        <v>1009</v>
      </c>
      <c r="C35" s="61">
        <v>1343.2309999999995</v>
      </c>
      <c r="D35" s="637">
        <f t="shared" si="3"/>
        <v>-8100.9089999999997</v>
      </c>
      <c r="E35" s="637">
        <f t="shared" si="4"/>
        <v>0</v>
      </c>
      <c r="F35" s="637">
        <f t="shared" si="5"/>
        <v>-8100.9089999999997</v>
      </c>
      <c r="G35" s="637">
        <f t="shared" si="6"/>
        <v>-1343.2309999999995</v>
      </c>
      <c r="H35" s="62"/>
      <c r="I35" s="55"/>
      <c r="J35" s="56"/>
      <c r="K35" s="56"/>
      <c r="L35" s="56"/>
      <c r="M35" s="56"/>
      <c r="N35" s="57" t="s">
        <v>1016</v>
      </c>
      <c r="O35" s="54">
        <f t="shared" si="0"/>
        <v>1343.2309999999995</v>
      </c>
      <c r="P35" s="55">
        <f t="shared" si="1"/>
        <v>-8100.9089999999997</v>
      </c>
      <c r="Q35" s="55">
        <f t="shared" si="7"/>
        <v>0</v>
      </c>
      <c r="R35" s="55">
        <f t="shared" si="8"/>
        <v>-8100.9089999999997</v>
      </c>
      <c r="S35" s="55">
        <f t="shared" si="2"/>
        <v>-1343.2309999999995</v>
      </c>
    </row>
    <row r="36" spans="2:19" x14ac:dyDescent="0.25">
      <c r="B36" s="56" t="s">
        <v>1010</v>
      </c>
      <c r="C36" s="60">
        <v>286.7</v>
      </c>
      <c r="D36" s="637">
        <f t="shared" si="3"/>
        <v>-7814.2089999999998</v>
      </c>
      <c r="E36" s="637">
        <f t="shared" si="4"/>
        <v>0</v>
      </c>
      <c r="F36" s="637">
        <f t="shared" si="5"/>
        <v>-7814.2089999999998</v>
      </c>
      <c r="G36" s="637">
        <f t="shared" si="6"/>
        <v>-286.7</v>
      </c>
      <c r="H36" s="55"/>
      <c r="I36" s="55"/>
      <c r="J36" s="56"/>
      <c r="K36" s="56"/>
      <c r="L36" s="57"/>
      <c r="M36" s="56"/>
      <c r="N36" s="57" t="s">
        <v>1019</v>
      </c>
      <c r="O36" s="54">
        <f t="shared" si="0"/>
        <v>286.7</v>
      </c>
      <c r="P36" s="55">
        <f t="shared" si="1"/>
        <v>-7814.2089999999998</v>
      </c>
      <c r="Q36" s="55">
        <f t="shared" si="7"/>
        <v>0</v>
      </c>
      <c r="R36" s="55">
        <f t="shared" si="8"/>
        <v>-7814.2089999999998</v>
      </c>
      <c r="S36" s="55">
        <f t="shared" si="2"/>
        <v>-286.7</v>
      </c>
    </row>
    <row r="37" spans="2:19" x14ac:dyDescent="0.25">
      <c r="B37" s="56" t="s">
        <v>1011</v>
      </c>
      <c r="C37" s="61">
        <v>159</v>
      </c>
      <c r="D37" s="637">
        <f t="shared" si="3"/>
        <v>-7655.2089999999998</v>
      </c>
      <c r="E37" s="637">
        <f t="shared" si="4"/>
        <v>0</v>
      </c>
      <c r="F37" s="637">
        <f t="shared" si="5"/>
        <v>-7655.2089999999998</v>
      </c>
      <c r="G37" s="637">
        <f t="shared" si="6"/>
        <v>-159</v>
      </c>
      <c r="H37" s="55"/>
      <c r="I37" s="55"/>
      <c r="J37" s="56"/>
      <c r="K37" s="56"/>
      <c r="L37" s="57"/>
      <c r="M37" s="56"/>
      <c r="N37" s="57" t="s">
        <v>1020</v>
      </c>
      <c r="O37" s="54">
        <f t="shared" si="0"/>
        <v>159</v>
      </c>
      <c r="P37" s="55">
        <f t="shared" si="1"/>
        <v>-7655.2089999999998</v>
      </c>
      <c r="Q37" s="55">
        <f t="shared" si="7"/>
        <v>0</v>
      </c>
      <c r="R37" s="55">
        <f t="shared" si="8"/>
        <v>-7655.2089999999998</v>
      </c>
      <c r="S37" s="55">
        <f t="shared" si="2"/>
        <v>-159</v>
      </c>
    </row>
    <row r="38" spans="2:19" x14ac:dyDescent="0.25">
      <c r="B38" s="98" t="s">
        <v>1012</v>
      </c>
      <c r="C38" s="638">
        <v>-62.89100000000235</v>
      </c>
      <c r="D38" s="637">
        <f t="shared" si="3"/>
        <v>-7718.1000000000022</v>
      </c>
      <c r="E38" s="637">
        <f t="shared" si="4"/>
        <v>0</v>
      </c>
      <c r="F38" s="637">
        <f t="shared" si="5"/>
        <v>-7655.2089999999998</v>
      </c>
      <c r="G38" s="637">
        <f t="shared" si="6"/>
        <v>-62.89100000000235</v>
      </c>
      <c r="I38" s="55"/>
      <c r="J38" s="87"/>
      <c r="K38" s="56"/>
      <c r="L38" s="57"/>
      <c r="N38" s="57" t="s">
        <v>369</v>
      </c>
      <c r="O38" s="54">
        <f t="shared" si="0"/>
        <v>-62.89100000000235</v>
      </c>
      <c r="P38" s="55">
        <f t="shared" si="1"/>
        <v>-7718.1000000000022</v>
      </c>
      <c r="Q38" s="55">
        <f t="shared" si="7"/>
        <v>0</v>
      </c>
      <c r="R38" s="55">
        <f t="shared" si="8"/>
        <v>-7655.2089999999998</v>
      </c>
      <c r="S38" s="55">
        <f t="shared" si="2"/>
        <v>-62.89100000000235</v>
      </c>
    </row>
    <row r="39" spans="2:19" x14ac:dyDescent="0.25">
      <c r="B39" s="639" t="s">
        <v>161</v>
      </c>
      <c r="C39" s="640">
        <f>'[65]"Príbeh"'!$C$157</f>
        <v>-7718.1000000000022</v>
      </c>
      <c r="D39" s="641">
        <f>D30+SUM(C31:C38)</f>
        <v>-7718.1000000000022</v>
      </c>
      <c r="E39" s="641"/>
      <c r="F39" s="641"/>
      <c r="G39" s="641">
        <f>D39</f>
        <v>-7718.1000000000022</v>
      </c>
      <c r="H39" s="55"/>
      <c r="I39" s="55"/>
      <c r="J39" s="56"/>
      <c r="K39" s="56"/>
      <c r="L39" s="57"/>
      <c r="N39" s="63" t="s">
        <v>1013</v>
      </c>
      <c r="O39" s="64">
        <f t="shared" ref="O39" si="9">C39</f>
        <v>-7718.1000000000022</v>
      </c>
      <c r="P39" s="65">
        <f t="shared" si="1"/>
        <v>-7718.1000000000022</v>
      </c>
      <c r="Q39" s="65">
        <f t="shared" ref="Q39" si="10">E39</f>
        <v>0</v>
      </c>
      <c r="R39" s="65">
        <f t="shared" ref="R39" si="11">F39</f>
        <v>0</v>
      </c>
      <c r="S39" s="55">
        <f t="shared" si="2"/>
        <v>-7718.1000000000022</v>
      </c>
    </row>
    <row r="40" spans="2:19" x14ac:dyDescent="0.25">
      <c r="D40" s="56"/>
      <c r="E40" s="56"/>
      <c r="F40" s="67" t="s">
        <v>2</v>
      </c>
      <c r="G40" s="67"/>
      <c r="H40" s="55"/>
      <c r="I40" s="55"/>
      <c r="J40" s="56"/>
      <c r="K40" s="56"/>
      <c r="L40" s="57"/>
      <c r="N40" s="57"/>
    </row>
    <row r="41" spans="2:19" x14ac:dyDescent="0.25">
      <c r="B41" s="46"/>
      <c r="C41" s="46"/>
      <c r="D41" s="46"/>
      <c r="E41" s="46"/>
      <c r="F41" s="46"/>
      <c r="G41" s="46"/>
      <c r="H41" s="62"/>
      <c r="I41" s="55"/>
      <c r="J41" s="56"/>
      <c r="L41" s="57"/>
      <c r="N41" s="57"/>
    </row>
    <row r="42" spans="2:19" x14ac:dyDescent="0.25">
      <c r="B42" s="68"/>
      <c r="C42" s="54"/>
      <c r="D42" s="46"/>
      <c r="E42" s="46"/>
      <c r="F42" s="46"/>
      <c r="G42" s="46"/>
      <c r="H42" s="55"/>
      <c r="I42" s="55"/>
      <c r="J42" s="56"/>
      <c r="L42" s="57"/>
      <c r="N42" s="57"/>
    </row>
    <row r="43" spans="2:19" x14ac:dyDescent="0.25">
      <c r="B43" s="46"/>
      <c r="C43" s="58"/>
      <c r="D43" s="46"/>
      <c r="E43" s="46"/>
      <c r="F43" s="46"/>
      <c r="G43" s="46"/>
      <c r="H43" s="55"/>
      <c r="I43" s="55"/>
      <c r="J43" s="56"/>
      <c r="L43" s="57"/>
      <c r="N43" s="57"/>
    </row>
    <row r="44" spans="2:19" x14ac:dyDescent="0.25">
      <c r="B44" s="68"/>
      <c r="C44" s="58"/>
      <c r="D44" s="46"/>
      <c r="E44" s="46"/>
      <c r="F44" s="46"/>
      <c r="G44" s="46"/>
      <c r="H44" s="55"/>
      <c r="I44" s="55"/>
      <c r="J44" s="56"/>
      <c r="N44" s="57"/>
    </row>
    <row r="45" spans="2:19" x14ac:dyDescent="0.25">
      <c r="B45" s="276"/>
      <c r="C45" s="69"/>
      <c r="D45" s="46"/>
      <c r="E45" s="46"/>
      <c r="F45" s="46"/>
      <c r="G45" s="70"/>
      <c r="I45" s="55"/>
      <c r="J45" s="56"/>
      <c r="N45" s="57"/>
    </row>
    <row r="46" spans="2:19" x14ac:dyDescent="0.25">
      <c r="B46" s="46"/>
      <c r="C46" s="46"/>
      <c r="D46" s="46"/>
      <c r="E46" s="46"/>
      <c r="F46" s="46"/>
      <c r="G46" s="46"/>
      <c r="I46" s="55"/>
      <c r="J46" s="56"/>
      <c r="N46" s="57"/>
    </row>
    <row r="47" spans="2:19" x14ac:dyDescent="0.25">
      <c r="B47" s="276"/>
      <c r="C47" s="69"/>
      <c r="D47" s="46"/>
      <c r="E47" s="46"/>
      <c r="F47" s="46"/>
      <c r="G47" s="46"/>
      <c r="H47" s="55"/>
      <c r="I47" s="55"/>
      <c r="J47" s="56"/>
      <c r="N47" s="57"/>
    </row>
    <row r="48" spans="2:19" x14ac:dyDescent="0.25">
      <c r="B48" s="46"/>
      <c r="C48" s="46"/>
      <c r="D48" s="46"/>
      <c r="E48" s="46"/>
      <c r="F48" s="46"/>
      <c r="G48" s="46"/>
      <c r="H48" s="55"/>
      <c r="I48" s="55"/>
      <c r="J48" s="56"/>
      <c r="N48" s="57"/>
    </row>
    <row r="49" spans="2:14" x14ac:dyDescent="0.25">
      <c r="B49" s="68"/>
      <c r="C49" s="58"/>
      <c r="D49" s="46"/>
      <c r="E49" s="46"/>
      <c r="F49" s="46"/>
      <c r="G49" s="46"/>
      <c r="H49" s="55"/>
      <c r="I49" s="55"/>
      <c r="J49" s="56"/>
      <c r="N49" s="57"/>
    </row>
    <row r="50" spans="2:14" x14ac:dyDescent="0.25">
      <c r="B50" s="46"/>
      <c r="C50" s="58"/>
      <c r="D50" s="46"/>
      <c r="E50" s="46"/>
      <c r="F50" s="46"/>
      <c r="G50" s="46"/>
      <c r="H50" s="55"/>
      <c r="I50" s="55"/>
      <c r="J50" s="56"/>
      <c r="N50" s="57"/>
    </row>
    <row r="51" spans="2:14" x14ac:dyDescent="0.25">
      <c r="B51" s="46"/>
      <c r="C51" s="46"/>
      <c r="D51" s="46"/>
      <c r="E51" s="46"/>
      <c r="F51" s="46"/>
      <c r="G51" s="46"/>
      <c r="H51" s="55"/>
      <c r="I51" s="55"/>
      <c r="N51" s="57"/>
    </row>
    <row r="52" spans="2:14" x14ac:dyDescent="0.25">
      <c r="B52" s="46"/>
      <c r="C52" s="46"/>
      <c r="D52" s="46"/>
      <c r="E52" s="46"/>
      <c r="F52" s="46"/>
      <c r="G52" s="46"/>
      <c r="H52" s="55"/>
      <c r="I52" s="55"/>
      <c r="J52" s="57"/>
      <c r="L52" s="57"/>
      <c r="N52" s="57"/>
    </row>
    <row r="53" spans="2:14" ht="13.5" customHeight="1" x14ac:dyDescent="0.25">
      <c r="B53" s="46"/>
      <c r="C53" s="46"/>
      <c r="D53" s="46"/>
      <c r="E53" s="46"/>
      <c r="F53" s="46"/>
      <c r="G53" s="46"/>
      <c r="H53" s="55"/>
      <c r="I53" s="55"/>
      <c r="J53" s="57"/>
      <c r="L53" s="57"/>
    </row>
    <row r="54" spans="2:14" x14ac:dyDescent="0.25">
      <c r="B54" s="57"/>
      <c r="C54" s="58"/>
      <c r="D54" s="46"/>
      <c r="E54" s="46"/>
      <c r="F54" s="46"/>
      <c r="G54" s="46"/>
      <c r="H54" s="55"/>
      <c r="I54" s="55"/>
      <c r="J54" s="57"/>
      <c r="L54" s="57"/>
    </row>
    <row r="55" spans="2:14" x14ac:dyDescent="0.25">
      <c r="B55" s="46"/>
      <c r="C55" s="46"/>
      <c r="D55" s="46"/>
      <c r="E55" s="46"/>
      <c r="F55" s="46"/>
      <c r="G55" s="46"/>
      <c r="H55" s="55"/>
      <c r="I55" s="55"/>
      <c r="J55" s="57"/>
      <c r="L55" s="57"/>
    </row>
    <row r="56" spans="2:14" x14ac:dyDescent="0.25">
      <c r="B56" s="68"/>
      <c r="C56" s="46"/>
      <c r="D56" s="46"/>
      <c r="E56" s="46"/>
      <c r="F56" s="46"/>
      <c r="G56" s="46"/>
      <c r="I56" s="55"/>
      <c r="J56" s="57"/>
      <c r="L56" s="57"/>
    </row>
    <row r="57" spans="2:14" x14ac:dyDescent="0.25">
      <c r="B57" s="277"/>
      <c r="C57" s="278"/>
      <c r="D57" s="46"/>
      <c r="E57" s="46"/>
      <c r="F57" s="46"/>
      <c r="G57" s="46"/>
      <c r="I57" s="55"/>
      <c r="J57" s="55"/>
      <c r="L57" s="57"/>
    </row>
    <row r="58" spans="2:14" x14ac:dyDescent="0.25">
      <c r="B58" s="277"/>
      <c r="C58" s="278"/>
      <c r="D58" s="46"/>
      <c r="E58" s="46"/>
      <c r="F58" s="46"/>
      <c r="G58" s="46"/>
      <c r="H58" s="66"/>
      <c r="I58" s="55"/>
      <c r="J58" s="55"/>
    </row>
    <row r="59" spans="2:14" x14ac:dyDescent="0.25">
      <c r="B59" s="46"/>
      <c r="C59" s="71"/>
      <c r="D59" s="46"/>
      <c r="E59" s="72"/>
      <c r="F59" s="46"/>
      <c r="G59" s="46"/>
      <c r="H59" s="67"/>
      <c r="I59" s="67"/>
      <c r="J59" s="67"/>
    </row>
    <row r="60" spans="2:14" x14ac:dyDescent="0.25">
      <c r="B60" s="46"/>
      <c r="C60" s="46"/>
      <c r="D60" s="46"/>
      <c r="E60" s="46"/>
      <c r="F60" s="46"/>
      <c r="G60" s="46"/>
      <c r="H60" s="46"/>
      <c r="I60" s="46"/>
      <c r="J60" s="46"/>
    </row>
    <row r="61" spans="2:14" x14ac:dyDescent="0.25">
      <c r="B61" s="46"/>
      <c r="C61" s="46"/>
      <c r="D61" s="46"/>
      <c r="E61" s="46"/>
      <c r="F61" s="46"/>
      <c r="G61" s="46"/>
      <c r="H61" s="46"/>
      <c r="I61" s="46"/>
      <c r="J61" s="69"/>
    </row>
    <row r="62" spans="2:14" x14ac:dyDescent="0.25">
      <c r="B62" s="68"/>
      <c r="C62" s="71"/>
      <c r="D62" s="46"/>
      <c r="E62" s="46"/>
      <c r="F62" s="46"/>
      <c r="G62" s="46"/>
      <c r="H62" s="46"/>
      <c r="I62" s="46"/>
      <c r="J62" s="69"/>
    </row>
    <row r="63" spans="2:14" x14ac:dyDescent="0.25">
      <c r="B63" s="73"/>
      <c r="C63" s="58"/>
      <c r="D63" s="46"/>
      <c r="E63" s="46"/>
      <c r="F63" s="46"/>
      <c r="G63" s="46"/>
      <c r="H63" s="46"/>
      <c r="I63" s="46"/>
      <c r="J63" s="69"/>
    </row>
    <row r="64" spans="2:14" x14ac:dyDescent="0.25">
      <c r="B64" s="46"/>
      <c r="C64" s="58"/>
      <c r="D64" s="46"/>
      <c r="E64" s="46"/>
      <c r="F64" s="46"/>
      <c r="G64" s="46"/>
      <c r="H64" s="46"/>
      <c r="I64" s="46"/>
      <c r="J64" s="69"/>
    </row>
    <row r="65" spans="2:10" x14ac:dyDescent="0.25">
      <c r="B65" s="46"/>
      <c r="C65" s="71"/>
      <c r="D65" s="46"/>
      <c r="E65" s="46"/>
      <c r="F65" s="46"/>
      <c r="G65" s="46"/>
      <c r="H65" s="46"/>
      <c r="I65" s="46"/>
      <c r="J65" s="46"/>
    </row>
    <row r="66" spans="2:10" x14ac:dyDescent="0.25">
      <c r="B66" s="46"/>
      <c r="C66" s="71"/>
      <c r="D66" s="46"/>
      <c r="E66" s="46"/>
      <c r="F66" s="46"/>
      <c r="G66" s="46"/>
      <c r="H66" s="46"/>
      <c r="I66" s="46"/>
      <c r="J66" s="46"/>
    </row>
    <row r="67" spans="2:10" x14ac:dyDescent="0.25">
      <c r="B67" s="46"/>
      <c r="C67" s="71"/>
      <c r="D67" s="46"/>
      <c r="E67" s="46"/>
      <c r="F67" s="46"/>
      <c r="G67" s="46"/>
      <c r="H67" s="46"/>
      <c r="I67" s="46"/>
      <c r="J67" s="46"/>
    </row>
    <row r="68" spans="2:10" x14ac:dyDescent="0.25">
      <c r="B68" s="46"/>
      <c r="C68" s="46"/>
      <c r="D68" s="46"/>
      <c r="E68" s="46"/>
      <c r="F68" s="46"/>
      <c r="G68" s="46"/>
      <c r="H68" s="46"/>
      <c r="I68" s="46"/>
      <c r="J68" s="46"/>
    </row>
    <row r="69" spans="2:10" x14ac:dyDescent="0.25">
      <c r="B69" s="68"/>
      <c r="C69" s="46"/>
      <c r="D69" s="46"/>
      <c r="E69" s="46"/>
      <c r="F69" s="46"/>
      <c r="G69" s="74"/>
      <c r="H69" s="46"/>
      <c r="I69" s="46"/>
      <c r="J69" s="46"/>
    </row>
    <row r="70" spans="2:10" x14ac:dyDescent="0.25">
      <c r="B70" s="46"/>
      <c r="C70" s="71"/>
      <c r="D70" s="46"/>
      <c r="E70" s="46"/>
      <c r="F70" s="46"/>
      <c r="G70" s="75"/>
      <c r="H70" s="46"/>
      <c r="I70" s="46"/>
      <c r="J70" s="46"/>
    </row>
    <row r="71" spans="2:10" x14ac:dyDescent="0.25">
      <c r="B71" s="46"/>
      <c r="C71" s="71"/>
      <c r="D71" s="46"/>
      <c r="E71" s="46"/>
      <c r="F71" s="46"/>
      <c r="G71" s="75"/>
      <c r="H71" s="46"/>
      <c r="I71" s="46"/>
      <c r="J71" s="46"/>
    </row>
    <row r="72" spans="2:10" hidden="1" x14ac:dyDescent="0.25">
      <c r="B72" s="46"/>
      <c r="C72" s="71"/>
      <c r="D72" s="46"/>
      <c r="E72" s="46"/>
      <c r="F72" s="46"/>
      <c r="G72" s="75"/>
      <c r="H72" s="46"/>
      <c r="I72" s="46"/>
      <c r="J72" s="46"/>
    </row>
    <row r="73" spans="2:10" hidden="1" x14ac:dyDescent="0.25">
      <c r="B73" s="46"/>
      <c r="C73" s="46"/>
      <c r="D73" s="46"/>
      <c r="E73" s="46"/>
      <c r="F73" s="46"/>
      <c r="G73" s="46"/>
      <c r="H73" s="46"/>
      <c r="I73" s="46"/>
      <c r="J73" s="46"/>
    </row>
    <row r="74" spans="2:10" x14ac:dyDescent="0.25">
      <c r="B74" s="68"/>
      <c r="C74" s="68"/>
      <c r="D74" s="68"/>
      <c r="E74" s="46"/>
      <c r="F74" s="46"/>
      <c r="G74" s="74"/>
      <c r="H74" s="46"/>
      <c r="I74" s="46"/>
      <c r="J74" s="46"/>
    </row>
    <row r="75" spans="2:10" x14ac:dyDescent="0.25">
      <c r="B75" s="46"/>
      <c r="C75" s="71"/>
      <c r="D75" s="46"/>
      <c r="E75" s="46"/>
      <c r="F75" s="46"/>
      <c r="G75" s="46"/>
      <c r="H75" s="46"/>
      <c r="I75" s="46"/>
      <c r="J75" s="46"/>
    </row>
    <row r="76" spans="2:10" x14ac:dyDescent="0.25">
      <c r="B76" s="46"/>
      <c r="C76" s="71"/>
      <c r="D76" s="46"/>
      <c r="E76" s="46"/>
      <c r="F76" s="46"/>
      <c r="G76" s="46"/>
      <c r="H76" s="46"/>
      <c r="I76" s="46"/>
      <c r="J76" s="46"/>
    </row>
    <row r="77" spans="2:10" x14ac:dyDescent="0.25">
      <c r="B77" s="46"/>
      <c r="C77" s="46"/>
      <c r="D77" s="46"/>
      <c r="E77" s="46"/>
      <c r="F77" s="46"/>
      <c r="G77" s="46"/>
      <c r="H77" s="46"/>
      <c r="I77" s="46"/>
      <c r="J77" s="46"/>
    </row>
    <row r="78" spans="2:10" x14ac:dyDescent="0.25">
      <c r="H78" s="46"/>
      <c r="I78" s="46"/>
      <c r="J78" s="46"/>
    </row>
    <row r="79" spans="2:10" x14ac:dyDescent="0.25">
      <c r="H79" s="46"/>
      <c r="I79" s="46"/>
      <c r="J79" s="46"/>
    </row>
    <row r="80" spans="2:10" x14ac:dyDescent="0.25">
      <c r="H80" s="46"/>
      <c r="I80" s="46"/>
      <c r="J80" s="46"/>
    </row>
    <row r="81" spans="8:10" x14ac:dyDescent="0.25">
      <c r="H81" s="46"/>
      <c r="I81" s="46"/>
      <c r="J81" s="46"/>
    </row>
    <row r="82" spans="8:10" x14ac:dyDescent="0.25">
      <c r="H82" s="46"/>
      <c r="I82" s="46"/>
      <c r="J82" s="46"/>
    </row>
    <row r="83" spans="8:10" x14ac:dyDescent="0.25">
      <c r="H83" s="46"/>
      <c r="I83" s="46"/>
      <c r="J83" s="46"/>
    </row>
    <row r="84" spans="8:10" x14ac:dyDescent="0.25">
      <c r="H84" s="46"/>
      <c r="I84" s="46"/>
      <c r="J84" s="46"/>
    </row>
    <row r="85" spans="8:10" x14ac:dyDescent="0.25">
      <c r="H85" s="46"/>
      <c r="I85" s="46"/>
      <c r="J85" s="46"/>
    </row>
    <row r="86" spans="8:10" x14ac:dyDescent="0.25">
      <c r="H86" s="46"/>
      <c r="I86" s="46"/>
      <c r="J86" s="46"/>
    </row>
    <row r="87" spans="8:10" x14ac:dyDescent="0.25">
      <c r="H87" s="46"/>
      <c r="I87" s="46"/>
      <c r="J87" s="46"/>
    </row>
    <row r="88" spans="8:10" x14ac:dyDescent="0.25">
      <c r="H88" s="74"/>
      <c r="I88" s="46"/>
      <c r="J88" s="46"/>
    </row>
    <row r="89" spans="8:10" x14ac:dyDescent="0.25">
      <c r="H89" s="75"/>
      <c r="I89" s="46"/>
      <c r="J89" s="46"/>
    </row>
    <row r="90" spans="8:10" x14ac:dyDescent="0.25">
      <c r="H90" s="75"/>
      <c r="I90" s="46"/>
      <c r="J90" s="46"/>
    </row>
    <row r="91" spans="8:10" x14ac:dyDescent="0.25">
      <c r="H91" s="75"/>
      <c r="I91" s="46"/>
      <c r="J91" s="46"/>
    </row>
    <row r="92" spans="8:10" x14ac:dyDescent="0.25">
      <c r="H92" s="46"/>
      <c r="I92" s="46"/>
      <c r="J92" s="46"/>
    </row>
    <row r="93" spans="8:10" x14ac:dyDescent="0.25">
      <c r="H93" s="74"/>
      <c r="I93" s="46"/>
      <c r="J93" s="46"/>
    </row>
    <row r="94" spans="8:10" x14ac:dyDescent="0.25">
      <c r="H94" s="46"/>
      <c r="I94" s="46"/>
      <c r="J94" s="46"/>
    </row>
    <row r="95" spans="8:10" x14ac:dyDescent="0.25">
      <c r="H95" s="46"/>
      <c r="I95" s="46"/>
      <c r="J95" s="46"/>
    </row>
    <row r="96" spans="8:10" x14ac:dyDescent="0.25">
      <c r="H96" s="46"/>
      <c r="I96" s="46"/>
      <c r="J96" s="46"/>
    </row>
  </sheetData>
  <mergeCells count="2">
    <mergeCell ref="B5:G5"/>
    <mergeCell ref="N6:S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7"/>
  <sheetViews>
    <sheetView showGridLines="0" workbookViewId="0">
      <selection activeCell="A3" sqref="A3"/>
    </sheetView>
  </sheetViews>
  <sheetFormatPr defaultColWidth="9.140625" defaultRowHeight="13.5" x14ac:dyDescent="0.25"/>
  <cols>
    <col min="1" max="1" width="9.140625" style="88"/>
    <col min="2" max="2" width="13.140625" style="88" customWidth="1"/>
    <col min="3" max="3" width="28" style="88" bestFit="1" customWidth="1"/>
    <col min="4" max="4" width="33.140625" style="88" bestFit="1" customWidth="1"/>
    <col min="5" max="5" width="17.140625" style="88" customWidth="1"/>
    <col min="6" max="6" width="18" style="88" customWidth="1"/>
    <col min="7" max="7" width="16.85546875" style="88" customWidth="1"/>
    <col min="8" max="8" width="19" style="88" customWidth="1"/>
    <col min="9" max="9" width="14.85546875" style="88" customWidth="1"/>
    <col min="10" max="16384" width="9.140625" style="88"/>
  </cols>
  <sheetData>
    <row r="1" spans="3:9" x14ac:dyDescent="0.25">
      <c r="C1" s="361" t="s">
        <v>1044</v>
      </c>
    </row>
    <row r="2" spans="3:9" x14ac:dyDescent="0.25">
      <c r="C2" s="361" t="s">
        <v>1045</v>
      </c>
    </row>
    <row r="3" spans="3:9" x14ac:dyDescent="0.25">
      <c r="E3" s="849">
        <v>2020</v>
      </c>
      <c r="F3" s="849"/>
      <c r="G3" s="849">
        <v>2021</v>
      </c>
      <c r="H3" s="849"/>
      <c r="I3" s="648">
        <v>2022</v>
      </c>
    </row>
    <row r="4" spans="3:9" ht="27" x14ac:dyDescent="0.25">
      <c r="C4" s="139"/>
      <c r="D4" s="139"/>
      <c r="E4" s="642" t="s">
        <v>1042</v>
      </c>
      <c r="F4" s="642" t="s">
        <v>1021</v>
      </c>
      <c r="G4" s="642" t="s">
        <v>1042</v>
      </c>
      <c r="H4" s="642" t="s">
        <v>1021</v>
      </c>
      <c r="I4" s="642" t="s">
        <v>1042</v>
      </c>
    </row>
    <row r="5" spans="3:9" ht="27" x14ac:dyDescent="0.25">
      <c r="C5" s="439"/>
      <c r="D5" s="439"/>
      <c r="E5" s="642" t="s">
        <v>1043</v>
      </c>
      <c r="F5" s="643" t="s">
        <v>1022</v>
      </c>
      <c r="G5" s="642" t="s">
        <v>1043</v>
      </c>
      <c r="H5" s="649" t="s">
        <v>1022</v>
      </c>
      <c r="I5" s="642" t="s">
        <v>1043</v>
      </c>
    </row>
    <row r="6" spans="3:9" x14ac:dyDescent="0.25">
      <c r="C6" s="227" t="s">
        <v>1023</v>
      </c>
      <c r="D6" s="227" t="s">
        <v>1024</v>
      </c>
      <c r="E6" s="143">
        <v>1.0065156558774431</v>
      </c>
      <c r="F6" s="644"/>
      <c r="G6" s="143">
        <v>1.8577967575777905</v>
      </c>
      <c r="H6" s="644"/>
      <c r="I6" s="143">
        <v>0.31269111829656221</v>
      </c>
    </row>
    <row r="7" spans="3:9" x14ac:dyDescent="0.25">
      <c r="C7" s="227" t="s">
        <v>1025</v>
      </c>
      <c r="D7" s="227" t="s">
        <v>1026</v>
      </c>
      <c r="E7" s="143">
        <v>0.32652243362411065</v>
      </c>
      <c r="F7" s="644"/>
      <c r="G7" s="143">
        <v>0.52432473412024605</v>
      </c>
      <c r="H7" s="644"/>
      <c r="I7" s="143">
        <v>0.13748933716615505</v>
      </c>
    </row>
    <row r="8" spans="3:9" x14ac:dyDescent="0.25">
      <c r="C8" s="227" t="s">
        <v>1027</v>
      </c>
      <c r="D8" s="227" t="s">
        <v>1028</v>
      </c>
      <c r="E8" s="143">
        <v>9.6079189521661293E-2</v>
      </c>
      <c r="F8" s="644"/>
      <c r="G8" s="143">
        <v>1.6140252678624213E-2</v>
      </c>
      <c r="H8" s="644"/>
      <c r="I8" s="143">
        <v>0</v>
      </c>
    </row>
    <row r="9" spans="3:9" x14ac:dyDescent="0.25">
      <c r="C9" s="227" t="s">
        <v>1029</v>
      </c>
      <c r="D9" s="227" t="s">
        <v>1030</v>
      </c>
      <c r="E9" s="143">
        <v>0.40971585314663667</v>
      </c>
      <c r="F9" s="644"/>
      <c r="G9" s="143">
        <v>0.66356584319540468</v>
      </c>
      <c r="H9" s="644"/>
      <c r="I9" s="143">
        <v>0.18288640224975597</v>
      </c>
    </row>
    <row r="10" spans="3:9" x14ac:dyDescent="0.25">
      <c r="C10" s="227" t="s">
        <v>1031</v>
      </c>
      <c r="D10" s="227" t="s">
        <v>1032</v>
      </c>
      <c r="E10" s="143">
        <v>0.28877923455786503</v>
      </c>
      <c r="F10" s="644"/>
      <c r="G10" s="143">
        <v>0.20323766763900736</v>
      </c>
      <c r="H10" s="644"/>
      <c r="I10" s="143">
        <v>9.3807335488968649E-2</v>
      </c>
    </row>
    <row r="11" spans="3:9" x14ac:dyDescent="0.25">
      <c r="C11" s="227"/>
      <c r="D11" s="227"/>
      <c r="E11" s="145"/>
      <c r="F11" s="645"/>
      <c r="G11" s="143"/>
      <c r="H11" s="645"/>
      <c r="I11" s="143"/>
    </row>
    <row r="12" spans="3:9" x14ac:dyDescent="0.25">
      <c r="C12" s="227" t="s">
        <v>1033</v>
      </c>
      <c r="D12" s="227" t="s">
        <v>1034</v>
      </c>
      <c r="E12" s="143"/>
      <c r="F12" s="644">
        <v>0.49834072778036181</v>
      </c>
      <c r="G12" s="143"/>
      <c r="H12" s="644">
        <v>5.8178586275804828E-2</v>
      </c>
      <c r="I12" s="143"/>
    </row>
    <row r="13" spans="3:9" x14ac:dyDescent="0.25">
      <c r="C13" s="227" t="s">
        <v>1035</v>
      </c>
      <c r="D13" s="227" t="s">
        <v>1036</v>
      </c>
      <c r="E13" s="143"/>
      <c r="F13" s="644">
        <v>1.1274418136298303</v>
      </c>
      <c r="G13" s="143"/>
      <c r="H13" s="644">
        <v>0.34559318421689361</v>
      </c>
      <c r="I13" s="143"/>
    </row>
    <row r="14" spans="3:9" x14ac:dyDescent="0.25">
      <c r="C14" s="227" t="s">
        <v>1037</v>
      </c>
      <c r="D14" s="227" t="s">
        <v>744</v>
      </c>
      <c r="E14" s="143">
        <v>-0.37246283915878425</v>
      </c>
      <c r="F14" s="645"/>
      <c r="G14" s="143">
        <v>-0.15022928129097662</v>
      </c>
      <c r="H14" s="645"/>
      <c r="I14" s="143"/>
    </row>
    <row r="15" spans="3:9" x14ac:dyDescent="0.25">
      <c r="C15" s="227" t="s">
        <v>1038</v>
      </c>
      <c r="D15" s="227" t="s">
        <v>1039</v>
      </c>
      <c r="E15" s="143"/>
      <c r="F15" s="644">
        <v>0.53106425613596153</v>
      </c>
      <c r="G15" s="143"/>
      <c r="H15" s="644">
        <v>9.8419929540285001E-2</v>
      </c>
      <c r="I15" s="143"/>
    </row>
    <row r="16" spans="3:9" x14ac:dyDescent="0.25">
      <c r="C16" s="139" t="s">
        <v>1040</v>
      </c>
      <c r="D16" s="139" t="s">
        <v>1041</v>
      </c>
      <c r="E16" s="274"/>
      <c r="F16" s="646">
        <v>1.063466697541519</v>
      </c>
      <c r="G16" s="274"/>
      <c r="H16" s="646">
        <v>0.30788299126262247</v>
      </c>
      <c r="I16" s="143"/>
    </row>
    <row r="17" spans="3:9" x14ac:dyDescent="0.25">
      <c r="C17" s="264" t="s">
        <v>151</v>
      </c>
      <c r="D17" s="264" t="s">
        <v>395</v>
      </c>
      <c r="E17" s="142">
        <v>1.7551495275689324</v>
      </c>
      <c r="F17" s="647">
        <v>3.2203134950876722</v>
      </c>
      <c r="G17" s="142">
        <v>3.1148359739200964</v>
      </c>
      <c r="H17" s="647">
        <v>0.81007469129560583</v>
      </c>
      <c r="I17" s="143">
        <v>0.72687419320144186</v>
      </c>
    </row>
  </sheetData>
  <mergeCells count="2">
    <mergeCell ref="E3:F3"/>
    <mergeCell ref="G3:H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5"/>
  <sheetViews>
    <sheetView showGridLines="0" workbookViewId="0">
      <selection activeCell="C10" sqref="C10"/>
    </sheetView>
  </sheetViews>
  <sheetFormatPr defaultColWidth="9.140625" defaultRowHeight="13.5" x14ac:dyDescent="0.25"/>
  <cols>
    <col min="1" max="2" width="9.140625" style="88"/>
    <col min="3" max="3" width="26.85546875" style="88" customWidth="1"/>
    <col min="4" max="4" width="18.42578125" style="88" customWidth="1"/>
    <col min="5" max="6" width="9.140625" style="88"/>
    <col min="7" max="7" width="11.140625" style="88" customWidth="1"/>
    <col min="8" max="16384" width="9.140625" style="88"/>
  </cols>
  <sheetData>
    <row r="3" spans="3:9" x14ac:dyDescent="0.25">
      <c r="C3" s="650"/>
      <c r="D3" s="650"/>
      <c r="E3" s="651" t="s">
        <v>111</v>
      </c>
      <c r="F3" s="651" t="s">
        <v>112</v>
      </c>
      <c r="G3" s="651" t="s">
        <v>113</v>
      </c>
      <c r="H3" s="651" t="s">
        <v>114</v>
      </c>
      <c r="I3" s="651" t="s">
        <v>115</v>
      </c>
    </row>
    <row r="4" spans="3:9" ht="27" x14ac:dyDescent="0.25">
      <c r="C4" s="652"/>
      <c r="D4" s="652"/>
      <c r="E4" s="653" t="s">
        <v>602</v>
      </c>
      <c r="F4" s="653" t="s">
        <v>603</v>
      </c>
      <c r="G4" s="653" t="s">
        <v>604</v>
      </c>
      <c r="H4" s="653" t="s">
        <v>605</v>
      </c>
      <c r="I4" s="653" t="s">
        <v>606</v>
      </c>
    </row>
    <row r="5" spans="3:9" x14ac:dyDescent="0.25">
      <c r="C5" s="654" t="s">
        <v>1061</v>
      </c>
      <c r="D5" s="654" t="s">
        <v>1046</v>
      </c>
      <c r="E5" s="655">
        <v>-2.4356621546077233</v>
      </c>
      <c r="F5" s="656">
        <v>-2.4356621546077233</v>
      </c>
      <c r="G5" s="657"/>
      <c r="H5" s="657"/>
      <c r="I5" s="658">
        <v>-2.4356621546077233</v>
      </c>
    </row>
    <row r="6" spans="3:9" x14ac:dyDescent="0.25">
      <c r="C6" s="663" t="s">
        <v>1047</v>
      </c>
      <c r="D6" s="125" t="s">
        <v>1048</v>
      </c>
      <c r="E6" s="655">
        <v>-0.60897943789186249</v>
      </c>
      <c r="F6" s="659">
        <v>-3.0446415924995858</v>
      </c>
      <c r="G6" s="658">
        <v>0</v>
      </c>
      <c r="H6" s="658">
        <v>-2.4356621546077233</v>
      </c>
      <c r="I6" s="658">
        <v>-0.60897943789186249</v>
      </c>
    </row>
    <row r="7" spans="3:9" x14ac:dyDescent="0.25">
      <c r="C7" s="663" t="s">
        <v>1049</v>
      </c>
      <c r="D7" s="125" t="s">
        <v>1050</v>
      </c>
      <c r="E7" s="655">
        <v>-0.30606788846170013</v>
      </c>
      <c r="F7" s="659">
        <v>-3.3507094809612861</v>
      </c>
      <c r="G7" s="658">
        <v>0</v>
      </c>
      <c r="H7" s="658">
        <v>-3.0446415924995858</v>
      </c>
      <c r="I7" s="658">
        <v>-0.30606788846170013</v>
      </c>
    </row>
    <row r="8" spans="3:9" x14ac:dyDescent="0.25">
      <c r="C8" s="663" t="s">
        <v>1051</v>
      </c>
      <c r="D8" s="125" t="s">
        <v>1052</v>
      </c>
      <c r="E8" s="655">
        <v>-0.32452601283052324</v>
      </c>
      <c r="F8" s="659">
        <v>-3.6752354937918095</v>
      </c>
      <c r="G8" s="658">
        <v>0</v>
      </c>
      <c r="H8" s="658">
        <v>-3.3507094809612861</v>
      </c>
      <c r="I8" s="658">
        <v>-0.32452601283052324</v>
      </c>
    </row>
    <row r="9" spans="3:9" x14ac:dyDescent="0.25">
      <c r="C9" s="44" t="s">
        <v>1056</v>
      </c>
      <c r="D9" s="88" t="s">
        <v>1060</v>
      </c>
      <c r="E9" s="655">
        <v>-0.1390609014560294</v>
      </c>
      <c r="F9" s="659">
        <v>-3.7546310011475694</v>
      </c>
      <c r="G9" s="658">
        <v>0</v>
      </c>
      <c r="H9" s="658">
        <v>-3.6752354937918095</v>
      </c>
      <c r="I9" s="658">
        <v>-7.939550735575987E-2</v>
      </c>
    </row>
    <row r="10" spans="3:9" x14ac:dyDescent="0.25">
      <c r="C10" s="44" t="s">
        <v>1057</v>
      </c>
      <c r="D10" s="125" t="s">
        <v>1059</v>
      </c>
      <c r="E10" s="655">
        <v>-0.13059138794828462</v>
      </c>
      <c r="F10" s="659">
        <v>-3.8852223890958539</v>
      </c>
      <c r="G10" s="658">
        <v>0</v>
      </c>
      <c r="H10" s="658">
        <v>-3.7546310011475694</v>
      </c>
      <c r="I10" s="658">
        <v>-0.13059138794828462</v>
      </c>
    </row>
    <row r="11" spans="3:9" x14ac:dyDescent="0.25">
      <c r="C11" s="663" t="s">
        <v>1058</v>
      </c>
      <c r="D11" s="88" t="s">
        <v>1063</v>
      </c>
      <c r="E11" s="655">
        <v>-7.939550735575987E-2</v>
      </c>
      <c r="F11" s="659">
        <v>-4.0242832905518835</v>
      </c>
      <c r="G11" s="658">
        <v>0</v>
      </c>
      <c r="H11" s="658">
        <v>-3.8852223890958539</v>
      </c>
      <c r="I11" s="658">
        <v>-0.1390609014560294</v>
      </c>
    </row>
    <row r="12" spans="3:9" x14ac:dyDescent="0.25">
      <c r="C12" s="663" t="s">
        <v>312</v>
      </c>
      <c r="D12" s="125" t="s">
        <v>369</v>
      </c>
      <c r="E12" s="655">
        <v>-0.251491491161695</v>
      </c>
      <c r="F12" s="659">
        <v>-4.2757747817135785</v>
      </c>
      <c r="G12" s="658">
        <v>0</v>
      </c>
      <c r="H12" s="658">
        <v>-4.0242832905518835</v>
      </c>
      <c r="I12" s="658">
        <v>-0.251491491161695</v>
      </c>
    </row>
    <row r="13" spans="3:9" x14ac:dyDescent="0.25">
      <c r="C13" s="650" t="s">
        <v>1062</v>
      </c>
      <c r="D13" s="650" t="s">
        <v>1053</v>
      </c>
      <c r="E13" s="660">
        <v>-4.2757747817135785</v>
      </c>
      <c r="F13" s="661">
        <v>-4.2757747817135785</v>
      </c>
      <c r="G13" s="662"/>
      <c r="H13" s="662"/>
      <c r="I13" s="662">
        <v>-4.2757747817135785</v>
      </c>
    </row>
    <row r="15" spans="3:9" x14ac:dyDescent="0.25">
      <c r="C15" s="593" t="s">
        <v>1054</v>
      </c>
      <c r="F15" s="593" t="s">
        <v>1055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H27"/>
  <sheetViews>
    <sheetView showGridLines="0" zoomScaleNormal="100" workbookViewId="0"/>
  </sheetViews>
  <sheetFormatPr defaultColWidth="9.140625" defaultRowHeight="13.5" x14ac:dyDescent="0.25"/>
  <cols>
    <col min="1" max="1" width="14.140625" style="88" bestFit="1" customWidth="1"/>
    <col min="2" max="2" width="50.140625" style="88" customWidth="1"/>
    <col min="3" max="16384" width="9.140625" style="88"/>
  </cols>
  <sheetData>
    <row r="1" spans="1:8" ht="15" x14ac:dyDescent="0.25">
      <c r="A1" s="1"/>
    </row>
    <row r="2" spans="1:8" x14ac:dyDescent="0.25">
      <c r="B2" s="263"/>
    </row>
    <row r="3" spans="1:8" x14ac:dyDescent="0.25">
      <c r="B3" s="263"/>
    </row>
    <row r="4" spans="1:8" ht="14.25" thickBot="1" x14ac:dyDescent="0.3">
      <c r="B4" s="850" t="s">
        <v>608</v>
      </c>
      <c r="C4" s="850"/>
    </row>
    <row r="5" spans="1:8" ht="14.25" thickBot="1" x14ac:dyDescent="0.3">
      <c r="B5" s="440"/>
      <c r="C5" s="592" t="s">
        <v>989</v>
      </c>
      <c r="D5" s="592" t="s">
        <v>798</v>
      </c>
      <c r="E5" s="592" t="s">
        <v>990</v>
      </c>
      <c r="F5" s="592" t="s">
        <v>319</v>
      </c>
      <c r="G5" s="592" t="s">
        <v>609</v>
      </c>
      <c r="H5" s="592" t="s">
        <v>800</v>
      </c>
    </row>
    <row r="6" spans="1:8" ht="16.5" customHeight="1" x14ac:dyDescent="0.25">
      <c r="B6" s="82" t="s">
        <v>991</v>
      </c>
      <c r="C6" s="3" t="s">
        <v>992</v>
      </c>
      <c r="D6" s="3" t="s">
        <v>993</v>
      </c>
      <c r="E6" s="3">
        <v>-7.9</v>
      </c>
      <c r="F6" s="3">
        <v>-4.9000000000000004</v>
      </c>
      <c r="G6" s="3">
        <v>-2.7</v>
      </c>
      <c r="H6" s="3" t="s">
        <v>994</v>
      </c>
    </row>
    <row r="7" spans="1:8" ht="16.5" customHeight="1" x14ac:dyDescent="0.25">
      <c r="B7" s="33" t="s">
        <v>152</v>
      </c>
      <c r="C7" s="591">
        <v>0.7</v>
      </c>
      <c r="D7" s="591">
        <v>-1.4</v>
      </c>
      <c r="E7" s="591">
        <v>-0.7</v>
      </c>
      <c r="F7" s="591">
        <v>-0.1</v>
      </c>
      <c r="G7" s="591">
        <v>0.4</v>
      </c>
      <c r="H7" s="591">
        <v>-0.5</v>
      </c>
    </row>
    <row r="8" spans="1:8" ht="16.5" customHeight="1" x14ac:dyDescent="0.25">
      <c r="B8" s="33" t="s">
        <v>995</v>
      </c>
      <c r="C8" s="591">
        <v>0</v>
      </c>
      <c r="D8" s="591">
        <v>-1.7</v>
      </c>
      <c r="E8" s="591">
        <v>-3</v>
      </c>
      <c r="F8" s="591">
        <v>-0.7</v>
      </c>
      <c r="G8" s="591">
        <v>0</v>
      </c>
      <c r="H8" s="591">
        <v>0</v>
      </c>
    </row>
    <row r="9" spans="1:8" ht="16.5" customHeight="1" thickBot="1" x14ac:dyDescent="0.3">
      <c r="B9" s="630" t="s">
        <v>4</v>
      </c>
      <c r="C9" s="631">
        <v>-2</v>
      </c>
      <c r="D9" s="631">
        <v>-2.4</v>
      </c>
      <c r="E9" s="631">
        <v>-4.3</v>
      </c>
      <c r="F9" s="631">
        <v>-4.0999999999999996</v>
      </c>
      <c r="G9" s="631">
        <v>-3.1</v>
      </c>
      <c r="H9" s="631" t="s">
        <v>996</v>
      </c>
    </row>
    <row r="10" spans="1:8" ht="16.5" customHeight="1" thickBot="1" x14ac:dyDescent="0.3">
      <c r="B10" s="630" t="s">
        <v>7</v>
      </c>
      <c r="C10" s="631">
        <v>-0.4</v>
      </c>
      <c r="D10" s="631">
        <v>-0.4</v>
      </c>
      <c r="E10" s="631">
        <v>-1.8</v>
      </c>
      <c r="F10" s="631">
        <v>0.2</v>
      </c>
      <c r="G10" s="631">
        <v>1</v>
      </c>
      <c r="H10" s="631" t="s">
        <v>997</v>
      </c>
    </row>
    <row r="11" spans="1:8" ht="16.5" customHeight="1" thickBot="1" x14ac:dyDescent="0.3">
      <c r="B11" s="632" t="s">
        <v>998</v>
      </c>
      <c r="C11" s="597"/>
      <c r="D11" s="597">
        <v>-4</v>
      </c>
      <c r="E11" s="597">
        <v>-7.1</v>
      </c>
      <c r="F11" s="597">
        <v>-4.8</v>
      </c>
      <c r="G11" s="597">
        <v>-3.1</v>
      </c>
      <c r="H11" s="597" t="s">
        <v>996</v>
      </c>
    </row>
    <row r="12" spans="1:8" ht="16.5" customHeight="1" thickBot="1" x14ac:dyDescent="0.3">
      <c r="B12" s="633" t="s">
        <v>999</v>
      </c>
      <c r="C12" s="634"/>
      <c r="D12" s="634"/>
      <c r="E12" s="634"/>
      <c r="F12" s="634"/>
      <c r="G12" s="635">
        <v>812</v>
      </c>
      <c r="H12" s="635" t="s">
        <v>1000</v>
      </c>
    </row>
    <row r="13" spans="1:8" ht="16.5" customHeight="1" x14ac:dyDescent="0.25">
      <c r="B13" s="852" t="s">
        <v>1001</v>
      </c>
      <c r="C13" s="852"/>
      <c r="D13" s="852"/>
      <c r="E13" s="852"/>
      <c r="F13" s="852"/>
      <c r="G13" s="852"/>
      <c r="H13" s="852"/>
    </row>
    <row r="14" spans="1:8" ht="24" customHeight="1" x14ac:dyDescent="0.25">
      <c r="B14" s="853" t="s">
        <v>1002</v>
      </c>
      <c r="C14" s="853"/>
      <c r="D14" s="853"/>
      <c r="E14" s="853"/>
      <c r="F14" s="853"/>
      <c r="G14" s="853"/>
      <c r="H14" s="853"/>
    </row>
    <row r="15" spans="1:8" ht="12" customHeight="1" x14ac:dyDescent="0.25">
      <c r="B15" s="854" t="s">
        <v>1003</v>
      </c>
      <c r="C15" s="854"/>
      <c r="D15" s="854"/>
      <c r="E15" s="854"/>
      <c r="F15" s="854"/>
      <c r="G15" s="854"/>
      <c r="H15" s="854"/>
    </row>
    <row r="16" spans="1:8" ht="12" customHeight="1" x14ac:dyDescent="0.25">
      <c r="B16" s="271"/>
    </row>
    <row r="17" spans="2:8" ht="24" customHeight="1" x14ac:dyDescent="0.25">
      <c r="B17" s="272"/>
      <c r="C17" s="851"/>
    </row>
    <row r="18" spans="2:8" ht="25.5" customHeight="1" x14ac:dyDescent="0.25">
      <c r="B18" s="273"/>
      <c r="C18" s="851"/>
    </row>
    <row r="19" spans="2:8" x14ac:dyDescent="0.25">
      <c r="B19" s="850" t="s">
        <v>614</v>
      </c>
      <c r="C19" s="850"/>
      <c r="D19" s="850"/>
      <c r="E19" s="850"/>
      <c r="F19" s="850"/>
    </row>
    <row r="20" spans="2:8" x14ac:dyDescent="0.25">
      <c r="B20" s="264"/>
      <c r="C20" s="265">
        <v>2019</v>
      </c>
      <c r="D20" s="265">
        <v>2020</v>
      </c>
      <c r="E20" s="265">
        <v>2021</v>
      </c>
      <c r="F20" s="265">
        <v>2022</v>
      </c>
      <c r="G20" s="265">
        <v>2023</v>
      </c>
      <c r="H20" s="265">
        <v>2024</v>
      </c>
    </row>
    <row r="21" spans="2:8" x14ac:dyDescent="0.25">
      <c r="B21" s="227" t="s">
        <v>612</v>
      </c>
      <c r="C21" s="266" t="str">
        <f t="shared" ref="C21:H25" si="0">C6</f>
        <v>-1,3***</v>
      </c>
      <c r="D21" s="266" t="str">
        <f t="shared" si="0"/>
        <v>-5,5***</v>
      </c>
      <c r="E21" s="266">
        <f t="shared" si="0"/>
        <v>-7.9</v>
      </c>
      <c r="F21" s="266">
        <f t="shared" si="0"/>
        <v>-4.9000000000000004</v>
      </c>
      <c r="G21" s="266">
        <f t="shared" si="0"/>
        <v>-2.7</v>
      </c>
      <c r="H21" s="266" t="str">
        <f t="shared" si="0"/>
        <v>-2,6 (0,0*)</v>
      </c>
    </row>
    <row r="22" spans="2:8" x14ac:dyDescent="0.25">
      <c r="B22" s="88" t="s">
        <v>398</v>
      </c>
      <c r="C22" s="267">
        <f t="shared" si="0"/>
        <v>0.7</v>
      </c>
      <c r="D22" s="267">
        <f t="shared" si="0"/>
        <v>-1.4</v>
      </c>
      <c r="E22" s="267">
        <f t="shared" si="0"/>
        <v>-0.7</v>
      </c>
      <c r="F22" s="267">
        <f t="shared" si="0"/>
        <v>-0.1</v>
      </c>
      <c r="G22" s="267">
        <f t="shared" si="0"/>
        <v>0.4</v>
      </c>
      <c r="H22" s="267">
        <f t="shared" si="0"/>
        <v>-0.5</v>
      </c>
    </row>
    <row r="23" spans="2:8" x14ac:dyDescent="0.25">
      <c r="B23" s="88" t="s">
        <v>399</v>
      </c>
      <c r="C23" s="267">
        <f t="shared" si="0"/>
        <v>0</v>
      </c>
      <c r="D23" s="267">
        <f t="shared" si="0"/>
        <v>-1.7</v>
      </c>
      <c r="E23" s="267">
        <f t="shared" si="0"/>
        <v>-3</v>
      </c>
      <c r="F23" s="267">
        <f t="shared" si="0"/>
        <v>-0.7</v>
      </c>
      <c r="G23" s="267">
        <f t="shared" si="0"/>
        <v>0</v>
      </c>
      <c r="H23" s="267">
        <f t="shared" si="0"/>
        <v>0</v>
      </c>
    </row>
    <row r="24" spans="2:8" x14ac:dyDescent="0.25">
      <c r="B24" s="227" t="s">
        <v>400</v>
      </c>
      <c r="C24" s="268">
        <f t="shared" si="0"/>
        <v>-2</v>
      </c>
      <c r="D24" s="268">
        <f t="shared" si="0"/>
        <v>-2.4</v>
      </c>
      <c r="E24" s="268">
        <f t="shared" si="0"/>
        <v>-4.3</v>
      </c>
      <c r="F24" s="268">
        <f t="shared" si="0"/>
        <v>-4.0999999999999996</v>
      </c>
      <c r="G24" s="268">
        <f t="shared" si="0"/>
        <v>-3.1</v>
      </c>
      <c r="H24" s="268" t="str">
        <f t="shared" si="0"/>
        <v>-2,1 (0,5*)</v>
      </c>
    </row>
    <row r="25" spans="2:8" x14ac:dyDescent="0.25">
      <c r="B25" s="269" t="s">
        <v>401</v>
      </c>
      <c r="C25" s="270">
        <f t="shared" si="0"/>
        <v>-0.4</v>
      </c>
      <c r="D25" s="270">
        <f t="shared" si="0"/>
        <v>-0.4</v>
      </c>
      <c r="E25" s="270">
        <f t="shared" si="0"/>
        <v>-1.8</v>
      </c>
      <c r="F25" s="270">
        <f t="shared" si="0"/>
        <v>0.2</v>
      </c>
      <c r="G25" s="270">
        <f t="shared" si="0"/>
        <v>1</v>
      </c>
      <c r="H25" s="270" t="str">
        <f t="shared" si="0"/>
        <v>1,0 (3,6*)</v>
      </c>
    </row>
    <row r="26" spans="2:8" ht="14.25" thickBot="1" x14ac:dyDescent="0.3">
      <c r="B26" s="14" t="s">
        <v>1004</v>
      </c>
      <c r="C26" s="274">
        <f t="shared" ref="C26:H26" si="1">C11</f>
        <v>0</v>
      </c>
      <c r="D26" s="274">
        <f t="shared" si="1"/>
        <v>-4</v>
      </c>
      <c r="E26" s="144">
        <f t="shared" si="1"/>
        <v>-7.1</v>
      </c>
      <c r="F26" s="144">
        <f t="shared" si="1"/>
        <v>-4.8</v>
      </c>
      <c r="G26" s="275">
        <f t="shared" si="1"/>
        <v>-3.1</v>
      </c>
      <c r="H26" s="275" t="str">
        <f t="shared" si="1"/>
        <v>-2,1 (0,5*)</v>
      </c>
    </row>
    <row r="27" spans="2:8" ht="14.25" thickBot="1" x14ac:dyDescent="0.3">
      <c r="B27" s="77" t="s">
        <v>613</v>
      </c>
      <c r="C27" s="17">
        <f t="shared" ref="C27:H27" si="2">C12</f>
        <v>0</v>
      </c>
      <c r="D27" s="17">
        <f t="shared" si="2"/>
        <v>0</v>
      </c>
      <c r="E27" s="17">
        <f t="shared" si="2"/>
        <v>0</v>
      </c>
      <c r="F27" s="17">
        <f t="shared" si="2"/>
        <v>0</v>
      </c>
      <c r="G27" s="16">
        <f t="shared" si="2"/>
        <v>812</v>
      </c>
      <c r="H27" s="16" t="str">
        <f t="shared" si="2"/>
        <v>768 (3 815*)</v>
      </c>
    </row>
  </sheetData>
  <mergeCells count="6">
    <mergeCell ref="B4:C4"/>
    <mergeCell ref="C17:C18"/>
    <mergeCell ref="B19:F19"/>
    <mergeCell ref="B13:H13"/>
    <mergeCell ref="B14:H14"/>
    <mergeCell ref="B15:H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9"/>
  <sheetViews>
    <sheetView showGridLines="0" workbookViewId="0"/>
  </sheetViews>
  <sheetFormatPr defaultRowHeight="15" x14ac:dyDescent="0.25"/>
  <cols>
    <col min="3" max="3" width="29" bestFit="1" customWidth="1"/>
    <col min="4" max="4" width="25" customWidth="1"/>
  </cols>
  <sheetData>
    <row r="3" spans="2:9" ht="15.75" x14ac:dyDescent="0.25">
      <c r="C3" s="664"/>
      <c r="D3" s="664"/>
      <c r="E3" s="665" t="s">
        <v>798</v>
      </c>
      <c r="F3" s="665" t="s">
        <v>799</v>
      </c>
      <c r="G3" s="665">
        <v>2022</v>
      </c>
      <c r="H3" s="665">
        <v>2023</v>
      </c>
      <c r="I3" s="665">
        <v>2024</v>
      </c>
    </row>
    <row r="4" spans="2:9" ht="15.75" x14ac:dyDescent="0.25">
      <c r="C4" s="666" t="s">
        <v>1064</v>
      </c>
      <c r="D4" s="666" t="s">
        <v>1070</v>
      </c>
      <c r="E4" s="667">
        <v>-5.4972654915000234</v>
      </c>
      <c r="F4" s="667">
        <v>-7.92</v>
      </c>
      <c r="G4" s="667">
        <v>-4.9400000000000004</v>
      </c>
      <c r="H4" s="667">
        <v>-2.6760906917588114</v>
      </c>
      <c r="I4" s="667">
        <v>-2.5997988270923895</v>
      </c>
    </row>
    <row r="5" spans="2:9" ht="15.75" x14ac:dyDescent="0.25">
      <c r="C5" s="666" t="s">
        <v>1065</v>
      </c>
      <c r="D5" s="666" t="s">
        <v>1071</v>
      </c>
      <c r="E5" s="668">
        <v>-2.4356621546077144</v>
      </c>
      <c r="F5" s="668">
        <v>-4.2757747817135785</v>
      </c>
      <c r="G5" s="668">
        <v>-4.0771795915916851</v>
      </c>
      <c r="H5" s="668">
        <v>-3.0767713629137114</v>
      </c>
      <c r="I5" s="668">
        <v>-2.0767713629137114</v>
      </c>
    </row>
    <row r="6" spans="2:9" ht="15.75" x14ac:dyDescent="0.25">
      <c r="C6" s="666" t="s">
        <v>1066</v>
      </c>
      <c r="D6" s="666" t="s">
        <v>1072</v>
      </c>
      <c r="E6" s="667"/>
      <c r="F6" s="667"/>
      <c r="G6" s="667">
        <v>-4.9400000000000004</v>
      </c>
      <c r="H6" s="669">
        <v>-2.0969720963668261</v>
      </c>
      <c r="I6" s="669">
        <v>-2.2206802317004044</v>
      </c>
    </row>
    <row r="7" spans="2:9" ht="15.75" x14ac:dyDescent="0.25">
      <c r="C7" s="666" t="s">
        <v>1067</v>
      </c>
      <c r="D7" s="666" t="s">
        <v>1073</v>
      </c>
      <c r="E7" s="668"/>
      <c r="F7" s="668"/>
      <c r="G7" s="668">
        <v>-4.0976527675217262</v>
      </c>
      <c r="H7" s="669">
        <v>-2.4976527675217262</v>
      </c>
      <c r="I7" s="669">
        <v>-1.6976527675217263</v>
      </c>
    </row>
    <row r="8" spans="2:9" ht="15.75" x14ac:dyDescent="0.25">
      <c r="C8" s="666" t="s">
        <v>1068</v>
      </c>
      <c r="D8" s="666" t="s">
        <v>1074</v>
      </c>
      <c r="E8" s="667"/>
      <c r="F8" s="667"/>
      <c r="G8" s="667">
        <v>-4.9400000000000004</v>
      </c>
      <c r="H8" s="670">
        <v>-2.6760906917588114</v>
      </c>
      <c r="I8" s="669">
        <v>0</v>
      </c>
    </row>
    <row r="9" spans="2:9" ht="15.75" x14ac:dyDescent="0.25">
      <c r="C9" s="666" t="s">
        <v>1069</v>
      </c>
      <c r="D9" s="666" t="s">
        <v>1075</v>
      </c>
      <c r="E9" s="668"/>
      <c r="F9" s="668"/>
      <c r="G9" s="667">
        <v>-4.0771795915916851</v>
      </c>
      <c r="H9" s="669">
        <v>-3.0767713629137114</v>
      </c>
      <c r="I9" s="669">
        <v>0.52302746417867818</v>
      </c>
    </row>
    <row r="11" spans="2:9" x14ac:dyDescent="0.25">
      <c r="B11" s="671" t="s">
        <v>1076</v>
      </c>
      <c r="I11" s="671" t="s">
        <v>1077</v>
      </c>
    </row>
    <row r="29" spans="2:9" ht="16.5" x14ac:dyDescent="0.3">
      <c r="B29" s="751" t="s">
        <v>1079</v>
      </c>
      <c r="I29" s="751" t="s">
        <v>1078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1"/>
  <sheetViews>
    <sheetView showGridLines="0" zoomScale="85" zoomScaleNormal="85" workbookViewId="0">
      <selection activeCell="A39" sqref="A39"/>
    </sheetView>
  </sheetViews>
  <sheetFormatPr defaultColWidth="9.140625" defaultRowHeight="13.5" x14ac:dyDescent="0.25"/>
  <cols>
    <col min="1" max="1" width="26" style="88" customWidth="1"/>
    <col min="2" max="7" width="9.140625" style="88"/>
    <col min="8" max="8" width="11.140625" style="88" customWidth="1"/>
    <col min="9" max="18" width="9.140625" style="88"/>
    <col min="19" max="19" width="17.85546875" style="88" bestFit="1" customWidth="1"/>
    <col min="20" max="16384" width="9.140625" style="88"/>
  </cols>
  <sheetData>
    <row r="3" spans="1:13" x14ac:dyDescent="0.25">
      <c r="A3" s="752" t="s">
        <v>1286</v>
      </c>
      <c r="B3" s="90"/>
      <c r="C3" s="90"/>
      <c r="D3" s="90"/>
      <c r="E3" s="90"/>
      <c r="F3" s="90"/>
      <c r="G3" s="90"/>
      <c r="H3" s="94"/>
      <c r="I3" s="94"/>
      <c r="J3" s="94"/>
      <c r="K3" s="94"/>
      <c r="L3" s="94"/>
      <c r="M3" s="94"/>
    </row>
    <row r="23" spans="1:19" x14ac:dyDescent="0.25">
      <c r="B23" s="227"/>
      <c r="C23" s="227"/>
      <c r="D23" s="227"/>
      <c r="E23" s="227"/>
      <c r="F23" s="227"/>
      <c r="G23" s="227"/>
      <c r="H23" s="781" t="s">
        <v>2</v>
      </c>
      <c r="I23" s="227"/>
      <c r="J23" s="227"/>
      <c r="K23" s="227"/>
      <c r="L23" s="227"/>
      <c r="M23" s="227"/>
    </row>
    <row r="24" spans="1:19" x14ac:dyDescent="0.25">
      <c r="A24" s="90"/>
      <c r="B24" s="139">
        <v>2008</v>
      </c>
      <c r="C24" s="139">
        <v>2009</v>
      </c>
      <c r="D24" s="139">
        <v>2010</v>
      </c>
      <c r="E24" s="139">
        <v>2011</v>
      </c>
      <c r="F24" s="139">
        <v>2012</v>
      </c>
      <c r="G24" s="139">
        <v>2013</v>
      </c>
      <c r="H24" s="139">
        <v>2014</v>
      </c>
      <c r="I24" s="139">
        <v>2015</v>
      </c>
      <c r="J24" s="139">
        <v>2016</v>
      </c>
      <c r="K24" s="139">
        <v>2017</v>
      </c>
      <c r="L24" s="139">
        <v>2018</v>
      </c>
      <c r="M24" s="139">
        <v>2019</v>
      </c>
      <c r="N24" s="139">
        <v>2020</v>
      </c>
      <c r="O24" s="139">
        <v>2021</v>
      </c>
      <c r="P24" s="139">
        <v>2022</v>
      </c>
      <c r="Q24" s="139">
        <v>2023</v>
      </c>
      <c r="R24" s="139">
        <v>2024</v>
      </c>
    </row>
    <row r="25" spans="1:19" x14ac:dyDescent="0.25">
      <c r="A25" s="88" t="s">
        <v>368</v>
      </c>
      <c r="B25" s="249">
        <v>28.598844266178187</v>
      </c>
      <c r="C25" s="249">
        <v>36.360888192511553</v>
      </c>
      <c r="D25" s="249">
        <v>41.015691430321638</v>
      </c>
      <c r="E25" s="249">
        <v>43.502305229419441</v>
      </c>
      <c r="F25" s="249">
        <v>51.845561326410049</v>
      </c>
      <c r="G25" s="249">
        <v>54.794008379682587</v>
      </c>
      <c r="H25" s="249">
        <v>53.561788094018638</v>
      </c>
      <c r="I25" s="249">
        <v>51.923690653091235</v>
      </c>
      <c r="J25" s="249">
        <v>52.412725889252222</v>
      </c>
      <c r="K25" s="249">
        <v>51.599917885306233</v>
      </c>
      <c r="L25" s="249">
        <v>49.629580785317003</v>
      </c>
      <c r="M25" s="249">
        <v>48.142443340627871</v>
      </c>
      <c r="N25" s="249">
        <v>59.741737913534124</v>
      </c>
      <c r="O25" s="249">
        <v>61.538863309792049</v>
      </c>
      <c r="P25" s="249">
        <v>61.480978780764914</v>
      </c>
      <c r="Q25" s="249">
        <v>58.606269959583138</v>
      </c>
      <c r="R25" s="249">
        <v>58.688496979061455</v>
      </c>
      <c r="S25" s="88" t="s">
        <v>979</v>
      </c>
    </row>
    <row r="26" spans="1:19" x14ac:dyDescent="0.25">
      <c r="A26" s="88" t="s">
        <v>967</v>
      </c>
      <c r="B26" s="249">
        <v>22.198844266178185</v>
      </c>
      <c r="C26" s="249">
        <v>32.226589818236747</v>
      </c>
      <c r="D26" s="249">
        <v>37.357310514490159</v>
      </c>
      <c r="E26" s="249">
        <v>41.200523147099474</v>
      </c>
      <c r="F26" s="249">
        <v>45.400060982130192</v>
      </c>
      <c r="G26" s="249">
        <v>47.889145623261001</v>
      </c>
      <c r="H26" s="249">
        <v>49.588322764352675</v>
      </c>
      <c r="I26" s="249">
        <v>47.489162179917855</v>
      </c>
      <c r="J26" s="249">
        <v>47.056008180675356</v>
      </c>
      <c r="K26" s="249">
        <v>45.905535062080141</v>
      </c>
      <c r="L26" s="249">
        <v>43.603528640369625</v>
      </c>
      <c r="M26" s="249">
        <v>43.289922926936711</v>
      </c>
      <c r="N26" s="249">
        <v>49.667590157361516</v>
      </c>
      <c r="O26" s="249">
        <v>55.539639120867143</v>
      </c>
      <c r="P26" s="249">
        <v>56.266498444765055</v>
      </c>
      <c r="Q26" s="249">
        <v>54.855306549053758</v>
      </c>
      <c r="R26" s="249">
        <v>55.813826783905583</v>
      </c>
      <c r="S26" s="88" t="s">
        <v>423</v>
      </c>
    </row>
    <row r="27" spans="1:19" x14ac:dyDescent="0.25">
      <c r="A27" s="88" t="s">
        <v>293</v>
      </c>
      <c r="B27" s="249">
        <v>6.4000000000000021</v>
      </c>
      <c r="C27" s="249">
        <v>4.1342983742748061</v>
      </c>
      <c r="D27" s="249">
        <v>3.6583809158314793</v>
      </c>
      <c r="E27" s="249">
        <v>2.3017820823199671</v>
      </c>
      <c r="F27" s="249">
        <v>6.4455003442798571</v>
      </c>
      <c r="G27" s="249">
        <v>6.9048627564215863</v>
      </c>
      <c r="H27" s="249">
        <v>3.973465329665963</v>
      </c>
      <c r="I27" s="249">
        <v>4.4345284731733798</v>
      </c>
      <c r="J27" s="249">
        <v>5.3567177085768662</v>
      </c>
      <c r="K27" s="249">
        <v>5.6943828232260927</v>
      </c>
      <c r="L27" s="249">
        <v>6.0260521449473785</v>
      </c>
      <c r="M27" s="249">
        <v>4.8525204136911597</v>
      </c>
      <c r="N27" s="249">
        <v>10.074147756172607</v>
      </c>
      <c r="O27" s="249">
        <v>5.9992241889249058</v>
      </c>
      <c r="P27" s="249">
        <v>5.2144803359998591</v>
      </c>
      <c r="Q27" s="249">
        <v>3.7509634105293799</v>
      </c>
      <c r="R27" s="249">
        <v>2.874670195155872</v>
      </c>
      <c r="S27" s="88" t="s">
        <v>1283</v>
      </c>
    </row>
    <row r="28" spans="1:19" x14ac:dyDescent="0.25">
      <c r="A28" s="88" t="s">
        <v>1282</v>
      </c>
      <c r="B28" s="249">
        <v>60</v>
      </c>
      <c r="C28" s="249">
        <v>60</v>
      </c>
      <c r="D28" s="249">
        <v>60</v>
      </c>
      <c r="E28" s="249">
        <v>60</v>
      </c>
      <c r="F28" s="249">
        <v>60</v>
      </c>
      <c r="G28" s="249">
        <v>60</v>
      </c>
      <c r="H28" s="249">
        <v>60</v>
      </c>
      <c r="I28" s="249">
        <v>60</v>
      </c>
      <c r="J28" s="249">
        <v>60</v>
      </c>
      <c r="K28" s="249">
        <v>60</v>
      </c>
      <c r="L28" s="249">
        <v>60</v>
      </c>
      <c r="M28" s="249">
        <v>60</v>
      </c>
      <c r="N28" s="249">
        <v>60</v>
      </c>
      <c r="O28" s="249">
        <v>60</v>
      </c>
      <c r="P28" s="249">
        <v>60</v>
      </c>
      <c r="Q28" s="249">
        <v>60</v>
      </c>
      <c r="R28" s="249">
        <v>60</v>
      </c>
      <c r="S28" s="88" t="s">
        <v>1284</v>
      </c>
    </row>
    <row r="29" spans="1:19" x14ac:dyDescent="0.25">
      <c r="A29" s="88" t="s">
        <v>968</v>
      </c>
      <c r="F29" s="249">
        <f>G29</f>
        <v>60</v>
      </c>
      <c r="G29" s="249">
        <f t="shared" ref="F29:J33" si="0">H29</f>
        <v>60</v>
      </c>
      <c r="H29" s="249">
        <f t="shared" si="0"/>
        <v>60</v>
      </c>
      <c r="I29" s="249">
        <f t="shared" si="0"/>
        <v>60</v>
      </c>
      <c r="J29" s="249">
        <f>K29</f>
        <v>60</v>
      </c>
      <c r="K29" s="249">
        <f>L29+1</f>
        <v>60</v>
      </c>
      <c r="L29" s="249">
        <f>M29+1</f>
        <v>59</v>
      </c>
      <c r="M29" s="249">
        <v>58</v>
      </c>
      <c r="N29" s="249">
        <f>M29-1</f>
        <v>57</v>
      </c>
      <c r="O29" s="249">
        <f t="shared" ref="O29:R29" si="1">N29-1</f>
        <v>56</v>
      </c>
      <c r="P29" s="249">
        <f t="shared" si="1"/>
        <v>55</v>
      </c>
      <c r="Q29" s="249">
        <f t="shared" si="1"/>
        <v>54</v>
      </c>
      <c r="R29" s="249">
        <f t="shared" si="1"/>
        <v>53</v>
      </c>
      <c r="S29" s="88" t="s">
        <v>1285</v>
      </c>
    </row>
    <row r="30" spans="1:19" x14ac:dyDescent="0.25">
      <c r="A30" s="88" t="s">
        <v>968</v>
      </c>
      <c r="F30" s="249">
        <f t="shared" si="0"/>
        <v>57</v>
      </c>
      <c r="G30" s="249">
        <f t="shared" si="0"/>
        <v>57</v>
      </c>
      <c r="H30" s="249">
        <f t="shared" si="0"/>
        <v>57</v>
      </c>
      <c r="I30" s="249">
        <f t="shared" si="0"/>
        <v>57</v>
      </c>
      <c r="J30" s="249">
        <f t="shared" si="0"/>
        <v>57</v>
      </c>
      <c r="K30" s="249">
        <f t="shared" ref="K30:L33" si="2">L30+1</f>
        <v>57</v>
      </c>
      <c r="L30" s="249">
        <f t="shared" si="2"/>
        <v>56</v>
      </c>
      <c r="M30" s="249">
        <v>55</v>
      </c>
      <c r="N30" s="249">
        <f t="shared" ref="N30:R33" si="3">M30-1</f>
        <v>54</v>
      </c>
      <c r="O30" s="249">
        <f t="shared" si="3"/>
        <v>53</v>
      </c>
      <c r="P30" s="249">
        <f t="shared" si="3"/>
        <v>52</v>
      </c>
      <c r="Q30" s="249">
        <f t="shared" si="3"/>
        <v>51</v>
      </c>
      <c r="R30" s="249">
        <f t="shared" si="3"/>
        <v>50</v>
      </c>
      <c r="S30" s="88" t="s">
        <v>1285</v>
      </c>
    </row>
    <row r="31" spans="1:19" x14ac:dyDescent="0.25">
      <c r="A31" s="88" t="s">
        <v>968</v>
      </c>
      <c r="F31" s="249">
        <f t="shared" si="0"/>
        <v>55</v>
      </c>
      <c r="G31" s="249">
        <f t="shared" si="0"/>
        <v>55</v>
      </c>
      <c r="H31" s="249">
        <f t="shared" si="0"/>
        <v>55</v>
      </c>
      <c r="I31" s="249">
        <f t="shared" si="0"/>
        <v>55</v>
      </c>
      <c r="J31" s="249">
        <f t="shared" si="0"/>
        <v>55</v>
      </c>
      <c r="K31" s="249">
        <f t="shared" si="2"/>
        <v>55</v>
      </c>
      <c r="L31" s="249">
        <f t="shared" si="2"/>
        <v>54</v>
      </c>
      <c r="M31" s="249">
        <v>53</v>
      </c>
      <c r="N31" s="249">
        <f t="shared" si="3"/>
        <v>52</v>
      </c>
      <c r="O31" s="249">
        <f t="shared" si="3"/>
        <v>51</v>
      </c>
      <c r="P31" s="249">
        <f t="shared" si="3"/>
        <v>50</v>
      </c>
      <c r="Q31" s="249">
        <f t="shared" si="3"/>
        <v>49</v>
      </c>
      <c r="R31" s="249">
        <f t="shared" si="3"/>
        <v>48</v>
      </c>
      <c r="S31" s="88" t="s">
        <v>1285</v>
      </c>
    </row>
    <row r="32" spans="1:19" x14ac:dyDescent="0.25">
      <c r="A32" s="88" t="s">
        <v>968</v>
      </c>
      <c r="F32" s="249">
        <f t="shared" si="0"/>
        <v>53</v>
      </c>
      <c r="G32" s="249">
        <f t="shared" si="0"/>
        <v>53</v>
      </c>
      <c r="H32" s="249">
        <f t="shared" si="0"/>
        <v>53</v>
      </c>
      <c r="I32" s="249">
        <f t="shared" si="0"/>
        <v>53</v>
      </c>
      <c r="J32" s="249">
        <f t="shared" si="0"/>
        <v>53</v>
      </c>
      <c r="K32" s="249">
        <f t="shared" si="2"/>
        <v>53</v>
      </c>
      <c r="L32" s="249">
        <f t="shared" si="2"/>
        <v>52</v>
      </c>
      <c r="M32" s="249">
        <v>51</v>
      </c>
      <c r="N32" s="249">
        <f t="shared" si="3"/>
        <v>50</v>
      </c>
      <c r="O32" s="249">
        <f t="shared" si="3"/>
        <v>49</v>
      </c>
      <c r="P32" s="249">
        <f t="shared" si="3"/>
        <v>48</v>
      </c>
      <c r="Q32" s="249">
        <f t="shared" si="3"/>
        <v>47</v>
      </c>
      <c r="R32" s="249">
        <f t="shared" si="3"/>
        <v>46</v>
      </c>
      <c r="S32" s="88" t="s">
        <v>1285</v>
      </c>
    </row>
    <row r="33" spans="1:19" x14ac:dyDescent="0.25">
      <c r="A33" s="88" t="s">
        <v>968</v>
      </c>
      <c r="F33" s="249">
        <f t="shared" si="0"/>
        <v>50</v>
      </c>
      <c r="G33" s="249">
        <f t="shared" si="0"/>
        <v>50</v>
      </c>
      <c r="H33" s="249">
        <f t="shared" si="0"/>
        <v>50</v>
      </c>
      <c r="I33" s="249">
        <f t="shared" si="0"/>
        <v>50</v>
      </c>
      <c r="J33" s="249">
        <f t="shared" si="0"/>
        <v>50</v>
      </c>
      <c r="K33" s="249">
        <f t="shared" si="2"/>
        <v>50</v>
      </c>
      <c r="L33" s="249">
        <f t="shared" si="2"/>
        <v>49</v>
      </c>
      <c r="M33" s="249">
        <v>48</v>
      </c>
      <c r="N33" s="249">
        <f t="shared" si="3"/>
        <v>47</v>
      </c>
      <c r="O33" s="249">
        <f t="shared" si="3"/>
        <v>46</v>
      </c>
      <c r="P33" s="249">
        <f t="shared" si="3"/>
        <v>45</v>
      </c>
      <c r="Q33" s="249">
        <f t="shared" si="3"/>
        <v>44</v>
      </c>
      <c r="R33" s="249">
        <f t="shared" si="3"/>
        <v>43</v>
      </c>
      <c r="S33" s="88" t="s">
        <v>1285</v>
      </c>
    </row>
    <row r="39" spans="1:19" x14ac:dyDescent="0.25">
      <c r="A39" s="752" t="s">
        <v>1287</v>
      </c>
      <c r="B39" s="90"/>
      <c r="C39" s="90"/>
      <c r="D39" s="90"/>
      <c r="E39" s="90"/>
      <c r="F39" s="90"/>
      <c r="G39" s="90"/>
      <c r="H39" s="94"/>
      <c r="I39" s="94"/>
      <c r="J39" s="94"/>
      <c r="K39" s="94"/>
      <c r="L39" s="94"/>
      <c r="M39" s="94"/>
    </row>
    <row r="61" spans="8:8" x14ac:dyDescent="0.25">
      <c r="H61" s="781" t="s">
        <v>474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showGridLines="0" workbookViewId="0">
      <selection activeCell="A12" sqref="A12"/>
    </sheetView>
  </sheetViews>
  <sheetFormatPr defaultRowHeight="15" x14ac:dyDescent="0.25"/>
  <cols>
    <col min="1" max="1" width="34.85546875" bestFit="1" customWidth="1"/>
    <col min="10" max="10" width="11.42578125" customWidth="1"/>
    <col min="23" max="23" width="10.85546875" customWidth="1"/>
  </cols>
  <sheetData>
    <row r="1" spans="1:12" x14ac:dyDescent="0.25">
      <c r="A1" s="761"/>
    </row>
    <row r="2" spans="1:12" x14ac:dyDescent="0.25">
      <c r="B2" s="760">
        <v>2020</v>
      </c>
      <c r="C2" s="760">
        <v>2021</v>
      </c>
      <c r="D2" s="760">
        <v>2022</v>
      </c>
      <c r="E2" s="760">
        <v>2023</v>
      </c>
      <c r="F2" s="760">
        <v>2024</v>
      </c>
    </row>
    <row r="3" spans="1:12" x14ac:dyDescent="0.25">
      <c r="A3" s="753" t="s">
        <v>1288</v>
      </c>
      <c r="B3" s="754">
        <v>11.599294572906253</v>
      </c>
      <c r="C3" s="754">
        <v>1.7971253962579254</v>
      </c>
      <c r="D3" s="754">
        <v>-5.788452902713459E-2</v>
      </c>
      <c r="E3" s="754">
        <v>-2.8747088211817768</v>
      </c>
      <c r="F3" s="754">
        <v>8.2227019478317231E-2</v>
      </c>
      <c r="G3" s="227" t="s">
        <v>1291</v>
      </c>
    </row>
    <row r="4" spans="1:12" x14ac:dyDescent="0.25">
      <c r="A4" s="753" t="s">
        <v>106</v>
      </c>
      <c r="B4" s="755"/>
      <c r="C4" s="755"/>
      <c r="D4" s="755"/>
      <c r="E4" s="755"/>
      <c r="F4" s="755"/>
    </row>
    <row r="5" spans="1:12" x14ac:dyDescent="0.25">
      <c r="A5" s="758" t="s">
        <v>107</v>
      </c>
      <c r="B5" s="757">
        <v>4.8911365516833509</v>
      </c>
      <c r="C5" s="757">
        <v>6.9718196682844278</v>
      </c>
      <c r="D5" s="757">
        <v>4.0699079542677721</v>
      </c>
      <c r="E5" s="757">
        <v>2.2518533473552758</v>
      </c>
      <c r="F5" s="757">
        <v>2.0791681509323481</v>
      </c>
      <c r="G5" s="88" t="s">
        <v>421</v>
      </c>
    </row>
    <row r="6" spans="1:12" x14ac:dyDescent="0.25">
      <c r="A6" s="758" t="s">
        <v>108</v>
      </c>
      <c r="B6" s="757">
        <v>1.2001009608537985</v>
      </c>
      <c r="C6" s="757">
        <v>0.94907497748297243</v>
      </c>
      <c r="D6" s="757">
        <v>0.8700924106743273</v>
      </c>
      <c r="E6" s="757">
        <v>0.78467406755204694</v>
      </c>
      <c r="F6" s="757">
        <v>0.84860709602114692</v>
      </c>
      <c r="G6" s="88" t="s">
        <v>1292</v>
      </c>
    </row>
    <row r="7" spans="1:12" x14ac:dyDescent="0.25">
      <c r="A7" s="759" t="s">
        <v>109</v>
      </c>
      <c r="B7" s="756">
        <v>2.2489204732087344</v>
      </c>
      <c r="C7" s="756">
        <v>-2.158220743057079</v>
      </c>
      <c r="D7" s="756">
        <v>-2.5773640841051439</v>
      </c>
      <c r="E7" s="756">
        <v>-3.0035985438948316</v>
      </c>
      <c r="F7" s="756">
        <v>-0.42418007915058337</v>
      </c>
      <c r="G7" s="88" t="s">
        <v>422</v>
      </c>
    </row>
    <row r="8" spans="1:12" x14ac:dyDescent="0.25">
      <c r="A8" s="759" t="s">
        <v>110</v>
      </c>
      <c r="B8" s="757">
        <v>-1.219569381490373</v>
      </c>
      <c r="C8" s="757">
        <v>-1.1283000135534329</v>
      </c>
      <c r="D8" s="757">
        <v>-2.1434088438819807</v>
      </c>
      <c r="E8" s="757">
        <v>-1.5061416159572012</v>
      </c>
      <c r="F8" s="757">
        <v>-1.2268316532988308</v>
      </c>
      <c r="G8" s="88" t="s">
        <v>1295</v>
      </c>
    </row>
    <row r="9" spans="1:12" x14ac:dyDescent="0.25">
      <c r="A9" s="759" t="s">
        <v>1289</v>
      </c>
      <c r="B9" s="757">
        <v>5.1536984123882936</v>
      </c>
      <c r="C9" s="757">
        <v>-3.5207231562428913</v>
      </c>
      <c r="D9" s="757">
        <v>-0.32453101153030234</v>
      </c>
      <c r="E9" s="757">
        <v>-1.0810254321604473</v>
      </c>
      <c r="F9" s="757">
        <v>-0.77062389700461098</v>
      </c>
      <c r="G9" s="88" t="s">
        <v>1294</v>
      </c>
    </row>
    <row r="10" spans="1:12" x14ac:dyDescent="0.25">
      <c r="A10" s="759" t="s">
        <v>1290</v>
      </c>
      <c r="B10" s="757">
        <v>-0.67499244373755207</v>
      </c>
      <c r="C10" s="757">
        <v>0.68347466334392859</v>
      </c>
      <c r="D10" s="757">
        <v>4.7419045548193262E-2</v>
      </c>
      <c r="E10" s="757">
        <v>-0.3204706440766194</v>
      </c>
      <c r="F10" s="757">
        <v>-0.42391259802115255</v>
      </c>
      <c r="G10" s="88" t="s">
        <v>1293</v>
      </c>
    </row>
    <row r="12" spans="1:12" x14ac:dyDescent="0.25">
      <c r="A12" s="761" t="s">
        <v>1296</v>
      </c>
      <c r="L12" s="752" t="s">
        <v>1297</v>
      </c>
    </row>
    <row r="35" spans="10:23" x14ac:dyDescent="0.25">
      <c r="J35" s="781" t="s">
        <v>2</v>
      </c>
      <c r="W35" s="781" t="s">
        <v>474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AC110"/>
  <sheetViews>
    <sheetView showGridLines="0" zoomScaleNormal="100" workbookViewId="0">
      <pane xSplit="2" ySplit="5" topLeftCell="P6" activePane="bottomRight" state="frozen"/>
      <selection pane="topRight" activeCell="E1" sqref="E1"/>
      <selection pane="bottomLeft" activeCell="A6" sqref="A6"/>
      <selection pane="bottomRight" activeCell="AA22" sqref="AA22"/>
    </sheetView>
  </sheetViews>
  <sheetFormatPr defaultColWidth="9.140625" defaultRowHeight="13.5" x14ac:dyDescent="0.25"/>
  <cols>
    <col min="1" max="1" width="46.85546875" style="147" bestFit="1" customWidth="1"/>
    <col min="2" max="2" width="23.85546875" style="146" customWidth="1"/>
    <col min="3" max="3" width="10.140625" style="147" customWidth="1"/>
    <col min="4" max="6" width="10" style="147" customWidth="1"/>
    <col min="7" max="9" width="10.140625" style="147" customWidth="1"/>
    <col min="10" max="10" width="10.5703125" style="147" bestFit="1" customWidth="1"/>
    <col min="11" max="11" width="10.85546875" style="147" customWidth="1"/>
    <col min="12" max="12" width="10.5703125" style="147" bestFit="1" customWidth="1"/>
    <col min="13" max="13" width="10.5703125" style="147" customWidth="1"/>
    <col min="14" max="14" width="10.42578125" style="147" customWidth="1"/>
    <col min="15" max="17" width="10.85546875" style="147" bestFit="1" customWidth="1"/>
    <col min="18" max="19" width="10.85546875" style="147" customWidth="1"/>
    <col min="20" max="20" width="19.140625" style="147" customWidth="1"/>
    <col min="21" max="23" width="10.85546875" style="147" bestFit="1" customWidth="1"/>
    <col min="24" max="24" width="4.42578125" style="147" bestFit="1" customWidth="1"/>
    <col min="25" max="25" width="5.85546875" style="147" bestFit="1" customWidth="1"/>
    <col min="26" max="26" width="7" style="147" bestFit="1" customWidth="1"/>
    <col min="27" max="29" width="6.140625" style="147" bestFit="1" customWidth="1"/>
    <col min="30" max="16384" width="9.140625" style="147"/>
  </cols>
  <sheetData>
    <row r="1" spans="1:29" ht="15.75" customHeight="1" x14ac:dyDescent="0.25">
      <c r="A1" s="1"/>
    </row>
    <row r="2" spans="1:29" ht="15.75" customHeight="1" x14ac:dyDescent="0.25">
      <c r="I2" s="148"/>
      <c r="U2" s="149"/>
    </row>
    <row r="3" spans="1:29" ht="16.5" customHeight="1" x14ac:dyDescent="0.25">
      <c r="A3" s="150" t="s">
        <v>166</v>
      </c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53"/>
      <c r="U3" s="152"/>
      <c r="V3" s="152"/>
      <c r="W3" s="152"/>
      <c r="Z3" s="149"/>
    </row>
    <row r="4" spans="1:29" ht="16.5" customHeight="1" x14ac:dyDescent="0.25">
      <c r="A4" s="154"/>
      <c r="B4" s="802" t="s">
        <v>167</v>
      </c>
      <c r="C4" s="155">
        <v>2008</v>
      </c>
      <c r="D4" s="155">
        <v>2009</v>
      </c>
      <c r="E4" s="155">
        <v>2010</v>
      </c>
      <c r="F4" s="156">
        <v>2011</v>
      </c>
      <c r="G4" s="157">
        <v>2012</v>
      </c>
      <c r="H4" s="157">
        <v>2013</v>
      </c>
      <c r="I4" s="157">
        <v>2014</v>
      </c>
      <c r="J4" s="157">
        <v>2015</v>
      </c>
      <c r="K4" s="157">
        <v>2016</v>
      </c>
      <c r="L4" s="157">
        <v>2017</v>
      </c>
      <c r="M4" s="157">
        <v>2018</v>
      </c>
      <c r="N4" s="157">
        <v>2019</v>
      </c>
      <c r="O4" s="157">
        <v>2020</v>
      </c>
      <c r="P4" s="157">
        <v>2021</v>
      </c>
      <c r="Q4" s="157">
        <v>2022</v>
      </c>
      <c r="R4" s="157">
        <v>2023</v>
      </c>
      <c r="S4" s="157">
        <v>2024</v>
      </c>
      <c r="U4" s="157" t="s">
        <v>324</v>
      </c>
      <c r="V4" s="157" t="s">
        <v>580</v>
      </c>
      <c r="W4" s="157" t="s">
        <v>801</v>
      </c>
    </row>
    <row r="5" spans="1:29" x14ac:dyDescent="0.25">
      <c r="A5" s="158"/>
      <c r="B5" s="803"/>
      <c r="C5" s="159" t="s">
        <v>168</v>
      </c>
      <c r="D5" s="159" t="s">
        <v>168</v>
      </c>
      <c r="E5" s="159" t="s">
        <v>168</v>
      </c>
      <c r="F5" s="160" t="s">
        <v>168</v>
      </c>
      <c r="G5" s="160" t="s">
        <v>168</v>
      </c>
      <c r="H5" s="160" t="s">
        <v>168</v>
      </c>
      <c r="I5" s="160" t="s">
        <v>169</v>
      </c>
      <c r="J5" s="160" t="s">
        <v>169</v>
      </c>
      <c r="K5" s="160" t="s">
        <v>169</v>
      </c>
      <c r="L5" s="160" t="s">
        <v>168</v>
      </c>
      <c r="M5" s="160" t="s">
        <v>168</v>
      </c>
      <c r="N5" s="160" t="s">
        <v>168</v>
      </c>
      <c r="O5" s="160" t="s">
        <v>168</v>
      </c>
      <c r="P5" s="160" t="s">
        <v>170</v>
      </c>
      <c r="Q5" s="160" t="s">
        <v>171</v>
      </c>
      <c r="R5" s="160" t="s">
        <v>171</v>
      </c>
      <c r="S5" s="160" t="s">
        <v>171</v>
      </c>
      <c r="U5" s="160"/>
      <c r="V5" s="160"/>
      <c r="W5" s="160"/>
    </row>
    <row r="6" spans="1:29" ht="16.5" customHeight="1" x14ac:dyDescent="0.25">
      <c r="A6" s="161" t="s">
        <v>30</v>
      </c>
      <c r="B6" s="162" t="s">
        <v>172</v>
      </c>
      <c r="C6" s="163">
        <f t="shared" ref="C6:L6" si="0">C8+C28+C33+C40</f>
        <v>22095.989999999998</v>
      </c>
      <c r="D6" s="163">
        <f t="shared" si="0"/>
        <v>21511.205999999998</v>
      </c>
      <c r="E6" s="163">
        <f t="shared" si="0"/>
        <v>22162.225999999999</v>
      </c>
      <c r="F6" s="163">
        <f t="shared" si="0"/>
        <v>24467.425000000003</v>
      </c>
      <c r="G6" s="163">
        <f t="shared" si="0"/>
        <v>24934.161</v>
      </c>
      <c r="H6" s="163">
        <f t="shared" si="0"/>
        <v>27253.294999999998</v>
      </c>
      <c r="I6" s="163">
        <f t="shared" si="0"/>
        <v>30571.504000000004</v>
      </c>
      <c r="J6" s="163">
        <f t="shared" si="0"/>
        <v>35400.129273999999</v>
      </c>
      <c r="K6" s="163">
        <f t="shared" si="0"/>
        <v>32482.753000000001</v>
      </c>
      <c r="L6" s="163">
        <f t="shared" si="0"/>
        <v>34073.978999999999</v>
      </c>
      <c r="M6" s="163">
        <v>36569.629000000001</v>
      </c>
      <c r="N6" s="163">
        <f>N8+N28+N33+N40+N45</f>
        <v>38720.108000000007</v>
      </c>
      <c r="O6" s="163">
        <f>O8+O28+O33+O40+O45</f>
        <v>38753.789000000004</v>
      </c>
      <c r="P6" s="163">
        <v>40812.57</v>
      </c>
      <c r="Q6" s="163">
        <v>44173.905999999995</v>
      </c>
      <c r="R6" s="163">
        <v>47690.481</v>
      </c>
      <c r="S6" s="526">
        <v>47675.620299999995</v>
      </c>
      <c r="U6" s="163">
        <f>U8+U28+U33+U40+U45</f>
        <v>44171.729999999996</v>
      </c>
      <c r="V6" s="163">
        <f>V8+V28+V33+V40+V45</f>
        <v>47688.305</v>
      </c>
      <c r="W6" s="163">
        <f>W8+W28+W33+W40+W45</f>
        <v>47673.444299999996</v>
      </c>
    </row>
    <row r="7" spans="1:29" ht="16.5" customHeight="1" x14ac:dyDescent="0.25">
      <c r="A7" s="164" t="s">
        <v>3</v>
      </c>
      <c r="B7" s="165"/>
      <c r="C7" s="166">
        <f t="shared" ref="C7:O7" si="1">C6/C95</f>
        <v>0.32214343162862674</v>
      </c>
      <c r="D7" s="166">
        <f t="shared" si="1"/>
        <v>0.33561169853387096</v>
      </c>
      <c r="E7" s="166">
        <f t="shared" si="1"/>
        <v>0.32547013227387189</v>
      </c>
      <c r="F7" s="166">
        <f t="shared" si="1"/>
        <v>0.34357418536790896</v>
      </c>
      <c r="G7" s="166">
        <f t="shared" si="1"/>
        <v>0.33931497194035437</v>
      </c>
      <c r="H7" s="166">
        <f t="shared" si="1"/>
        <v>0.3665301837425658</v>
      </c>
      <c r="I7" s="166">
        <f t="shared" si="1"/>
        <v>0.4009069677219283</v>
      </c>
      <c r="J7" s="166">
        <f t="shared" si="1"/>
        <v>0.44384314292055593</v>
      </c>
      <c r="K7" s="166">
        <f t="shared" si="1"/>
        <v>0.40083172196719286</v>
      </c>
      <c r="L7" s="166">
        <f t="shared" si="1"/>
        <v>0.40351519337957087</v>
      </c>
      <c r="M7" s="166">
        <f t="shared" si="1"/>
        <v>0.40891891275979281</v>
      </c>
      <c r="N7" s="166">
        <f t="shared" si="1"/>
        <v>0.41170566533805136</v>
      </c>
      <c r="O7" s="166">
        <f t="shared" si="1"/>
        <v>0.42087427664079774</v>
      </c>
      <c r="P7" s="166">
        <v>41.884986922413432</v>
      </c>
      <c r="Q7" s="166">
        <v>41.85693344749528</v>
      </c>
      <c r="R7" s="166">
        <v>41.874361272066167</v>
      </c>
      <c r="S7" s="527">
        <v>40.682027818465194</v>
      </c>
      <c r="U7" s="166">
        <v>41.539084492712249</v>
      </c>
      <c r="V7" s="166">
        <v>41.69546920077665</v>
      </c>
      <c r="W7" s="166">
        <v>40.494141508263702</v>
      </c>
    </row>
    <row r="8" spans="1:29" s="170" customFormat="1" ht="16.5" customHeight="1" x14ac:dyDescent="0.25">
      <c r="A8" s="167" t="s">
        <v>173</v>
      </c>
      <c r="B8" s="168" t="s">
        <v>175</v>
      </c>
      <c r="C8" s="169">
        <f t="shared" ref="C8:J8" si="2">C9+C18+C27</f>
        <v>11723.415000000001</v>
      </c>
      <c r="D8" s="169">
        <f t="shared" si="2"/>
        <v>10404.861000000001</v>
      </c>
      <c r="E8" s="169">
        <f t="shared" si="2"/>
        <v>10778.236000000001</v>
      </c>
      <c r="F8" s="169">
        <f t="shared" si="2"/>
        <v>11946.500000000002</v>
      </c>
      <c r="G8" s="169">
        <f t="shared" si="2"/>
        <v>11933.864</v>
      </c>
      <c r="H8" s="169">
        <f t="shared" si="2"/>
        <v>12972.047</v>
      </c>
      <c r="I8" s="169">
        <f t="shared" si="2"/>
        <v>13858.657000000003</v>
      </c>
      <c r="J8" s="169">
        <f t="shared" si="2"/>
        <v>16027.839274000002</v>
      </c>
      <c r="K8" s="169">
        <v>15121.564</v>
      </c>
      <c r="L8" s="169">
        <v>16152.277999999998</v>
      </c>
      <c r="M8" s="169">
        <v>17099.492999999999</v>
      </c>
      <c r="N8" s="169">
        <v>18057.775000000001</v>
      </c>
      <c r="O8" s="169">
        <v>17803.662</v>
      </c>
      <c r="P8" s="169">
        <v>18906.165999999997</v>
      </c>
      <c r="Q8" s="169">
        <v>20289.313999999998</v>
      </c>
      <c r="R8" s="169">
        <v>21854.249000000003</v>
      </c>
      <c r="S8" s="528">
        <v>22340.915999999997</v>
      </c>
      <c r="U8" s="169">
        <v>20287.137999999999</v>
      </c>
      <c r="V8" s="169">
        <v>21852.073000000004</v>
      </c>
      <c r="W8" s="169">
        <v>22338.739999999998</v>
      </c>
    </row>
    <row r="9" spans="1:29" s="175" customFormat="1" ht="16.5" customHeight="1" x14ac:dyDescent="0.25">
      <c r="A9" s="171" t="s">
        <v>176</v>
      </c>
      <c r="B9" s="172" t="s">
        <v>177</v>
      </c>
      <c r="C9" s="173">
        <f>7078.889-7078.889+7186.13</f>
        <v>7186.13</v>
      </c>
      <c r="D9" s="173">
        <f>6630.007-6630.007+6734.898</f>
        <v>6734.8980000000001</v>
      </c>
      <c r="E9" s="173">
        <f>6779.116-6779.116+7037.871</f>
        <v>7037.8710000000001</v>
      </c>
      <c r="F9" s="173">
        <f>7377.566-7377.566+7967.341</f>
        <v>7967.3410000000003</v>
      </c>
      <c r="G9" s="173">
        <f>7163.223-7163.223+7788.108</f>
        <v>7788.1080000000002</v>
      </c>
      <c r="H9" s="173">
        <f>7632.281-7632.281+8348.508</f>
        <v>8348.5079999999998</v>
      </c>
      <c r="I9" s="173">
        <f>8045.254-8045.254+8745.379</f>
        <v>8745.3790000000008</v>
      </c>
      <c r="J9" s="174">
        <f>8505.784-8505.784+8506.184-8506.184+9229.613</f>
        <v>9229.6129999999994</v>
      </c>
      <c r="K9" s="173">
        <v>9282.6389999999992</v>
      </c>
      <c r="L9" s="173">
        <v>10030.49</v>
      </c>
      <c r="M9" s="173">
        <v>10570.255999999999</v>
      </c>
      <c r="N9" s="173">
        <v>11264.493</v>
      </c>
      <c r="O9" s="173">
        <v>11142.462</v>
      </c>
      <c r="P9" s="173">
        <v>11739.96235</v>
      </c>
      <c r="Q9" s="173">
        <v>12474.246999999999</v>
      </c>
      <c r="R9" s="173">
        <v>13371.191000000001</v>
      </c>
      <c r="S9" s="529">
        <v>13587.700999999999</v>
      </c>
      <c r="U9" s="173">
        <v>12472.2886</v>
      </c>
      <c r="V9" s="173">
        <v>13369.232600000001</v>
      </c>
      <c r="W9" s="173">
        <v>13585.7426</v>
      </c>
    </row>
    <row r="10" spans="1:29" s="175" customFormat="1" ht="16.5" customHeight="1" x14ac:dyDescent="0.25">
      <c r="A10" s="176" t="s">
        <v>178</v>
      </c>
      <c r="B10" s="177" t="s">
        <v>179</v>
      </c>
      <c r="C10" s="173">
        <v>4621.424</v>
      </c>
      <c r="D10" s="173">
        <v>4221.2879999999996</v>
      </c>
      <c r="E10" s="173">
        <v>4182.1009999999997</v>
      </c>
      <c r="F10" s="173">
        <v>4710.9139999999998</v>
      </c>
      <c r="G10" s="173">
        <v>4327.7020000000002</v>
      </c>
      <c r="H10" s="173">
        <v>4696.12</v>
      </c>
      <c r="I10" s="173">
        <v>5021.1310000000003</v>
      </c>
      <c r="J10" s="174">
        <f>5420.173-5420.173+5422.535</f>
        <v>5422.5349999999999</v>
      </c>
      <c r="K10" s="173">
        <v>5423.6319999999996</v>
      </c>
      <c r="L10" s="173">
        <v>5918.7439999999997</v>
      </c>
      <c r="M10" s="173">
        <v>6319.3010000000004</v>
      </c>
      <c r="N10" s="173">
        <v>6830.1549999999997</v>
      </c>
      <c r="O10" s="173">
        <v>6820.2169999999996</v>
      </c>
      <c r="P10" s="173">
        <v>7311.4039999999995</v>
      </c>
      <c r="Q10" s="173">
        <v>7988.8149999999996</v>
      </c>
      <c r="R10" s="173">
        <v>8615.5249999999996</v>
      </c>
      <c r="S10" s="529">
        <v>8773.8070000000007</v>
      </c>
      <c r="U10" s="173">
        <v>7988.8149999999996</v>
      </c>
      <c r="V10" s="173">
        <v>8615.5249999999996</v>
      </c>
      <c r="W10" s="173">
        <v>8773.8070000000007</v>
      </c>
    </row>
    <row r="11" spans="1:29" s="175" customFormat="1" ht="16.5" customHeight="1" x14ac:dyDescent="0.25">
      <c r="A11" s="178" t="s">
        <v>180</v>
      </c>
      <c r="B11" s="177" t="s">
        <v>181</v>
      </c>
      <c r="C11" s="173">
        <f>0+1809.268</f>
        <v>1809.268</v>
      </c>
      <c r="D11" s="173">
        <f>0+1761.719</f>
        <v>1761.7190000000001</v>
      </c>
      <c r="E11" s="173">
        <f>0+1930.806</f>
        <v>1930.806</v>
      </c>
      <c r="F11" s="173">
        <f>0+1999.131</f>
        <v>1999.1310000000001</v>
      </c>
      <c r="G11" s="173">
        <f>0+1973.341</f>
        <v>1973.3409999999999</v>
      </c>
      <c r="H11" s="173">
        <f>0+1984.783</f>
        <v>1984.7829999999999</v>
      </c>
      <c r="I11" s="173">
        <f>0+2014.994</f>
        <v>2014.9939999999999</v>
      </c>
      <c r="J11" s="173">
        <f>0+2108.224-2108.224+2108.223</f>
        <v>2108.223</v>
      </c>
      <c r="K11" s="173">
        <v>2574.0030000000002</v>
      </c>
      <c r="L11" s="173">
        <v>2740.5160000000001</v>
      </c>
      <c r="M11" s="173">
        <v>2809.9589999999998</v>
      </c>
      <c r="N11" s="173">
        <v>2839.1779999999999</v>
      </c>
      <c r="O11" s="173">
        <v>2752.268</v>
      </c>
      <c r="P11" s="173">
        <v>2891.6439999999998</v>
      </c>
      <c r="Q11" s="173">
        <v>2885.9270000000001</v>
      </c>
      <c r="R11" s="173">
        <v>3043.364</v>
      </c>
      <c r="S11" s="529">
        <v>3037.5120000000002</v>
      </c>
      <c r="U11" s="173">
        <v>2885.9270000000001</v>
      </c>
      <c r="V11" s="173">
        <v>3043.364</v>
      </c>
      <c r="W11" s="173">
        <v>3037.5120000000002</v>
      </c>
    </row>
    <row r="12" spans="1:29" s="175" customFormat="1" ht="16.5" customHeight="1" x14ac:dyDescent="0.25">
      <c r="A12" s="178" t="s">
        <v>581</v>
      </c>
      <c r="B12" s="40" t="s">
        <v>321</v>
      </c>
      <c r="C12" s="173"/>
      <c r="D12" s="173"/>
      <c r="E12" s="173"/>
      <c r="F12" s="173"/>
      <c r="G12" s="173"/>
      <c r="H12" s="173"/>
      <c r="I12" s="173"/>
      <c r="J12" s="174"/>
      <c r="K12" s="173">
        <v>318.06200000000001</v>
      </c>
      <c r="L12" s="173">
        <v>329.625</v>
      </c>
      <c r="M12" s="173">
        <v>337.928</v>
      </c>
      <c r="N12" s="173">
        <v>342.89400000000001</v>
      </c>
      <c r="O12" s="173">
        <v>402.21100000000001</v>
      </c>
      <c r="P12" s="173">
        <v>422.82499999999999</v>
      </c>
      <c r="Q12" s="173">
        <v>429.041</v>
      </c>
      <c r="R12" s="173">
        <v>438.233</v>
      </c>
      <c r="S12" s="529">
        <v>449.25900000000001</v>
      </c>
      <c r="U12" s="173">
        <v>427.08260000000001</v>
      </c>
      <c r="V12" s="173">
        <v>436.27460000000002</v>
      </c>
      <c r="W12" s="173">
        <v>447.30060000000003</v>
      </c>
    </row>
    <row r="13" spans="1:29" s="175" customFormat="1" ht="16.5" customHeight="1" x14ac:dyDescent="0.25">
      <c r="A13" s="178" t="s">
        <v>582</v>
      </c>
      <c r="B13" s="40" t="s">
        <v>583</v>
      </c>
      <c r="C13" s="173"/>
      <c r="D13" s="173"/>
      <c r="E13" s="173"/>
      <c r="F13" s="173"/>
      <c r="G13" s="173"/>
      <c r="H13" s="173"/>
      <c r="I13" s="173"/>
      <c r="J13" s="174"/>
      <c r="K13" s="173">
        <v>119.77200000000001</v>
      </c>
      <c r="L13" s="173">
        <v>127.28400000000001</v>
      </c>
      <c r="M13" s="173">
        <v>134.17699999999999</v>
      </c>
      <c r="N13" s="173">
        <v>143.41200000000001</v>
      </c>
      <c r="O13" s="173">
        <v>148.94999999999999</v>
      </c>
      <c r="P13" s="173">
        <v>0</v>
      </c>
      <c r="Q13" s="173">
        <v>0</v>
      </c>
      <c r="R13" s="173">
        <v>0</v>
      </c>
      <c r="S13" s="529">
        <v>0</v>
      </c>
      <c r="T13" s="179"/>
      <c r="U13" s="173">
        <v>0</v>
      </c>
      <c r="V13" s="173">
        <v>0</v>
      </c>
      <c r="W13" s="173">
        <v>0</v>
      </c>
      <c r="X13" s="180"/>
      <c r="Y13" s="180"/>
      <c r="Z13" s="180"/>
      <c r="AA13" s="180"/>
      <c r="AB13" s="180"/>
      <c r="AC13" s="180"/>
    </row>
    <row r="14" spans="1:29" s="175" customFormat="1" ht="16.5" customHeight="1" x14ac:dyDescent="0.25">
      <c r="A14" s="178" t="s">
        <v>584</v>
      </c>
      <c r="B14" s="40" t="s">
        <v>585</v>
      </c>
      <c r="C14" s="173"/>
      <c r="D14" s="173"/>
      <c r="E14" s="173"/>
      <c r="F14" s="173"/>
      <c r="G14" s="173"/>
      <c r="H14" s="173"/>
      <c r="I14" s="173"/>
      <c r="J14" s="174"/>
      <c r="K14" s="173">
        <v>204.79000000000002</v>
      </c>
      <c r="L14" s="173">
        <v>226.60599999999999</v>
      </c>
      <c r="M14" s="173">
        <v>245.36199999999999</v>
      </c>
      <c r="N14" s="173">
        <v>273.91800000000001</v>
      </c>
      <c r="O14" s="173">
        <v>231.196</v>
      </c>
      <c r="P14" s="173">
        <v>229.09199999999998</v>
      </c>
      <c r="Q14" s="173">
        <v>252.69</v>
      </c>
      <c r="R14" s="173">
        <v>308.209</v>
      </c>
      <c r="S14" s="529">
        <v>352.98500000000001</v>
      </c>
      <c r="T14" s="179"/>
      <c r="U14" s="173">
        <v>252.69</v>
      </c>
      <c r="V14" s="173">
        <v>308.209</v>
      </c>
      <c r="W14" s="173">
        <v>352.98500000000001</v>
      </c>
      <c r="X14" s="180"/>
      <c r="Y14" s="180"/>
      <c r="Z14" s="180"/>
      <c r="AA14" s="180"/>
      <c r="AB14" s="180"/>
      <c r="AC14" s="180"/>
    </row>
    <row r="15" spans="1:29" s="175" customFormat="1" ht="16.5" customHeight="1" x14ac:dyDescent="0.25">
      <c r="A15" s="178" t="s">
        <v>586</v>
      </c>
      <c r="B15" s="41" t="s">
        <v>587</v>
      </c>
      <c r="C15" s="173"/>
      <c r="D15" s="173"/>
      <c r="E15" s="173"/>
      <c r="F15" s="173"/>
      <c r="G15" s="173"/>
      <c r="H15" s="173"/>
      <c r="I15" s="173"/>
      <c r="J15" s="174"/>
      <c r="K15" s="173">
        <v>145.18299999999999</v>
      </c>
      <c r="L15" s="173">
        <v>149.899</v>
      </c>
      <c r="M15" s="173">
        <v>154.89099999999999</v>
      </c>
      <c r="N15" s="173">
        <v>153.655</v>
      </c>
      <c r="O15" s="173">
        <v>130.15899999999999</v>
      </c>
      <c r="P15" s="173">
        <v>129.59199999999998</v>
      </c>
      <c r="Q15" s="173">
        <v>132.239</v>
      </c>
      <c r="R15" s="173">
        <v>138.69999999999999</v>
      </c>
      <c r="S15" s="529">
        <v>137.99</v>
      </c>
      <c r="T15" s="179"/>
      <c r="U15" s="173">
        <v>132.239</v>
      </c>
      <c r="V15" s="173">
        <v>138.69999999999999</v>
      </c>
      <c r="W15" s="173">
        <v>137.99</v>
      </c>
      <c r="X15" s="181"/>
      <c r="Y15" s="180"/>
      <c r="Z15" s="180"/>
      <c r="AA15" s="180"/>
      <c r="AB15" s="180"/>
      <c r="AC15" s="180"/>
    </row>
    <row r="16" spans="1:29" s="175" customFormat="1" ht="16.5" customHeight="1" x14ac:dyDescent="0.25">
      <c r="A16" s="178" t="s">
        <v>588</v>
      </c>
      <c r="B16" s="40" t="s">
        <v>589</v>
      </c>
      <c r="C16" s="173"/>
      <c r="D16" s="173"/>
      <c r="E16" s="173"/>
      <c r="F16" s="173"/>
      <c r="G16" s="173"/>
      <c r="H16" s="173"/>
      <c r="I16" s="173"/>
      <c r="J16" s="174"/>
      <c r="K16" s="173">
        <v>64.724999999999994</v>
      </c>
      <c r="L16" s="173">
        <v>57.423999999999999</v>
      </c>
      <c r="M16" s="173">
        <v>63.463999999999999</v>
      </c>
      <c r="N16" s="173">
        <v>114.139</v>
      </c>
      <c r="O16" s="173">
        <v>141.09200000000001</v>
      </c>
      <c r="P16" s="173">
        <v>167.18099999999998</v>
      </c>
      <c r="Q16" s="173">
        <v>212.25299999999999</v>
      </c>
      <c r="R16" s="173">
        <v>226.048</v>
      </c>
      <c r="S16" s="529">
        <v>232.012</v>
      </c>
      <c r="T16" s="179"/>
      <c r="U16" s="173">
        <v>212.25299999999999</v>
      </c>
      <c r="V16" s="173">
        <v>226.048</v>
      </c>
      <c r="W16" s="173">
        <v>232.012</v>
      </c>
      <c r="X16" s="180"/>
      <c r="Y16" s="180"/>
      <c r="Z16" s="180"/>
      <c r="AA16" s="180"/>
      <c r="AB16" s="180"/>
      <c r="AC16" s="180"/>
    </row>
    <row r="17" spans="1:29" s="175" customFormat="1" ht="16.5" customHeight="1" x14ac:dyDescent="0.25">
      <c r="A17" s="178" t="s">
        <v>312</v>
      </c>
      <c r="B17" s="40" t="s">
        <v>590</v>
      </c>
      <c r="C17" s="173"/>
      <c r="D17" s="173"/>
      <c r="E17" s="173"/>
      <c r="F17" s="173"/>
      <c r="G17" s="173"/>
      <c r="H17" s="173"/>
      <c r="I17" s="173"/>
      <c r="J17" s="174"/>
      <c r="K17" s="173">
        <v>432.47199999999941</v>
      </c>
      <c r="L17" s="173">
        <v>480.39200000000005</v>
      </c>
      <c r="M17" s="173">
        <v>505.17399999999935</v>
      </c>
      <c r="N17" s="173">
        <v>567.14200000000073</v>
      </c>
      <c r="O17" s="173">
        <v>516.3689999999998</v>
      </c>
      <c r="P17" s="173">
        <v>588.22435000000041</v>
      </c>
      <c r="Q17" s="173">
        <v>573.2819999999997</v>
      </c>
      <c r="R17" s="173">
        <v>601.11200000000099</v>
      </c>
      <c r="S17" s="529">
        <v>604.13599999999815</v>
      </c>
      <c r="T17" s="179"/>
      <c r="U17" s="173">
        <v>573.2819999999997</v>
      </c>
      <c r="V17" s="173">
        <v>601.11200000000099</v>
      </c>
      <c r="W17" s="173">
        <v>604.13599999999815</v>
      </c>
      <c r="X17" s="180"/>
      <c r="Y17" s="180"/>
      <c r="Z17" s="180"/>
      <c r="AA17" s="180"/>
      <c r="AB17" s="180"/>
      <c r="AC17" s="180"/>
    </row>
    <row r="18" spans="1:29" ht="16.5" customHeight="1" x14ac:dyDescent="0.25">
      <c r="A18" s="182" t="s">
        <v>34</v>
      </c>
      <c r="B18" s="172" t="s">
        <v>183</v>
      </c>
      <c r="C18" s="173">
        <f>4601.153-4601.153+4537.185</f>
        <v>4537.1850000000004</v>
      </c>
      <c r="D18" s="183">
        <f>3738.676-3738.676+3669.918</f>
        <v>3669.9180000000001</v>
      </c>
      <c r="E18" s="183">
        <f>3812.051-3812.051+3740.345</f>
        <v>3740.3449999999998</v>
      </c>
      <c r="F18" s="183">
        <f>4053.429-4053.429+3979.146</f>
        <v>3979.1460000000002</v>
      </c>
      <c r="G18" s="183">
        <f>4227.83-4227.83+4145.744</f>
        <v>4145.7439999999997</v>
      </c>
      <c r="H18" s="173">
        <f>4714.516-4714.516+4623.532</f>
        <v>4623.5320000000002</v>
      </c>
      <c r="I18" s="173">
        <f>5206.715-5206.715+5113.274</f>
        <v>5113.2740000000003</v>
      </c>
      <c r="J18" s="174">
        <f>MMF_TABULKA!U52</f>
        <v>6798.2322740000018</v>
      </c>
      <c r="K18" s="173">
        <v>5838.9210000000003</v>
      </c>
      <c r="L18" s="173">
        <v>6121.7879999999996</v>
      </c>
      <c r="M18" s="173">
        <v>6529.2370000000001</v>
      </c>
      <c r="N18" s="173">
        <v>6793.2820000000002</v>
      </c>
      <c r="O18" s="173">
        <v>6661.2</v>
      </c>
      <c r="P18" s="173">
        <v>7166.2036499999995</v>
      </c>
      <c r="Q18" s="173">
        <v>7815.067</v>
      </c>
      <c r="R18" s="173">
        <v>8483.0580000000009</v>
      </c>
      <c r="S18" s="529">
        <v>8753.2150000000001</v>
      </c>
      <c r="T18" s="179"/>
      <c r="U18" s="173">
        <v>7814.8494000000001</v>
      </c>
      <c r="V18" s="173">
        <v>8482.840400000001</v>
      </c>
      <c r="W18" s="173">
        <v>8752.9974000000002</v>
      </c>
      <c r="X18" s="180"/>
      <c r="Y18" s="180"/>
      <c r="Z18" s="180"/>
      <c r="AA18" s="180"/>
      <c r="AB18" s="180"/>
      <c r="AC18" s="180"/>
    </row>
    <row r="19" spans="1:29" ht="16.5" customHeight="1" x14ac:dyDescent="0.25">
      <c r="A19" s="176" t="s">
        <v>184</v>
      </c>
      <c r="B19" s="177" t="s">
        <v>185</v>
      </c>
      <c r="C19" s="173">
        <v>2095.1779999999999</v>
      </c>
      <c r="D19" s="183">
        <v>1793.693</v>
      </c>
      <c r="E19" s="183">
        <v>1789.5650000000001</v>
      </c>
      <c r="F19" s="183">
        <v>1999.8820000000001</v>
      </c>
      <c r="G19" s="183">
        <v>2122.7759999999998</v>
      </c>
      <c r="H19" s="173">
        <v>2175.0250000000001</v>
      </c>
      <c r="I19" s="174">
        <v>2275.1170000000002</v>
      </c>
      <c r="J19" s="174">
        <f>2464.414-2464.414+2463.642</f>
        <v>2463.6419999999998</v>
      </c>
      <c r="K19" s="173">
        <v>2679.4659999999999</v>
      </c>
      <c r="L19" s="173">
        <v>2855.23</v>
      </c>
      <c r="M19" s="173">
        <v>3217.9969999999998</v>
      </c>
      <c r="N19" s="173">
        <v>3534.73</v>
      </c>
      <c r="O19" s="173">
        <v>3491.759</v>
      </c>
      <c r="P19" s="173">
        <v>3707.6219999999998</v>
      </c>
      <c r="Q19" s="173">
        <v>4012.38</v>
      </c>
      <c r="R19" s="173">
        <v>4283.192</v>
      </c>
      <c r="S19" s="529">
        <v>4541.1660000000002</v>
      </c>
      <c r="T19" s="179"/>
      <c r="U19" s="173">
        <v>4012.38</v>
      </c>
      <c r="V19" s="173">
        <v>4283.192</v>
      </c>
      <c r="W19" s="173">
        <v>4541.1660000000002</v>
      </c>
    </row>
    <row r="20" spans="1:29" ht="16.5" customHeight="1" x14ac:dyDescent="0.25">
      <c r="A20" s="184" t="s">
        <v>186</v>
      </c>
      <c r="B20" s="185" t="s">
        <v>187</v>
      </c>
      <c r="C20" s="174">
        <f>0+1639.776</f>
        <v>1639.7760000000001</v>
      </c>
      <c r="D20" s="186">
        <v>1468.115</v>
      </c>
      <c r="E20" s="186">
        <v>1431.1880000000001</v>
      </c>
      <c r="F20" s="186">
        <v>1638.58</v>
      </c>
      <c r="G20" s="186">
        <v>1763.433</v>
      </c>
      <c r="H20" s="174">
        <v>1788.0440000000001</v>
      </c>
      <c r="I20" s="174">
        <v>1903.7840000000001</v>
      </c>
      <c r="J20" s="174">
        <f>2082.0493+0.007</f>
        <v>2082.0563000000002</v>
      </c>
      <c r="K20" s="173">
        <v>2542.3919999999998</v>
      </c>
      <c r="L20" s="173">
        <v>2746.78</v>
      </c>
      <c r="M20" s="173">
        <v>3094.2820000000002</v>
      </c>
      <c r="N20" s="173">
        <v>3410.1120000000001</v>
      </c>
      <c r="O20" s="173">
        <v>3405.6790000000001</v>
      </c>
      <c r="P20" s="173">
        <v>3616.8719999999998</v>
      </c>
      <c r="Q20" s="173">
        <v>3906.8589999999999</v>
      </c>
      <c r="R20" s="173">
        <v>4167.3810000000003</v>
      </c>
      <c r="S20" s="529">
        <v>4425</v>
      </c>
      <c r="T20" s="179"/>
      <c r="U20" s="173">
        <v>3906.8589999999999</v>
      </c>
      <c r="V20" s="173">
        <v>4167.3810000000003</v>
      </c>
      <c r="W20" s="173">
        <v>4425</v>
      </c>
    </row>
    <row r="21" spans="1:29" ht="16.5" customHeight="1" x14ac:dyDescent="0.25">
      <c r="A21" s="184" t="s">
        <v>188</v>
      </c>
      <c r="B21" s="187" t="s">
        <v>189</v>
      </c>
      <c r="C21" s="174">
        <v>202.36500000000001</v>
      </c>
      <c r="D21" s="186">
        <v>188.64599999999999</v>
      </c>
      <c r="E21" s="186">
        <v>47.405999999999999</v>
      </c>
      <c r="F21" s="186">
        <v>59.451999999999998</v>
      </c>
      <c r="G21" s="186">
        <v>85.807000000000002</v>
      </c>
      <c r="H21" s="174">
        <v>79.712000000000003</v>
      </c>
      <c r="I21" s="174">
        <v>82.671000000000006</v>
      </c>
      <c r="J21" s="174">
        <v>100.68899999999999</v>
      </c>
      <c r="K21" s="173">
        <v>137.07499999999999</v>
      </c>
      <c r="L21" s="173">
        <v>108.449</v>
      </c>
      <c r="M21" s="173">
        <v>123.715</v>
      </c>
      <c r="N21" s="173">
        <v>124.617</v>
      </c>
      <c r="O21" s="173">
        <v>86.078999999999994</v>
      </c>
      <c r="P21" s="173">
        <v>90.75</v>
      </c>
      <c r="Q21" s="173">
        <v>105.521</v>
      </c>
      <c r="R21" s="173">
        <v>115.81100000000001</v>
      </c>
      <c r="S21" s="529">
        <v>116.166</v>
      </c>
      <c r="T21" s="179"/>
      <c r="U21" s="173">
        <v>105.521</v>
      </c>
      <c r="V21" s="173">
        <v>115.81100000000001</v>
      </c>
      <c r="W21" s="173">
        <v>116.166</v>
      </c>
    </row>
    <row r="22" spans="1:29" ht="16.5" customHeight="1" x14ac:dyDescent="0.25">
      <c r="A22" s="188" t="s">
        <v>190</v>
      </c>
      <c r="B22" s="177" t="s">
        <v>191</v>
      </c>
      <c r="C22" s="174">
        <v>2087.4659999999999</v>
      </c>
      <c r="D22" s="186">
        <v>1576.972</v>
      </c>
      <c r="E22" s="186">
        <v>1659.23</v>
      </c>
      <c r="F22" s="186">
        <v>1699.1869999999999</v>
      </c>
      <c r="G22" s="186">
        <v>1714.779</v>
      </c>
      <c r="H22" s="174">
        <v>2117.8330000000001</v>
      </c>
      <c r="I22" s="174">
        <v>2504.402</v>
      </c>
      <c r="J22" s="174">
        <f>2945.325-2945.325+2916.816</f>
        <v>2916.8159999999998</v>
      </c>
      <c r="K22" s="173">
        <v>2817.558</v>
      </c>
      <c r="L22" s="173">
        <v>2925.4609999999998</v>
      </c>
      <c r="M22" s="173">
        <v>2942.902</v>
      </c>
      <c r="N22" s="173">
        <v>2848.085</v>
      </c>
      <c r="O22" s="173">
        <v>2786.8530000000001</v>
      </c>
      <c r="P22" s="173">
        <v>2973.5219999999999</v>
      </c>
      <c r="Q22" s="173">
        <v>3309.3919999999998</v>
      </c>
      <c r="R22" s="173">
        <v>3673.3119999999999</v>
      </c>
      <c r="S22" s="529">
        <v>3700.7629999999999</v>
      </c>
      <c r="T22" s="179"/>
      <c r="U22" s="173">
        <v>3309.3919999999998</v>
      </c>
      <c r="V22" s="173">
        <v>3673.3119999999999</v>
      </c>
      <c r="W22" s="173">
        <v>3700.7629999999999</v>
      </c>
    </row>
    <row r="23" spans="1:29" ht="16.5" customHeight="1" x14ac:dyDescent="0.25">
      <c r="A23" s="42" t="s">
        <v>591</v>
      </c>
      <c r="B23" s="40" t="s">
        <v>592</v>
      </c>
      <c r="C23" s="174"/>
      <c r="D23" s="186"/>
      <c r="E23" s="186"/>
      <c r="F23" s="186"/>
      <c r="G23" s="186"/>
      <c r="H23" s="174"/>
      <c r="I23" s="174"/>
      <c r="J23" s="174"/>
      <c r="K23" s="173">
        <v>111.489</v>
      </c>
      <c r="L23" s="173">
        <v>155.31299999999999</v>
      </c>
      <c r="M23" s="173">
        <v>155.197</v>
      </c>
      <c r="N23" s="173">
        <v>119.801</v>
      </c>
      <c r="O23" s="173">
        <v>133.983</v>
      </c>
      <c r="P23" s="173">
        <v>93.587999999999994</v>
      </c>
      <c r="Q23" s="173">
        <v>98.293999999999997</v>
      </c>
      <c r="R23" s="173">
        <v>102.752</v>
      </c>
      <c r="S23" s="529">
        <v>103.395</v>
      </c>
      <c r="T23" s="179"/>
      <c r="U23" s="173">
        <v>98.293999999999997</v>
      </c>
      <c r="V23" s="173">
        <v>102.752</v>
      </c>
      <c r="W23" s="173">
        <v>103.395</v>
      </c>
    </row>
    <row r="24" spans="1:29" ht="16.5" customHeight="1" x14ac:dyDescent="0.25">
      <c r="A24" s="189" t="s">
        <v>192</v>
      </c>
      <c r="B24" s="177" t="s">
        <v>193</v>
      </c>
      <c r="C24" s="174">
        <v>205.96799999999999</v>
      </c>
      <c r="D24" s="186">
        <v>155.755</v>
      </c>
      <c r="E24" s="186">
        <v>152.33199999999999</v>
      </c>
      <c r="F24" s="186">
        <v>143.19999999999999</v>
      </c>
      <c r="G24" s="186">
        <v>167.14400000000001</v>
      </c>
      <c r="H24" s="174">
        <v>177.78399999999999</v>
      </c>
      <c r="I24" s="174">
        <v>175.06100000000001</v>
      </c>
      <c r="J24" s="174">
        <f>162.006-162.006+162.005</f>
        <v>162.005</v>
      </c>
      <c r="K24" s="173">
        <v>179.21199999999999</v>
      </c>
      <c r="L24" s="173">
        <v>178.43100000000001</v>
      </c>
      <c r="M24" s="173">
        <v>209.16900000000001</v>
      </c>
      <c r="N24" s="173">
        <v>245.61500000000001</v>
      </c>
      <c r="O24" s="173">
        <v>235.08</v>
      </c>
      <c r="P24" s="173">
        <v>270.40100000000001</v>
      </c>
      <c r="Q24" s="173">
        <v>290.45</v>
      </c>
      <c r="R24" s="173">
        <v>313.67200000000003</v>
      </c>
      <c r="S24" s="529">
        <v>296.34699999999998</v>
      </c>
      <c r="T24" s="179"/>
      <c r="U24" s="173">
        <v>290.45</v>
      </c>
      <c r="V24" s="173">
        <v>313.67200000000003</v>
      </c>
      <c r="W24" s="173">
        <v>296.34699999999998</v>
      </c>
    </row>
    <row r="25" spans="1:29" ht="16.5" customHeight="1" x14ac:dyDescent="0.25">
      <c r="A25" s="188" t="s">
        <v>182</v>
      </c>
      <c r="B25" s="177" t="s">
        <v>194</v>
      </c>
      <c r="C25" s="174">
        <v>78.835999999999999</v>
      </c>
      <c r="D25" s="174">
        <v>84.311999999999998</v>
      </c>
      <c r="E25" s="174">
        <v>87.986999999999995</v>
      </c>
      <c r="F25" s="174">
        <v>90.650999999999996</v>
      </c>
      <c r="G25" s="174">
        <v>100.535</v>
      </c>
      <c r="H25" s="174">
        <v>104.57899999999999</v>
      </c>
      <c r="I25" s="174">
        <v>105.777</v>
      </c>
      <c r="J25" s="174">
        <f>106.937-106.937+106.936</f>
        <v>106.93600000000001</v>
      </c>
      <c r="K25" s="173">
        <v>29.838999999999999</v>
      </c>
      <c r="L25" s="173">
        <v>31.082000000000001</v>
      </c>
      <c r="M25" s="173">
        <v>31.239000000000001</v>
      </c>
      <c r="N25" s="173">
        <v>34.668999999999997</v>
      </c>
      <c r="O25" s="173">
        <v>35.595999999999997</v>
      </c>
      <c r="P25" s="173">
        <v>45.196000000000005</v>
      </c>
      <c r="Q25" s="173">
        <v>45.463999999999999</v>
      </c>
      <c r="R25" s="173">
        <v>47.018000000000001</v>
      </c>
      <c r="S25" s="529">
        <v>48.225999999999999</v>
      </c>
      <c r="T25" s="179"/>
      <c r="U25" s="173">
        <v>45.246400000000001</v>
      </c>
      <c r="V25" s="173">
        <v>46.800400000000003</v>
      </c>
      <c r="W25" s="173">
        <v>48.008400000000002</v>
      </c>
    </row>
    <row r="26" spans="1:29" ht="16.5" customHeight="1" x14ac:dyDescent="0.25">
      <c r="A26" s="39" t="s">
        <v>312</v>
      </c>
      <c r="B26" s="40" t="s">
        <v>593</v>
      </c>
      <c r="C26" s="174"/>
      <c r="D26" s="174"/>
      <c r="E26" s="174"/>
      <c r="F26" s="174"/>
      <c r="G26" s="174"/>
      <c r="H26" s="174"/>
      <c r="I26" s="174"/>
      <c r="J26" s="174"/>
      <c r="K26" s="173">
        <v>132.8460000000004</v>
      </c>
      <c r="L26" s="173">
        <v>131.58399999999975</v>
      </c>
      <c r="M26" s="173">
        <v>127.93000000000018</v>
      </c>
      <c r="N26" s="173">
        <v>130.18300000000011</v>
      </c>
      <c r="O26" s="173">
        <v>111.91199999999972</v>
      </c>
      <c r="P26" s="173">
        <v>169.46264999999968</v>
      </c>
      <c r="Q26" s="173">
        <v>157.38100000000009</v>
      </c>
      <c r="R26" s="173">
        <v>165.86400000000097</v>
      </c>
      <c r="S26" s="529">
        <v>166.71300000000008</v>
      </c>
      <c r="T26" s="179"/>
      <c r="U26" s="173">
        <v>157.38100000000009</v>
      </c>
      <c r="V26" s="173">
        <v>165.86400000000097</v>
      </c>
      <c r="W26" s="173">
        <v>166.71300000000008</v>
      </c>
    </row>
    <row r="27" spans="1:29" ht="16.5" customHeight="1" x14ac:dyDescent="0.25">
      <c r="A27" s="190" t="s">
        <v>195</v>
      </c>
      <c r="B27" s="172" t="s">
        <v>196</v>
      </c>
      <c r="C27" s="173">
        <v>0.1</v>
      </c>
      <c r="D27" s="174">
        <v>4.4999999999999998E-2</v>
      </c>
      <c r="E27" s="174">
        <v>0.02</v>
      </c>
      <c r="F27" s="174">
        <v>1.2999999999999999E-2</v>
      </c>
      <c r="G27" s="174">
        <v>1.2E-2</v>
      </c>
      <c r="H27" s="174">
        <v>7.0000000000000001E-3</v>
      </c>
      <c r="I27" s="174">
        <v>4.0000000000000001E-3</v>
      </c>
      <c r="J27" s="174">
        <v>-6.0000000000000001E-3</v>
      </c>
      <c r="K27" s="173">
        <v>4.0000000000000001E-3</v>
      </c>
      <c r="L27" s="173">
        <v>0</v>
      </c>
      <c r="M27" s="173">
        <v>0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529">
        <v>0</v>
      </c>
      <c r="T27" s="179"/>
      <c r="U27" s="173">
        <v>0</v>
      </c>
      <c r="V27" s="173">
        <v>0</v>
      </c>
      <c r="W27" s="173">
        <v>0</v>
      </c>
    </row>
    <row r="28" spans="1:29" s="170" customFormat="1" ht="16.5" customHeight="1" x14ac:dyDescent="0.25">
      <c r="A28" s="191" t="s">
        <v>38</v>
      </c>
      <c r="B28" s="192" t="s">
        <v>197</v>
      </c>
      <c r="C28" s="169">
        <f>C29+C32</f>
        <v>6533.3729999999996</v>
      </c>
      <c r="D28" s="169">
        <f>D29+D32</f>
        <v>6314.1920000000009</v>
      </c>
      <c r="E28" s="169">
        <f t="shared" ref="E28:H28" si="3">E29+E32</f>
        <v>6826.1920000000009</v>
      </c>
      <c r="F28" s="169">
        <f t="shared" si="3"/>
        <v>6849.5550000000003</v>
      </c>
      <c r="G28" s="169">
        <f t="shared" si="3"/>
        <v>7147.9620000000004</v>
      </c>
      <c r="H28" s="169">
        <f t="shared" si="3"/>
        <v>7952.670000000001</v>
      </c>
      <c r="I28" s="169">
        <v>10393.99</v>
      </c>
      <c r="J28" s="169">
        <v>11078.508</v>
      </c>
      <c r="K28" s="169">
        <v>11656.683000000001</v>
      </c>
      <c r="L28" s="169">
        <v>12499.814</v>
      </c>
      <c r="M28" s="169">
        <v>13346.543</v>
      </c>
      <c r="N28" s="169">
        <v>14314.771000000001</v>
      </c>
      <c r="O28" s="169">
        <v>14499.744000000001</v>
      </c>
      <c r="P28" s="169">
        <v>15275.662000000002</v>
      </c>
      <c r="Q28" s="169">
        <v>15845.755999999999</v>
      </c>
      <c r="R28" s="169">
        <v>16705.771999999997</v>
      </c>
      <c r="S28" s="528">
        <v>17405.726999999999</v>
      </c>
      <c r="T28" s="179"/>
      <c r="U28" s="169">
        <v>15845.755999999999</v>
      </c>
      <c r="V28" s="169">
        <v>16705.771999999997</v>
      </c>
      <c r="W28" s="169">
        <v>17405.726999999999</v>
      </c>
    </row>
    <row r="29" spans="1:29" ht="15.75" customHeight="1" x14ac:dyDescent="0.25">
      <c r="A29" s="171" t="s">
        <v>198</v>
      </c>
      <c r="B29" s="177" t="s">
        <v>199</v>
      </c>
      <c r="C29" s="173">
        <f>C30+C31</f>
        <v>6447.183</v>
      </c>
      <c r="D29" s="173">
        <f>D30+D31</f>
        <v>6218.4010000000007</v>
      </c>
      <c r="E29" s="173">
        <f t="shared" ref="E29:J29" si="4">E30+E31</f>
        <v>6687.4040000000005</v>
      </c>
      <c r="F29" s="173">
        <f t="shared" si="4"/>
        <v>6701.22</v>
      </c>
      <c r="G29" s="173">
        <f t="shared" si="4"/>
        <v>7027.8640000000005</v>
      </c>
      <c r="H29" s="173">
        <f t="shared" si="4"/>
        <v>7810.3780000000006</v>
      </c>
      <c r="I29" s="173">
        <f t="shared" si="4"/>
        <v>8123.9470000000001</v>
      </c>
      <c r="J29" s="173">
        <f t="shared" si="4"/>
        <v>8760.4000000000015</v>
      </c>
      <c r="K29" s="173">
        <v>11475.968000000001</v>
      </c>
      <c r="L29" s="173">
        <v>12310.387999999999</v>
      </c>
      <c r="M29" s="173">
        <v>13158.088</v>
      </c>
      <c r="N29" s="173">
        <v>14096.022000000001</v>
      </c>
      <c r="O29" s="173">
        <v>14245.671</v>
      </c>
      <c r="P29" s="173">
        <v>15018.974000000002</v>
      </c>
      <c r="Q29" s="173">
        <v>15594.571</v>
      </c>
      <c r="R29" s="173">
        <v>16443.671999999999</v>
      </c>
      <c r="S29" s="529">
        <v>17134.589</v>
      </c>
      <c r="T29" s="179"/>
      <c r="U29" s="173">
        <v>15594.571</v>
      </c>
      <c r="V29" s="173">
        <v>16443.671999999999</v>
      </c>
      <c r="W29" s="173">
        <v>17134.589</v>
      </c>
    </row>
    <row r="30" spans="1:29" ht="16.5" customHeight="1" x14ac:dyDescent="0.25">
      <c r="A30" s="189" t="s">
        <v>200</v>
      </c>
      <c r="B30" s="177" t="s">
        <v>201</v>
      </c>
      <c r="C30" s="173">
        <f>1817.308+2647.291</f>
        <v>4464.5990000000002</v>
      </c>
      <c r="D30" s="173">
        <f>1747.634+2558.815</f>
        <v>4306.4490000000005</v>
      </c>
      <c r="E30" s="173">
        <f>1783.901+2795.29</f>
        <v>4579.1909999999998</v>
      </c>
      <c r="F30" s="173">
        <f>1907.943+2742.951</f>
        <v>4650.8940000000002</v>
      </c>
      <c r="G30" s="173">
        <f>2067.599+2801.073</f>
        <v>4868.6720000000005</v>
      </c>
      <c r="H30" s="173">
        <f>2530.574+3024.958</f>
        <v>5555.5320000000002</v>
      </c>
      <c r="I30" s="173">
        <f>2650.909+3180.657</f>
        <v>5831.5660000000007</v>
      </c>
      <c r="J30" s="173">
        <f>2923.897+3358.847</f>
        <v>6282.7440000000006</v>
      </c>
      <c r="K30" s="173">
        <v>6506.6890000000003</v>
      </c>
      <c r="L30" s="173">
        <v>7173.4159999999993</v>
      </c>
      <c r="M30" s="173">
        <v>7781.5599999999995</v>
      </c>
      <c r="N30" s="173">
        <v>8538.8189999999995</v>
      </c>
      <c r="O30" s="173">
        <v>8653.6949999999997</v>
      </c>
      <c r="P30" s="173">
        <v>8488.1820000000007</v>
      </c>
      <c r="Q30" s="173">
        <v>9044.518</v>
      </c>
      <c r="R30" s="173">
        <v>9574.2250000000004</v>
      </c>
      <c r="S30" s="529">
        <v>9980.4650000000001</v>
      </c>
      <c r="U30" s="173">
        <v>9044.518</v>
      </c>
      <c r="V30" s="173">
        <v>9574.2250000000004</v>
      </c>
      <c r="W30" s="173">
        <v>9980.4650000000001</v>
      </c>
    </row>
    <row r="31" spans="1:29" ht="16.5" customHeight="1" x14ac:dyDescent="0.25">
      <c r="A31" s="189" t="s">
        <v>594</v>
      </c>
      <c r="B31" s="177" t="s">
        <v>202</v>
      </c>
      <c r="C31" s="173">
        <v>1982.5840000000001</v>
      </c>
      <c r="D31" s="173">
        <v>1911.952</v>
      </c>
      <c r="E31" s="173">
        <v>2108.2130000000002</v>
      </c>
      <c r="F31" s="173">
        <v>2050.326</v>
      </c>
      <c r="G31" s="173">
        <v>2159.192</v>
      </c>
      <c r="H31" s="173">
        <f>2254.846</f>
        <v>2254.846</v>
      </c>
      <c r="I31" s="173">
        <v>2292.3809999999999</v>
      </c>
      <c r="J31" s="173">
        <v>2477.6559999999999</v>
      </c>
      <c r="K31" s="173">
        <v>4969.2790000000005</v>
      </c>
      <c r="L31" s="173">
        <v>5136.9719999999998</v>
      </c>
      <c r="M31" s="173">
        <v>5376.5280000000002</v>
      </c>
      <c r="N31" s="173">
        <v>5557.2030000000004</v>
      </c>
      <c r="O31" s="173">
        <v>5591.9760000000006</v>
      </c>
      <c r="P31" s="173">
        <v>6530.7920000000004</v>
      </c>
      <c r="Q31" s="173">
        <v>6550.0529999999999</v>
      </c>
      <c r="R31" s="173">
        <v>6869.4470000000001</v>
      </c>
      <c r="S31" s="529">
        <v>7154.1239999999998</v>
      </c>
      <c r="U31" s="173">
        <v>6550.0529999999999</v>
      </c>
      <c r="V31" s="173">
        <v>6869.4470000000001</v>
      </c>
      <c r="W31" s="173">
        <v>7154.1239999999998</v>
      </c>
    </row>
    <row r="32" spans="1:29" ht="16.5" customHeight="1" x14ac:dyDescent="0.25">
      <c r="A32" s="171" t="s">
        <v>203</v>
      </c>
      <c r="B32" s="177" t="s">
        <v>204</v>
      </c>
      <c r="C32" s="173">
        <v>86.19</v>
      </c>
      <c r="D32" s="173">
        <v>95.790999999999997</v>
      </c>
      <c r="E32" s="173">
        <v>138.78800000000001</v>
      </c>
      <c r="F32" s="173">
        <v>148.33500000000001</v>
      </c>
      <c r="G32" s="173">
        <v>120.098</v>
      </c>
      <c r="H32" s="173">
        <v>142.292</v>
      </c>
      <c r="I32" s="173">
        <v>153.363</v>
      </c>
      <c r="J32" s="173">
        <v>170.85599999999999</v>
      </c>
      <c r="K32" s="173">
        <v>180.715</v>
      </c>
      <c r="L32" s="173">
        <v>189.42599999999999</v>
      </c>
      <c r="M32" s="173">
        <v>188.45500000000001</v>
      </c>
      <c r="N32" s="173">
        <v>218.749</v>
      </c>
      <c r="O32" s="173">
        <v>254.07300000000001</v>
      </c>
      <c r="P32" s="173">
        <v>256.68799999999999</v>
      </c>
      <c r="Q32" s="173">
        <v>251.185</v>
      </c>
      <c r="R32" s="173">
        <v>262.10000000000002</v>
      </c>
      <c r="S32" s="529">
        <v>271.13799999999998</v>
      </c>
      <c r="U32" s="173">
        <v>251.185</v>
      </c>
      <c r="V32" s="173">
        <v>262.10000000000002</v>
      </c>
      <c r="W32" s="173">
        <v>271.13799999999998</v>
      </c>
    </row>
    <row r="33" spans="1:24" s="195" customFormat="1" ht="16.5" customHeight="1" x14ac:dyDescent="0.25">
      <c r="A33" s="193" t="s">
        <v>205</v>
      </c>
      <c r="B33" s="194" t="s">
        <v>174</v>
      </c>
      <c r="C33" s="169">
        <f t="shared" ref="C33:I33" si="5">C34+C37</f>
        <v>2631.6390000000001</v>
      </c>
      <c r="D33" s="169">
        <f t="shared" si="5"/>
        <v>2981.5860000000002</v>
      </c>
      <c r="E33" s="169">
        <f t="shared" si="5"/>
        <v>2975.0010000000002</v>
      </c>
      <c r="F33" s="169">
        <f t="shared" si="5"/>
        <v>3355.7359999999999</v>
      </c>
      <c r="G33" s="169">
        <f t="shared" si="5"/>
        <v>3948.54</v>
      </c>
      <c r="H33" s="169">
        <f t="shared" si="5"/>
        <v>4074.1350000000002</v>
      </c>
      <c r="I33" s="169">
        <f t="shared" si="5"/>
        <v>4068.9649999999997</v>
      </c>
      <c r="J33" s="169">
        <f>J34+J37</f>
        <v>4317.7029999999995</v>
      </c>
      <c r="K33" s="169">
        <v>4342.0789999999997</v>
      </c>
      <c r="L33" s="169">
        <v>4472.0550000000003</v>
      </c>
      <c r="M33" s="169">
        <v>4699.2889999999998</v>
      </c>
      <c r="N33" s="169">
        <v>4821.8320000000003</v>
      </c>
      <c r="O33" s="169">
        <v>4723.7330000000002</v>
      </c>
      <c r="P33" s="169">
        <v>4865.5580000000009</v>
      </c>
      <c r="Q33" s="169">
        <v>5059.884</v>
      </c>
      <c r="R33" s="169">
        <v>5271.1500000000005</v>
      </c>
      <c r="S33" s="528">
        <v>5358.3279999999995</v>
      </c>
      <c r="U33" s="169">
        <f>Q33</f>
        <v>5059.884</v>
      </c>
      <c r="V33" s="169">
        <f t="shared" ref="V33:W33" si="6">R33</f>
        <v>5271.1500000000005</v>
      </c>
      <c r="W33" s="169">
        <f t="shared" si="6"/>
        <v>5358.3279999999995</v>
      </c>
      <c r="X33" s="196"/>
    </row>
    <row r="34" spans="1:24" ht="16.5" customHeight="1" x14ac:dyDescent="0.25">
      <c r="A34" s="190" t="s">
        <v>206</v>
      </c>
      <c r="B34" s="197" t="s">
        <v>174</v>
      </c>
      <c r="C34" s="174">
        <f>C35+C36</f>
        <v>1776.527</v>
      </c>
      <c r="D34" s="174">
        <f t="shared" ref="D34:I34" si="7">D35+D36</f>
        <v>2119.7260000000001</v>
      </c>
      <c r="E34" s="174">
        <f t="shared" si="7"/>
        <v>2329.6390000000001</v>
      </c>
      <c r="F34" s="174">
        <f t="shared" si="7"/>
        <v>2682.2559999999999</v>
      </c>
      <c r="G34" s="174">
        <f t="shared" si="7"/>
        <v>3110.9589999999998</v>
      </c>
      <c r="H34" s="174">
        <f t="shared" si="7"/>
        <v>3395.058</v>
      </c>
      <c r="I34" s="174">
        <f t="shared" si="7"/>
        <v>3500.3449999999998</v>
      </c>
      <c r="J34" s="174">
        <f>J35+J36</f>
        <v>3668.64</v>
      </c>
      <c r="K34" s="174">
        <v>3721.44</v>
      </c>
      <c r="L34" s="174">
        <v>3809.8239999999996</v>
      </c>
      <c r="M34" s="174">
        <v>4035.277</v>
      </c>
      <c r="N34" s="174">
        <v>4261.6509999999998</v>
      </c>
      <c r="O34" s="174">
        <v>4217.3739999999998</v>
      </c>
      <c r="P34" s="174">
        <v>4251.2400000000007</v>
      </c>
      <c r="Q34" s="174">
        <v>4569.7610000000004</v>
      </c>
      <c r="R34" s="174">
        <v>4728.8190000000004</v>
      </c>
      <c r="S34" s="179">
        <v>4822.1329999999998</v>
      </c>
      <c r="U34" s="174">
        <f t="shared" ref="U34:U44" si="8">Q34</f>
        <v>4569.7610000000004</v>
      </c>
      <c r="V34" s="174">
        <f t="shared" ref="V34:V44" si="9">R34</f>
        <v>4728.8190000000004</v>
      </c>
      <c r="W34" s="174">
        <f t="shared" ref="W34:W44" si="10">S34</f>
        <v>4822.1329999999998</v>
      </c>
    </row>
    <row r="35" spans="1:24" ht="16.5" customHeight="1" x14ac:dyDescent="0.25">
      <c r="A35" s="189" t="s">
        <v>207</v>
      </c>
      <c r="B35" s="172" t="s">
        <v>208</v>
      </c>
      <c r="C35" s="173">
        <f>1586.164-1586.164+1594.442</f>
        <v>1594.442</v>
      </c>
      <c r="D35" s="174">
        <f>1932.933-1932.933+1942.658</f>
        <v>1942.6579999999999</v>
      </c>
      <c r="E35" s="174">
        <f>2082.932-2082.932+2156.958</f>
        <v>2156.9580000000001</v>
      </c>
      <c r="F35" s="174">
        <f>2401.89-2401.89+2489.79</f>
        <v>2489.79</v>
      </c>
      <c r="G35" s="173">
        <f>2768.491-2768.491+2881.265</f>
        <v>2881.2649999999999</v>
      </c>
      <c r="H35" s="173">
        <f>3069.486-3069.486+3163.485</f>
        <v>3163.4850000000001</v>
      </c>
      <c r="I35" s="173">
        <f>3126.937-3126.937+3282.312</f>
        <v>3282.3119999999999</v>
      </c>
      <c r="J35" s="174">
        <f>3336.133-3336.133+3472.845</f>
        <v>3472.8449999999998</v>
      </c>
      <c r="K35" s="174">
        <v>3501.569</v>
      </c>
      <c r="L35" s="174">
        <v>3572.7489999999998</v>
      </c>
      <c r="M35" s="174">
        <v>3799.7560000000003</v>
      </c>
      <c r="N35" s="174">
        <v>3993.3209999999999</v>
      </c>
      <c r="O35" s="174">
        <v>4015.3590000000004</v>
      </c>
      <c r="P35" s="174">
        <v>4050.4060000000004</v>
      </c>
      <c r="Q35" s="174">
        <v>4323.7420000000002</v>
      </c>
      <c r="R35" s="174">
        <v>4478.3050000000003</v>
      </c>
      <c r="S35" s="179">
        <v>4565.3959999999997</v>
      </c>
      <c r="U35" s="174">
        <f t="shared" si="8"/>
        <v>4323.7420000000002</v>
      </c>
      <c r="V35" s="174">
        <f t="shared" si="9"/>
        <v>4478.3050000000003</v>
      </c>
      <c r="W35" s="174">
        <f t="shared" si="10"/>
        <v>4565.3959999999997</v>
      </c>
    </row>
    <row r="36" spans="1:24" ht="16.5" customHeight="1" x14ac:dyDescent="0.25">
      <c r="A36" s="189" t="s">
        <v>209</v>
      </c>
      <c r="B36" s="197" t="s">
        <v>210</v>
      </c>
      <c r="C36" s="174">
        <f>119.633-119.633+182.085</f>
        <v>182.08500000000001</v>
      </c>
      <c r="D36" s="186">
        <f>117.132-117.132+177.068</f>
        <v>177.06800000000001</v>
      </c>
      <c r="E36" s="186">
        <f>118.993-118.993+172.681</f>
        <v>172.68100000000001</v>
      </c>
      <c r="F36" s="186">
        <f>124.715-124.715+192.466</f>
        <v>192.46600000000001</v>
      </c>
      <c r="G36" s="183">
        <f>161.037-161.037+229.694</f>
        <v>229.69399999999999</v>
      </c>
      <c r="H36" s="173">
        <f>163.959-163.959+231.573</f>
        <v>231.57300000000001</v>
      </c>
      <c r="I36" s="174">
        <f>163.215-163.215+218.033</f>
        <v>218.03299999999999</v>
      </c>
      <c r="J36" s="174">
        <f>146.169-146.169+195.795</f>
        <v>195.79499999999999</v>
      </c>
      <c r="K36" s="174">
        <v>219.87100000000001</v>
      </c>
      <c r="L36" s="174">
        <v>237.07499999999999</v>
      </c>
      <c r="M36" s="174">
        <v>235.52099999999999</v>
      </c>
      <c r="N36" s="174">
        <v>268.33</v>
      </c>
      <c r="O36" s="174">
        <v>202.01499999999999</v>
      </c>
      <c r="P36" s="174">
        <v>200.834</v>
      </c>
      <c r="Q36" s="174">
        <v>246.01900000000001</v>
      </c>
      <c r="R36" s="174">
        <v>250.51400000000001</v>
      </c>
      <c r="S36" s="179">
        <v>256.73700000000002</v>
      </c>
      <c r="U36" s="174">
        <f t="shared" si="8"/>
        <v>246.01900000000001</v>
      </c>
      <c r="V36" s="174">
        <f t="shared" si="9"/>
        <v>250.51400000000001</v>
      </c>
      <c r="W36" s="174">
        <f t="shared" si="10"/>
        <v>256.73700000000002</v>
      </c>
    </row>
    <row r="37" spans="1:24" ht="16.5" customHeight="1" x14ac:dyDescent="0.25">
      <c r="A37" s="171" t="s">
        <v>211</v>
      </c>
      <c r="B37" s="172" t="s">
        <v>212</v>
      </c>
      <c r="C37" s="174">
        <f>851.361-851.361+855.112</f>
        <v>855.11199999999997</v>
      </c>
      <c r="D37" s="186">
        <f>860.6-860.6+861.86</f>
        <v>861.86</v>
      </c>
      <c r="E37" s="186">
        <f>641.202-641.202+645.362</f>
        <v>645.36199999999997</v>
      </c>
      <c r="F37" s="186">
        <f>663.02-663.02+673.48</f>
        <v>673.48</v>
      </c>
      <c r="G37" s="183">
        <f>826.339-826.339+837.581</f>
        <v>837.58100000000002</v>
      </c>
      <c r="H37" s="173">
        <f>669.125-669.125+679.077</f>
        <v>679.077</v>
      </c>
      <c r="I37" s="174">
        <f>552.226-552.226+568.62</f>
        <v>568.62</v>
      </c>
      <c r="J37" s="174">
        <f>633.059-633.059+633.315-633.315+649.063</f>
        <v>649.06299999999999</v>
      </c>
      <c r="K37" s="174">
        <v>620.63900000000001</v>
      </c>
      <c r="L37" s="174">
        <v>662.23099999999999</v>
      </c>
      <c r="M37" s="174">
        <v>664.01199999999994</v>
      </c>
      <c r="N37" s="174">
        <v>560.18100000000004</v>
      </c>
      <c r="O37" s="174">
        <v>506.35899999999998</v>
      </c>
      <c r="P37" s="174">
        <v>614.31799999999998</v>
      </c>
      <c r="Q37" s="174">
        <v>490.12299999999999</v>
      </c>
      <c r="R37" s="174">
        <v>542.33100000000002</v>
      </c>
      <c r="S37" s="179">
        <v>536.19500000000005</v>
      </c>
      <c r="U37" s="174">
        <f t="shared" si="8"/>
        <v>490.12299999999999</v>
      </c>
      <c r="V37" s="174">
        <f t="shared" si="9"/>
        <v>542.33100000000002</v>
      </c>
      <c r="W37" s="174">
        <f t="shared" si="10"/>
        <v>536.19500000000005</v>
      </c>
    </row>
    <row r="38" spans="1:24" ht="16.5" customHeight="1" x14ac:dyDescent="0.25">
      <c r="A38" s="189" t="s">
        <v>213</v>
      </c>
      <c r="B38" s="172" t="s">
        <v>214</v>
      </c>
      <c r="C38" s="173">
        <v>506.34</v>
      </c>
      <c r="D38" s="186">
        <v>590.29999999999995</v>
      </c>
      <c r="E38" s="186">
        <v>445.36599999999999</v>
      </c>
      <c r="F38" s="186">
        <v>476.6</v>
      </c>
      <c r="G38" s="186">
        <v>634.42200000000003</v>
      </c>
      <c r="H38" s="174">
        <v>460.00900000000001</v>
      </c>
      <c r="I38" s="174">
        <f>396.975-396.975+304.096</f>
        <v>304.096</v>
      </c>
      <c r="J38" s="174">
        <f>444.674-444.674+349.759</f>
        <v>349.75900000000001</v>
      </c>
      <c r="K38" s="174">
        <v>323.11700000000002</v>
      </c>
      <c r="L38" s="174">
        <v>391.39800000000002</v>
      </c>
      <c r="M38" s="174">
        <v>410.12400000000002</v>
      </c>
      <c r="N38" s="174">
        <v>323.94</v>
      </c>
      <c r="O38" s="174">
        <v>268.85500000000002</v>
      </c>
      <c r="P38" s="174">
        <v>467.78899999999999</v>
      </c>
      <c r="Q38" s="174">
        <v>352.12299999999999</v>
      </c>
      <c r="R38" s="174">
        <v>410.55</v>
      </c>
      <c r="S38" s="179">
        <v>405.89699999999999</v>
      </c>
      <c r="U38" s="174">
        <f t="shared" si="8"/>
        <v>352.12299999999999</v>
      </c>
      <c r="V38" s="174">
        <f t="shared" si="9"/>
        <v>410.55</v>
      </c>
      <c r="W38" s="174">
        <f t="shared" si="10"/>
        <v>405.89699999999999</v>
      </c>
    </row>
    <row r="39" spans="1:24" ht="16.5" customHeight="1" x14ac:dyDescent="0.25">
      <c r="A39" s="189" t="s">
        <v>215</v>
      </c>
      <c r="B39" s="172" t="s">
        <v>216</v>
      </c>
      <c r="C39" s="174">
        <f>293.725-293.725+291.467</f>
        <v>291.46699999999998</v>
      </c>
      <c r="D39" s="186">
        <f>225.732-225.732+221.026</f>
        <v>221.02600000000001</v>
      </c>
      <c r="E39" s="186">
        <f>120.059-120.059+118.198</f>
        <v>118.19799999999999</v>
      </c>
      <c r="F39" s="186">
        <f>137.699-137.699+136.414</f>
        <v>136.41399999999999</v>
      </c>
      <c r="G39" s="186">
        <f>143.866-143.866+142.712</f>
        <v>142.71199999999999</v>
      </c>
      <c r="H39" s="174">
        <f>155.855-155.855+154.043</f>
        <v>154.04300000000001</v>
      </c>
      <c r="I39" s="174">
        <f>191.41-191.41+188.374</f>
        <v>188.374</v>
      </c>
      <c r="J39" s="174">
        <f>227.065-227.065+222.903</f>
        <v>222.90299999999999</v>
      </c>
      <c r="K39" s="174">
        <v>222.62200000000001</v>
      </c>
      <c r="L39" s="174">
        <v>192.88300000000001</v>
      </c>
      <c r="M39" s="174">
        <v>172.41499999999999</v>
      </c>
      <c r="N39" s="174">
        <v>160.99600000000001</v>
      </c>
      <c r="O39" s="174">
        <v>163.239</v>
      </c>
      <c r="P39" s="174">
        <v>70.155000000000001</v>
      </c>
      <c r="Q39" s="174">
        <v>63.103999999999999</v>
      </c>
      <c r="R39" s="174">
        <v>61.671999999999997</v>
      </c>
      <c r="S39" s="179">
        <v>60.256</v>
      </c>
      <c r="U39" s="174">
        <f t="shared" si="8"/>
        <v>63.103999999999999</v>
      </c>
      <c r="V39" s="174">
        <f t="shared" si="9"/>
        <v>61.671999999999997</v>
      </c>
      <c r="W39" s="174">
        <f t="shared" si="10"/>
        <v>60.256</v>
      </c>
    </row>
    <row r="40" spans="1:24" s="195" customFormat="1" ht="16.5" customHeight="1" x14ac:dyDescent="0.25">
      <c r="A40" s="191" t="s">
        <v>140</v>
      </c>
      <c r="B40" s="194" t="s">
        <v>174</v>
      </c>
      <c r="C40" s="169">
        <f t="shared" ref="C40:I40" si="11">C42+C43+C44</f>
        <v>1207.5630000000001</v>
      </c>
      <c r="D40" s="169">
        <f t="shared" si="11"/>
        <v>1810.567</v>
      </c>
      <c r="E40" s="169">
        <f t="shared" si="11"/>
        <v>1582.797</v>
      </c>
      <c r="F40" s="169">
        <f t="shared" si="11"/>
        <v>2315.634</v>
      </c>
      <c r="G40" s="169">
        <f t="shared" si="11"/>
        <v>1903.7950000000001</v>
      </c>
      <c r="H40" s="169">
        <f t="shared" si="11"/>
        <v>2254.4430000000002</v>
      </c>
      <c r="I40" s="169">
        <f t="shared" si="11"/>
        <v>2249.8919999999998</v>
      </c>
      <c r="J40" s="169">
        <f>J42+J43+J44</f>
        <v>3976.0789999999997</v>
      </c>
      <c r="K40" s="169">
        <v>1362.4270000000001</v>
      </c>
      <c r="L40" s="169">
        <v>949.83200000000011</v>
      </c>
      <c r="M40" s="169">
        <v>1168.0909999999999</v>
      </c>
      <c r="N40" s="169">
        <v>1525.73</v>
      </c>
      <c r="O40" s="169">
        <v>1726.65</v>
      </c>
      <c r="P40" s="169">
        <v>1765.184</v>
      </c>
      <c r="Q40" s="169">
        <v>2978.9519999999998</v>
      </c>
      <c r="R40" s="169">
        <v>3859.31</v>
      </c>
      <c r="S40" s="528">
        <v>2570.6493</v>
      </c>
      <c r="U40" s="169">
        <f t="shared" si="8"/>
        <v>2978.9519999999998</v>
      </c>
      <c r="V40" s="169">
        <f t="shared" si="9"/>
        <v>3859.31</v>
      </c>
      <c r="W40" s="169">
        <f t="shared" si="10"/>
        <v>2570.6493</v>
      </c>
    </row>
    <row r="41" spans="1:24" ht="16.5" customHeight="1" x14ac:dyDescent="0.25">
      <c r="A41" s="198" t="s">
        <v>217</v>
      </c>
      <c r="B41" s="199" t="s">
        <v>218</v>
      </c>
      <c r="C41" s="174">
        <f>863.316-664.004+(82.62)</f>
        <v>281.93200000000002</v>
      </c>
      <c r="D41" s="174">
        <f>1111.48-809.95+(-7.137)</f>
        <v>294.39299999999997</v>
      </c>
      <c r="E41" s="174">
        <f>1663.755-1239.247+(225.936)</f>
        <v>650.44400000000007</v>
      </c>
      <c r="F41" s="174">
        <f>2031.344-1297.937+(60.035)</f>
        <v>793.44200000000012</v>
      </c>
      <c r="G41" s="173">
        <f>2127.345-1208.845+(-113.094)</f>
        <v>805.40599999999972</v>
      </c>
      <c r="H41" s="173">
        <f>2174.997-1218.111+(-148.212)</f>
        <v>808.67399999999975</v>
      </c>
      <c r="I41" s="173">
        <f>1257.505-818.843+(756.009)</f>
        <v>1194.6710000000003</v>
      </c>
      <c r="J41" s="174">
        <f>2986.181</f>
        <v>2986.181</v>
      </c>
      <c r="K41" s="174">
        <v>787.80299999999988</v>
      </c>
      <c r="L41" s="174">
        <v>661.40300000000002</v>
      </c>
      <c r="M41" s="174">
        <v>1009.861</v>
      </c>
      <c r="N41" s="174">
        <v>944.75599999999997</v>
      </c>
      <c r="O41" s="174">
        <v>1027.7929999999999</v>
      </c>
      <c r="P41" s="174">
        <v>1204.5049999999999</v>
      </c>
      <c r="Q41" s="174">
        <v>2336.77</v>
      </c>
      <c r="R41" s="174">
        <v>3394.7249999999999</v>
      </c>
      <c r="S41" s="179">
        <v>2089.63</v>
      </c>
      <c r="U41" s="174">
        <f t="shared" si="8"/>
        <v>2336.77</v>
      </c>
      <c r="V41" s="174">
        <f t="shared" si="9"/>
        <v>3394.7249999999999</v>
      </c>
      <c r="W41" s="174">
        <f t="shared" si="10"/>
        <v>2089.63</v>
      </c>
    </row>
    <row r="42" spans="1:24" ht="16.5" customHeight="1" x14ac:dyDescent="0.25">
      <c r="A42" s="190" t="s">
        <v>219</v>
      </c>
      <c r="B42" s="197" t="s">
        <v>220</v>
      </c>
      <c r="C42" s="174">
        <v>0</v>
      </c>
      <c r="D42" s="174">
        <v>0</v>
      </c>
      <c r="E42" s="174">
        <v>0</v>
      </c>
      <c r="F42" s="174">
        <v>0</v>
      </c>
      <c r="G42" s="173">
        <v>0</v>
      </c>
      <c r="H42" s="173">
        <v>0</v>
      </c>
      <c r="I42" s="173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74">
        <v>0</v>
      </c>
      <c r="Q42" s="174">
        <v>0</v>
      </c>
      <c r="R42" s="174">
        <v>0</v>
      </c>
      <c r="S42" s="179">
        <v>0</v>
      </c>
      <c r="U42" s="174">
        <f t="shared" si="8"/>
        <v>0</v>
      </c>
      <c r="V42" s="174">
        <f t="shared" si="9"/>
        <v>0</v>
      </c>
      <c r="W42" s="174">
        <f t="shared" si="10"/>
        <v>0</v>
      </c>
    </row>
    <row r="43" spans="1:24" ht="16.5" customHeight="1" x14ac:dyDescent="0.25">
      <c r="A43" s="171" t="s">
        <v>164</v>
      </c>
      <c r="B43" s="172" t="s">
        <v>221</v>
      </c>
      <c r="C43" s="173">
        <f>1155.759-1155.759+1045.303</f>
        <v>1045.3030000000001</v>
      </c>
      <c r="D43" s="173">
        <f>1274.844-1274.844+1180.024</f>
        <v>1180.0239999999999</v>
      </c>
      <c r="E43" s="174">
        <f>1027.778-1027.778+946.428</f>
        <v>946.428</v>
      </c>
      <c r="F43" s="174">
        <f>1583.719-1583.719+1434.76</f>
        <v>1434.76</v>
      </c>
      <c r="G43" s="173">
        <f>1347.222-1347.222+1125.053</f>
        <v>1125.0530000000001</v>
      </c>
      <c r="H43" s="173">
        <f>1477.714-1477.714+1269.18</f>
        <v>1269.18</v>
      </c>
      <c r="I43" s="173">
        <f>1438.031-1438.031+1510.906-1510.906+1287.885</f>
        <v>1287.885</v>
      </c>
      <c r="J43" s="174">
        <f>2157.163-2157.163+2281.083-2281.083+2060.298</f>
        <v>2060.2979999999998</v>
      </c>
      <c r="K43" s="174">
        <v>830.947</v>
      </c>
      <c r="L43" s="174">
        <v>607.39200000000005</v>
      </c>
      <c r="M43" s="174">
        <v>492.48599999999999</v>
      </c>
      <c r="N43" s="174">
        <v>933.82600000000002</v>
      </c>
      <c r="O43" s="174">
        <v>1118.173</v>
      </c>
      <c r="P43" s="174">
        <v>1690.922</v>
      </c>
      <c r="Q43" s="174">
        <v>2771.33</v>
      </c>
      <c r="R43" s="174">
        <v>3813.1179999999999</v>
      </c>
      <c r="S43" s="179">
        <v>2516.2193000000002</v>
      </c>
      <c r="U43" s="174">
        <f t="shared" si="8"/>
        <v>2771.33</v>
      </c>
      <c r="V43" s="174">
        <f t="shared" si="9"/>
        <v>3813.1179999999999</v>
      </c>
      <c r="W43" s="174">
        <f t="shared" si="10"/>
        <v>2516.2193000000002</v>
      </c>
    </row>
    <row r="44" spans="1:24" ht="16.5" customHeight="1" x14ac:dyDescent="0.25">
      <c r="A44" s="200" t="s">
        <v>53</v>
      </c>
      <c r="B44" s="172" t="s">
        <v>222</v>
      </c>
      <c r="C44" s="174">
        <f>162.36-C27</f>
        <v>162.26000000000002</v>
      </c>
      <c r="D44" s="174">
        <f>630.588-D27</f>
        <v>630.54300000000001</v>
      </c>
      <c r="E44" s="174">
        <f>636.369-636.369+636.389-E27</f>
        <v>636.36900000000003</v>
      </c>
      <c r="F44" s="174">
        <f>880.887-F27</f>
        <v>880.87399999999991</v>
      </c>
      <c r="G44" s="173">
        <f>778.754-G27</f>
        <v>778.74200000000008</v>
      </c>
      <c r="H44" s="173">
        <f>985.27-H27</f>
        <v>985.26300000000003</v>
      </c>
      <c r="I44" s="173">
        <f>962.011-I27</f>
        <v>962.00699999999995</v>
      </c>
      <c r="J44" s="174">
        <f>2074.316-2074.316+1915.775-J27</f>
        <v>1915.7810000000002</v>
      </c>
      <c r="K44" s="174">
        <v>531.48</v>
      </c>
      <c r="L44" s="174">
        <v>342.44</v>
      </c>
      <c r="M44" s="174">
        <v>675.60500000000002</v>
      </c>
      <c r="N44" s="174">
        <v>591.904</v>
      </c>
      <c r="O44" s="174">
        <v>608.47699999999998</v>
      </c>
      <c r="P44" s="174">
        <v>74.262</v>
      </c>
      <c r="Q44" s="174">
        <v>207.62200000000001</v>
      </c>
      <c r="R44" s="174">
        <v>46.192</v>
      </c>
      <c r="S44" s="179">
        <v>54.43</v>
      </c>
      <c r="U44" s="174">
        <f t="shared" si="8"/>
        <v>207.62200000000001</v>
      </c>
      <c r="V44" s="174">
        <f t="shared" si="9"/>
        <v>46.192</v>
      </c>
      <c r="W44" s="174">
        <f t="shared" si="10"/>
        <v>54.43</v>
      </c>
    </row>
    <row r="45" spans="1:24" ht="16.5" customHeight="1" x14ac:dyDescent="0.25">
      <c r="A45" s="201"/>
      <c r="B45" s="194" t="s">
        <v>174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528"/>
      <c r="U45" s="169"/>
      <c r="V45" s="169"/>
      <c r="W45" s="169"/>
    </row>
    <row r="46" spans="1:24" ht="16.5" customHeight="1" x14ac:dyDescent="0.25">
      <c r="A46" s="161" t="s">
        <v>42</v>
      </c>
      <c r="B46" s="162" t="s">
        <v>172</v>
      </c>
      <c r="C46" s="202">
        <f>C48+C86</f>
        <v>25374.615000000002</v>
      </c>
      <c r="D46" s="202">
        <f t="shared" ref="D46:K46" si="12">D48+D86</f>
        <v>28463.259000000002</v>
      </c>
      <c r="E46" s="202">
        <f t="shared" si="12"/>
        <v>28736.951000000005</v>
      </c>
      <c r="F46" s="202">
        <f t="shared" si="12"/>
        <v>29512.988999999998</v>
      </c>
      <c r="G46" s="202">
        <f t="shared" si="12"/>
        <v>30103.038</v>
      </c>
      <c r="H46" s="202">
        <f t="shared" si="12"/>
        <v>31441.087000000003</v>
      </c>
      <c r="I46" s="202">
        <f t="shared" si="12"/>
        <v>32942.868000000002</v>
      </c>
      <c r="J46" s="202">
        <f t="shared" si="12"/>
        <v>36430.345999999998</v>
      </c>
      <c r="K46" s="202">
        <f t="shared" si="12"/>
        <v>34574.875</v>
      </c>
      <c r="L46" s="202">
        <v>34903.433000000005</v>
      </c>
      <c r="M46" s="202">
        <v>37218.35</v>
      </c>
      <c r="N46" s="202">
        <v>39972.508000000002</v>
      </c>
      <c r="O46" s="202">
        <v>43815.630000000005</v>
      </c>
      <c r="P46" s="202">
        <f t="shared" ref="P46:S46" si="13">P48+P86</f>
        <v>48530.659</v>
      </c>
      <c r="Q46" s="202">
        <f t="shared" si="13"/>
        <v>49387.358</v>
      </c>
      <c r="R46" s="202">
        <f t="shared" si="13"/>
        <v>51554.812999999995</v>
      </c>
      <c r="S46" s="202">
        <f t="shared" si="13"/>
        <v>51490.828000000001</v>
      </c>
      <c r="U46" s="202">
        <v>48200.517790999998</v>
      </c>
      <c r="V46" s="202">
        <v>51501.396615516009</v>
      </c>
      <c r="W46" s="202">
        <v>51752.014228059503</v>
      </c>
    </row>
    <row r="47" spans="1:24" ht="16.5" customHeight="1" x14ac:dyDescent="0.25">
      <c r="A47" s="164" t="s">
        <v>3</v>
      </c>
      <c r="B47" s="203"/>
      <c r="C47" s="204">
        <f t="shared" ref="C47:K47" si="14">C46/C95</f>
        <v>0.36994339481305105</v>
      </c>
      <c r="D47" s="204">
        <f t="shared" si="14"/>
        <v>0.44407564591215809</v>
      </c>
      <c r="E47" s="204">
        <f t="shared" si="14"/>
        <v>0.4220252624044975</v>
      </c>
      <c r="F47" s="204">
        <f t="shared" si="14"/>
        <v>0.41442453194183926</v>
      </c>
      <c r="G47" s="204">
        <f t="shared" si="14"/>
        <v>0.40965531161403113</v>
      </c>
      <c r="H47" s="204">
        <f t="shared" si="14"/>
        <v>0.42285189351144503</v>
      </c>
      <c r="I47" s="204">
        <f t="shared" si="14"/>
        <v>0.43200443517413284</v>
      </c>
      <c r="J47" s="204">
        <f t="shared" si="14"/>
        <v>0.45675989319618276</v>
      </c>
      <c r="K47" s="204">
        <f t="shared" si="14"/>
        <v>0.42664815642474785</v>
      </c>
      <c r="L47" s="204">
        <v>0.4133378586811331</v>
      </c>
      <c r="M47" s="204">
        <v>0.41617286346310578</v>
      </c>
      <c r="N47" s="204">
        <v>0.42502226495263334</v>
      </c>
      <c r="O47" s="204">
        <v>0.47584693155579799</v>
      </c>
      <c r="P47" s="204">
        <f t="shared" ref="P47:S47" si="15">P46/P95</f>
        <v>0.49805881314288852</v>
      </c>
      <c r="Q47" s="204">
        <f t="shared" si="15"/>
        <v>0.46796933849445504</v>
      </c>
      <c r="R47" s="204">
        <f t="shared" si="15"/>
        <v>0.4526741646568449</v>
      </c>
      <c r="S47" s="204">
        <f t="shared" si="15"/>
        <v>0.43937578240420017</v>
      </c>
      <c r="U47" s="204">
        <v>45.672344784558994</v>
      </c>
      <c r="V47" s="204">
        <v>45.220514506743669</v>
      </c>
      <c r="W47" s="204">
        <v>44.160450755320817</v>
      </c>
    </row>
    <row r="48" spans="1:24" s="170" customFormat="1" ht="16.5" customHeight="1" x14ac:dyDescent="0.25">
      <c r="A48" s="205" t="s">
        <v>223</v>
      </c>
      <c r="B48" s="168" t="s">
        <v>174</v>
      </c>
      <c r="C48" s="169">
        <f t="shared" ref="C48:J48" si="16">C49+C52+C53+C56+C62+C65+C82</f>
        <v>22480.924000000003</v>
      </c>
      <c r="D48" s="169">
        <f t="shared" si="16"/>
        <v>24757.755000000001</v>
      </c>
      <c r="E48" s="169">
        <f t="shared" si="16"/>
        <v>25711.588000000003</v>
      </c>
      <c r="F48" s="169">
        <f t="shared" si="16"/>
        <v>26288.807999999997</v>
      </c>
      <c r="G48" s="169">
        <f t="shared" si="16"/>
        <v>27273.931</v>
      </c>
      <c r="H48" s="169">
        <f t="shared" si="16"/>
        <v>28500.035000000003</v>
      </c>
      <c r="I48" s="169">
        <f t="shared" si="16"/>
        <v>29420.920000000002</v>
      </c>
      <c r="J48" s="169">
        <f t="shared" si="16"/>
        <v>30669.378999999997</v>
      </c>
      <c r="K48" s="169">
        <v>31268.263999999999</v>
      </c>
      <c r="L48" s="169">
        <v>31835.754000000001</v>
      </c>
      <c r="M48" s="169">
        <v>33520.354999999996</v>
      </c>
      <c r="N48" s="169">
        <v>36181.389000000003</v>
      </c>
      <c r="O48" s="169">
        <v>39905.668000000005</v>
      </c>
      <c r="P48" s="169">
        <v>43935.801999999996</v>
      </c>
      <c r="Q48" s="169">
        <v>44215.201000000001</v>
      </c>
      <c r="R48" s="169">
        <v>46038.917999999998</v>
      </c>
      <c r="S48" s="528">
        <v>46389.798000000003</v>
      </c>
      <c r="U48" s="169">
        <v>43114.345627999995</v>
      </c>
      <c r="V48" s="169">
        <v>46243.342335107998</v>
      </c>
      <c r="W48" s="169">
        <v>46894.983892960699</v>
      </c>
    </row>
    <row r="49" spans="1:23" s="195" customFormat="1" ht="16.5" customHeight="1" x14ac:dyDescent="0.25">
      <c r="A49" s="206" t="s">
        <v>43</v>
      </c>
      <c r="B49" s="172" t="s">
        <v>224</v>
      </c>
      <c r="C49" s="174">
        <f>5123.958-5123.958+5164.274</f>
        <v>5164.2740000000003</v>
      </c>
      <c r="D49" s="174">
        <f>5479.255-5479.255+5543.503</f>
        <v>5543.5029999999997</v>
      </c>
      <c r="E49" s="174">
        <f>5716.126-5716.126+5756.796</f>
        <v>5756.7960000000003</v>
      </c>
      <c r="F49" s="174">
        <f>5845.659-5845.659+5895.087</f>
        <v>5895.0870000000004</v>
      </c>
      <c r="G49" s="173">
        <f>5991.294-5991.294+6033.52</f>
        <v>6033.52</v>
      </c>
      <c r="H49" s="173">
        <f>6356.049-6356.049+6417.659</f>
        <v>6417.6589999999997</v>
      </c>
      <c r="I49" s="173">
        <f>6693.738-6693.738+6766.776</f>
        <v>6766.7759999999998</v>
      </c>
      <c r="J49" s="174">
        <f>7049.497-7049.497+7049.858-7049.858+7120.812</f>
        <v>7120.8119999999999</v>
      </c>
      <c r="K49" s="174">
        <v>7537.4830000000002</v>
      </c>
      <c r="L49" s="174">
        <v>7928.2219999999998</v>
      </c>
      <c r="M49" s="174">
        <v>8368.3819999999996</v>
      </c>
      <c r="N49" s="174">
        <v>9609.4339999999993</v>
      </c>
      <c r="O49" s="174">
        <v>10485.816999999999</v>
      </c>
      <c r="P49" s="174">
        <v>10634.357</v>
      </c>
      <c r="Q49" s="174">
        <v>10597.133000000002</v>
      </c>
      <c r="R49" s="174">
        <v>10832.871999999999</v>
      </c>
      <c r="S49" s="179">
        <v>11126.384</v>
      </c>
      <c r="U49" s="174">
        <v>10919.620320000002</v>
      </c>
      <c r="V49" s="174">
        <v>11532.24141456</v>
      </c>
      <c r="W49" s="174">
        <v>12168.895788604479</v>
      </c>
    </row>
    <row r="50" spans="1:23" s="195" customFormat="1" ht="16.5" customHeight="1" x14ac:dyDescent="0.25">
      <c r="A50" s="189" t="s">
        <v>162</v>
      </c>
      <c r="B50" s="172" t="s">
        <v>225</v>
      </c>
      <c r="C50" s="173">
        <v>3882.7379999999998</v>
      </c>
      <c r="D50" s="173">
        <v>4068.3440000000001</v>
      </c>
      <c r="E50" s="173">
        <v>4241.7030000000004</v>
      </c>
      <c r="F50" s="173">
        <v>4259.3040000000001</v>
      </c>
      <c r="G50" s="173">
        <v>4439.4539999999997</v>
      </c>
      <c r="H50" s="173">
        <v>4666.4269999999997</v>
      </c>
      <c r="I50" s="173">
        <v>4894.2</v>
      </c>
      <c r="J50" s="173">
        <f>5141.582-5141.582+5141.943</f>
        <v>5141.9430000000002</v>
      </c>
      <c r="K50" s="173">
        <v>5465.5720000000001</v>
      </c>
      <c r="L50" s="173">
        <v>5758.5990000000002</v>
      </c>
      <c r="M50" s="173">
        <v>6230.7879999999996</v>
      </c>
      <c r="N50" s="173">
        <v>7003.9780000000001</v>
      </c>
      <c r="O50" s="173">
        <v>7681.3639999999996</v>
      </c>
      <c r="P50" s="173">
        <v>7805.1080000000002</v>
      </c>
      <c r="Q50" s="173">
        <v>7740.59</v>
      </c>
      <c r="R50" s="173">
        <v>7903.5970000000007</v>
      </c>
      <c r="S50" s="529">
        <v>8112.7129999999997</v>
      </c>
      <c r="U50" s="173">
        <v>8007.0834360000008</v>
      </c>
      <c r="V50" s="173">
        <v>8453.3594852879996</v>
      </c>
      <c r="W50" s="173">
        <v>8919.1795074347028</v>
      </c>
    </row>
    <row r="51" spans="1:23" s="195" customFormat="1" ht="16.5" customHeight="1" x14ac:dyDescent="0.25">
      <c r="A51" s="189" t="s">
        <v>163</v>
      </c>
      <c r="B51" s="172" t="s">
        <v>226</v>
      </c>
      <c r="C51" s="173">
        <v>1241.22</v>
      </c>
      <c r="D51" s="173">
        <v>1410.9110000000001</v>
      </c>
      <c r="E51" s="173">
        <v>1474.423</v>
      </c>
      <c r="F51" s="173">
        <v>1586.355</v>
      </c>
      <c r="G51" s="173">
        <v>1551.84</v>
      </c>
      <c r="H51" s="173">
        <v>1689.6220000000001</v>
      </c>
      <c r="I51" s="173">
        <v>1799.538</v>
      </c>
      <c r="J51" s="173">
        <v>1907.915</v>
      </c>
      <c r="K51" s="173">
        <v>2071.9110000000001</v>
      </c>
      <c r="L51" s="173">
        <v>2169.623</v>
      </c>
      <c r="M51" s="173">
        <v>2137.5940000000001</v>
      </c>
      <c r="N51" s="173">
        <v>2605.4560000000001</v>
      </c>
      <c r="O51" s="173">
        <v>2804.453</v>
      </c>
      <c r="P51" s="173">
        <v>2829.2489999999998</v>
      </c>
      <c r="Q51" s="173">
        <v>2856.5430000000015</v>
      </c>
      <c r="R51" s="173">
        <v>2929.2749999999987</v>
      </c>
      <c r="S51" s="529">
        <v>3013.6710000000003</v>
      </c>
      <c r="U51" s="173">
        <v>2912.536884000001</v>
      </c>
      <c r="V51" s="173">
        <v>3078.8819292719982</v>
      </c>
      <c r="W51" s="173">
        <v>3249.7162811697763</v>
      </c>
    </row>
    <row r="52" spans="1:23" s="195" customFormat="1" ht="16.5" customHeight="1" x14ac:dyDescent="0.25">
      <c r="A52" s="206" t="s">
        <v>45</v>
      </c>
      <c r="B52" s="172" t="s">
        <v>227</v>
      </c>
      <c r="C52" s="174">
        <f>3313.989-3313.989+3328.588</f>
        <v>3328.5880000000002</v>
      </c>
      <c r="D52" s="174">
        <f>3898.526-3898.526+3917.29</f>
        <v>3917.29</v>
      </c>
      <c r="E52" s="174">
        <f>3871.698-3871.698+3996.778</f>
        <v>3996.7779999999998</v>
      </c>
      <c r="F52" s="174">
        <f>3985.367-3985.367+4136.558</f>
        <v>4136.558</v>
      </c>
      <c r="G52" s="173">
        <f>4006.704-4006.704+4213.033</f>
        <v>4213.0330000000004</v>
      </c>
      <c r="H52" s="173">
        <f>4101.731-4101.731+4210.437</f>
        <v>4210.4369999999999</v>
      </c>
      <c r="I52" s="173">
        <f>4266.165-4266.165+4380.653</f>
        <v>4380.6530000000002</v>
      </c>
      <c r="J52" s="174">
        <f>4654.823-4654.823+4654.941-4654.941+4736.737</f>
        <v>4736.7370000000001</v>
      </c>
      <c r="K52" s="174">
        <v>4538.4610000000002</v>
      </c>
      <c r="L52" s="174">
        <v>4866.3329999999996</v>
      </c>
      <c r="M52" s="174">
        <v>4936.0230000000001</v>
      </c>
      <c r="N52" s="174">
        <v>5164.3140000000003</v>
      </c>
      <c r="O52" s="174">
        <v>5532.4520000000002</v>
      </c>
      <c r="P52" s="174">
        <v>6807.4810000000007</v>
      </c>
      <c r="Q52" s="174">
        <v>7828.8549999999996</v>
      </c>
      <c r="R52" s="174">
        <v>8564.8739999999998</v>
      </c>
      <c r="S52" s="179">
        <v>8216.0789999999997</v>
      </c>
      <c r="U52" s="174">
        <v>6798.2322740000018</v>
      </c>
      <c r="V52" s="174">
        <v>8071.9138474939982</v>
      </c>
      <c r="W52" s="174">
        <v>7787.2968002064099</v>
      </c>
    </row>
    <row r="53" spans="1:23" s="195" customFormat="1" ht="16.5" customHeight="1" x14ac:dyDescent="0.25">
      <c r="A53" s="198" t="s">
        <v>165</v>
      </c>
      <c r="B53" s="197" t="s">
        <v>228</v>
      </c>
      <c r="C53" s="174">
        <f t="shared" ref="C53:I53" si="17">C54+C55</f>
        <v>80.391000000000005</v>
      </c>
      <c r="D53" s="174">
        <f t="shared" si="17"/>
        <v>75.658000000000001</v>
      </c>
      <c r="E53" s="174">
        <f t="shared" si="17"/>
        <v>94.039999999999992</v>
      </c>
      <c r="F53" s="174">
        <f t="shared" si="17"/>
        <v>102.44500000000001</v>
      </c>
      <c r="G53" s="173">
        <f t="shared" si="17"/>
        <v>97.396999999999991</v>
      </c>
      <c r="H53" s="173">
        <f t="shared" si="17"/>
        <v>114.928</v>
      </c>
      <c r="I53" s="173">
        <f t="shared" si="17"/>
        <v>109.471</v>
      </c>
      <c r="J53" s="173">
        <f>J54+J55</f>
        <v>102.72799999999999</v>
      </c>
      <c r="K53" s="173">
        <v>129.98400000000001</v>
      </c>
      <c r="L53" s="173">
        <v>87.754999999999995</v>
      </c>
      <c r="M53" s="173">
        <v>150.434</v>
      </c>
      <c r="N53" s="173">
        <v>158.422</v>
      </c>
      <c r="O53" s="173">
        <v>156.959</v>
      </c>
      <c r="P53" s="173">
        <v>118.059</v>
      </c>
      <c r="Q53" s="173">
        <v>112.85</v>
      </c>
      <c r="R53" s="173">
        <v>118.515</v>
      </c>
      <c r="S53" s="529">
        <v>126.149</v>
      </c>
      <c r="U53" s="173">
        <v>112.85</v>
      </c>
      <c r="V53" s="173">
        <v>118.515</v>
      </c>
      <c r="W53" s="173">
        <v>126.149</v>
      </c>
    </row>
    <row r="54" spans="1:23" ht="16.5" customHeight="1" x14ac:dyDescent="0.25">
      <c r="A54" s="207" t="s">
        <v>229</v>
      </c>
      <c r="B54" s="172" t="s">
        <v>230</v>
      </c>
      <c r="C54" s="174">
        <f>35.125-35.125+61.139</f>
        <v>61.139000000000003</v>
      </c>
      <c r="D54" s="174">
        <f>35.181-35.181+66.901</f>
        <v>66.900999999999996</v>
      </c>
      <c r="E54" s="174">
        <f>39.637-39.637+72.16</f>
        <v>72.16</v>
      </c>
      <c r="F54" s="174">
        <f>49.839-49.839+75.992</f>
        <v>75.992000000000004</v>
      </c>
      <c r="G54" s="173">
        <f>58.804-58.804+88.079</f>
        <v>88.078999999999994</v>
      </c>
      <c r="H54" s="173">
        <f>56.468-56.468+92.152</f>
        <v>92.152000000000001</v>
      </c>
      <c r="I54" s="173">
        <f>38.512-38.512+79.536</f>
        <v>79.536000000000001</v>
      </c>
      <c r="J54" s="174">
        <f>60.713-60.713+101.865</f>
        <v>101.86499999999999</v>
      </c>
      <c r="K54" s="174">
        <v>107.322</v>
      </c>
      <c r="L54" s="174">
        <v>62.34</v>
      </c>
      <c r="M54" s="174">
        <v>124.22</v>
      </c>
      <c r="N54" s="174">
        <v>134.30699999999999</v>
      </c>
      <c r="O54" s="174">
        <v>133.608</v>
      </c>
      <c r="P54" s="174">
        <v>118.059</v>
      </c>
      <c r="Q54" s="174">
        <v>112.85</v>
      </c>
      <c r="R54" s="174">
        <v>118.515</v>
      </c>
      <c r="S54" s="179">
        <v>126.149</v>
      </c>
      <c r="U54" s="174">
        <v>112.85</v>
      </c>
      <c r="V54" s="174">
        <v>118.515</v>
      </c>
      <c r="W54" s="174">
        <v>126.149</v>
      </c>
    </row>
    <row r="55" spans="1:23" ht="16.5" customHeight="1" x14ac:dyDescent="0.25">
      <c r="A55" s="207" t="s">
        <v>231</v>
      </c>
      <c r="B55" s="172" t="s">
        <v>183</v>
      </c>
      <c r="C55" s="174">
        <f>19.223-19.223+19.252</f>
        <v>19.251999999999999</v>
      </c>
      <c r="D55" s="186">
        <f>8.373-8.373+8.757</f>
        <v>8.7569999999999997</v>
      </c>
      <c r="E55" s="186">
        <f>20.104-20.104+21.88</f>
        <v>21.88</v>
      </c>
      <c r="F55" s="186">
        <f>18.39-18.39+26.453</f>
        <v>26.452999999999999</v>
      </c>
      <c r="G55" s="183">
        <f>19.492-19.492+9.318</f>
        <v>9.3179999999999996</v>
      </c>
      <c r="H55" s="173">
        <f>25.19-25.19+22.776</f>
        <v>22.776</v>
      </c>
      <c r="I55" s="173">
        <f>30.224-30.224+29.935</f>
        <v>29.934999999999999</v>
      </c>
      <c r="J55" s="174">
        <f>10.587-10.587+10.636-10.636+0.863</f>
        <v>0.86299999999999999</v>
      </c>
      <c r="K55" s="174">
        <v>22.661999999999999</v>
      </c>
      <c r="L55" s="174">
        <v>25.414999999999999</v>
      </c>
      <c r="M55" s="174">
        <v>26.213999999999999</v>
      </c>
      <c r="N55" s="174">
        <v>24.114999999999998</v>
      </c>
      <c r="O55" s="174">
        <v>23.350999999999999</v>
      </c>
      <c r="P55" s="174">
        <v>0</v>
      </c>
      <c r="Q55" s="174">
        <v>0</v>
      </c>
      <c r="R55" s="174">
        <v>0</v>
      </c>
      <c r="S55" s="179">
        <v>0</v>
      </c>
      <c r="U55" s="174">
        <v>0</v>
      </c>
      <c r="V55" s="174">
        <v>0</v>
      </c>
      <c r="W55" s="174">
        <v>0</v>
      </c>
    </row>
    <row r="56" spans="1:23" s="195" customFormat="1" ht="16.5" customHeight="1" x14ac:dyDescent="0.25">
      <c r="A56" s="198" t="s">
        <v>47</v>
      </c>
      <c r="B56" s="197" t="s">
        <v>232</v>
      </c>
      <c r="C56" s="174">
        <v>919.86900000000003</v>
      </c>
      <c r="D56" s="186">
        <f>734.258-734.258+877.728</f>
        <v>877.72799999999995</v>
      </c>
      <c r="E56" s="186">
        <f>623.359-623.359+782.77</f>
        <v>782.77</v>
      </c>
      <c r="F56" s="186">
        <f>498.551-498.551+878.189</f>
        <v>878.18899999999996</v>
      </c>
      <c r="G56" s="183">
        <f>490.516-490.516+892.342</f>
        <v>892.34199999999998</v>
      </c>
      <c r="H56" s="173">
        <f>574.001-574.001+1079.6</f>
        <v>1079.5999999999999</v>
      </c>
      <c r="I56" s="173">
        <f>519.818-519.818+1066.82</f>
        <v>1066.82</v>
      </c>
      <c r="J56" s="174">
        <f>463.736-463.736+949.99</f>
        <v>949.99</v>
      </c>
      <c r="K56" s="174">
        <v>854.73</v>
      </c>
      <c r="L56" s="174">
        <v>876.726</v>
      </c>
      <c r="M56" s="174">
        <v>879.05700000000002</v>
      </c>
      <c r="N56" s="174">
        <v>928.1</v>
      </c>
      <c r="O56" s="174">
        <v>1240.3530000000001</v>
      </c>
      <c r="P56" s="174">
        <v>1688.7220000000002</v>
      </c>
      <c r="Q56" s="174">
        <v>1118.0930000000001</v>
      </c>
      <c r="R56" s="174">
        <v>1248.6289999999999</v>
      </c>
      <c r="S56" s="179">
        <v>1071.6130000000001</v>
      </c>
      <c r="U56" s="174">
        <v>1155.6639300000002</v>
      </c>
      <c r="V56" s="174">
        <v>1319.81020883</v>
      </c>
      <c r="W56" s="174">
        <v>1150.2258019624501</v>
      </c>
    </row>
    <row r="57" spans="1:23" s="195" customFormat="1" ht="16.5" customHeight="1" x14ac:dyDescent="0.25">
      <c r="A57" s="189" t="s">
        <v>233</v>
      </c>
      <c r="B57" s="172" t="s">
        <v>234</v>
      </c>
      <c r="C57" s="174">
        <f>0+325.997</f>
        <v>325.99700000000001</v>
      </c>
      <c r="D57" s="186">
        <f>0.009+210.503</f>
        <v>210.51199999999997</v>
      </c>
      <c r="E57" s="186">
        <f>0.061+196.916</f>
        <v>196.977</v>
      </c>
      <c r="F57" s="186">
        <f>0.068+151.421</f>
        <v>151.489</v>
      </c>
      <c r="G57" s="183">
        <f>0+120.155</f>
        <v>120.155</v>
      </c>
      <c r="H57" s="173">
        <f>0+138.037</f>
        <v>138.03700000000001</v>
      </c>
      <c r="I57" s="173">
        <f>0+469.54-469.54+91.73</f>
        <v>91.73</v>
      </c>
      <c r="J57" s="174">
        <v>68.584999999999994</v>
      </c>
      <c r="K57" s="174">
        <v>57.859000000000002</v>
      </c>
      <c r="L57" s="174">
        <v>92.421000000000006</v>
      </c>
      <c r="M57" s="174">
        <v>89.744088000000005</v>
      </c>
      <c r="N57" s="174">
        <v>126.425</v>
      </c>
      <c r="O57" s="174">
        <v>121.456</v>
      </c>
      <c r="P57" s="174">
        <v>194.54699999999997</v>
      </c>
      <c r="Q57" s="174">
        <v>245.80199999999999</v>
      </c>
      <c r="R57" s="174">
        <v>357.39100000000002</v>
      </c>
      <c r="S57" s="179">
        <v>265.70100000000002</v>
      </c>
      <c r="U57" s="174">
        <v>285.87029199999995</v>
      </c>
      <c r="V57" s="174">
        <v>400.85507205199991</v>
      </c>
      <c r="W57" s="174">
        <v>310.85912813277992</v>
      </c>
    </row>
    <row r="58" spans="1:23" s="195" customFormat="1" ht="16.5" customHeight="1" x14ac:dyDescent="0.25">
      <c r="A58" s="189" t="s">
        <v>235</v>
      </c>
      <c r="B58" s="172" t="s">
        <v>236</v>
      </c>
      <c r="C58" s="174">
        <f>93.014+488.784-29.897-165.97</f>
        <v>385.93099999999993</v>
      </c>
      <c r="D58" s="186">
        <f>96.421+436.378-29.068-270.339</f>
        <v>233.392</v>
      </c>
      <c r="E58" s="186">
        <f>94.731+485.316-42.054-228.114</f>
        <v>309.87900000000002</v>
      </c>
      <c r="F58" s="186">
        <f>93.573+547.911-28.816-199.498-105.301-67.516</f>
        <v>240.35299999999989</v>
      </c>
      <c r="G58" s="183">
        <f>94.782+891.384-28.334-345.988-174.99-199.342</f>
        <v>237.51200000000003</v>
      </c>
      <c r="H58" s="173">
        <f>103.597+695.788-40.446-333.753-197.559</f>
        <v>227.62699999999998</v>
      </c>
      <c r="I58" s="173">
        <f>106.32+413.45-83.331-197.559</f>
        <v>238.87999999999997</v>
      </c>
      <c r="J58" s="174">
        <f>360.958+110.061-209.559</f>
        <v>261.46000000000004</v>
      </c>
      <c r="K58" s="174">
        <v>242.32099999999997</v>
      </c>
      <c r="L58" s="174">
        <v>187.64400000000001</v>
      </c>
      <c r="M58" s="174">
        <v>202.05788999999999</v>
      </c>
      <c r="N58" s="174">
        <v>235.51500000000001</v>
      </c>
      <c r="O58" s="174">
        <v>266.12200000000001</v>
      </c>
      <c r="P58" s="174">
        <v>308.63400000000001</v>
      </c>
      <c r="Q58" s="174">
        <v>261.37400000000002</v>
      </c>
      <c r="R58" s="174">
        <v>268.37400000000002</v>
      </c>
      <c r="S58" s="179">
        <v>275.37400000000002</v>
      </c>
      <c r="U58" s="174">
        <v>263.98136400000004</v>
      </c>
      <c r="V58" s="174">
        <v>272.16481728400004</v>
      </c>
      <c r="W58" s="174">
        <v>276.24730454325999</v>
      </c>
    </row>
    <row r="59" spans="1:23" s="195" customFormat="1" ht="16.5" customHeight="1" x14ac:dyDescent="0.25">
      <c r="A59" s="184" t="s">
        <v>237</v>
      </c>
      <c r="B59" s="172" t="s">
        <v>238</v>
      </c>
      <c r="C59" s="174">
        <f>0+381.232-165.97</f>
        <v>215.26200000000003</v>
      </c>
      <c r="D59" s="186">
        <f>0+315.342-270.339</f>
        <v>45.002999999999986</v>
      </c>
      <c r="E59" s="186">
        <f>0+337.519-228.114</f>
        <v>109.405</v>
      </c>
      <c r="F59" s="186">
        <f>0+404.903-199.498-105.301-67.516</f>
        <v>32.588000000000022</v>
      </c>
      <c r="G59" s="183">
        <f>0+736.51-345.988-174.99-199.342</f>
        <v>16.189999999999969</v>
      </c>
      <c r="H59" s="173">
        <f>0+538.753-333.753-197.559</f>
        <v>7.4410000000000593</v>
      </c>
      <c r="I59" s="173">
        <f>0+265.108-197.559</f>
        <v>67.549000000000007</v>
      </c>
      <c r="J59" s="173">
        <f>218.096-209.559</f>
        <v>8.5370000000000061</v>
      </c>
      <c r="K59" s="173">
        <v>9.6329999999999991</v>
      </c>
      <c r="L59" s="173">
        <v>9.0510000000000002</v>
      </c>
      <c r="M59" s="173">
        <v>9.0152359999999998</v>
      </c>
      <c r="N59" s="173">
        <v>10.593</v>
      </c>
      <c r="O59" s="173">
        <v>11.407999999999999</v>
      </c>
      <c r="P59" s="173">
        <v>0</v>
      </c>
      <c r="Q59" s="173">
        <v>0.374</v>
      </c>
      <c r="R59" s="173">
        <v>0.374</v>
      </c>
      <c r="S59" s="529">
        <v>0.374</v>
      </c>
      <c r="U59" s="173">
        <v>0.374</v>
      </c>
      <c r="V59" s="173">
        <v>0.374</v>
      </c>
      <c r="W59" s="173">
        <v>0.374</v>
      </c>
    </row>
    <row r="60" spans="1:23" s="195" customFormat="1" ht="16.5" customHeight="1" x14ac:dyDescent="0.25">
      <c r="A60" s="184" t="s">
        <v>239</v>
      </c>
      <c r="B60" s="172" t="s">
        <v>240</v>
      </c>
      <c r="C60" s="174">
        <f>93.014+102.14-29.897</f>
        <v>165.25700000000001</v>
      </c>
      <c r="D60" s="186">
        <f>96.421+115.062-29.068</f>
        <v>182.41499999999999</v>
      </c>
      <c r="E60" s="186">
        <f>94.731+141.166-42.054</f>
        <v>193.84299999999999</v>
      </c>
      <c r="F60" s="186">
        <f>93.573+135.374-28.816</f>
        <v>200.131</v>
      </c>
      <c r="G60" s="183">
        <f>94.782+147.742-28.334</f>
        <v>214.19</v>
      </c>
      <c r="H60" s="173">
        <f>103.597+151.037-40.446</f>
        <v>214.18800000000002</v>
      </c>
      <c r="I60" s="173">
        <f>106.32+140.792-83.331</f>
        <v>163.78100000000001</v>
      </c>
      <c r="J60" s="174">
        <f>136.694+110.061</f>
        <v>246.755</v>
      </c>
      <c r="K60" s="174">
        <v>228.69</v>
      </c>
      <c r="L60" s="174">
        <v>169.77699999999999</v>
      </c>
      <c r="M60" s="174">
        <v>185.22223500000001</v>
      </c>
      <c r="N60" s="174">
        <v>217.41900000000001</v>
      </c>
      <c r="O60" s="174">
        <v>246.37199999999999</v>
      </c>
      <c r="P60" s="174">
        <v>255.24599999999998</v>
      </c>
      <c r="Q60" s="174">
        <v>255</v>
      </c>
      <c r="R60" s="174">
        <v>262</v>
      </c>
      <c r="S60" s="179">
        <v>269</v>
      </c>
      <c r="U60" s="174">
        <v>257.60736400000002</v>
      </c>
      <c r="V60" s="174">
        <v>265.79081728400001</v>
      </c>
      <c r="W60" s="174">
        <v>269.87330454326002</v>
      </c>
    </row>
    <row r="61" spans="1:23" s="195" customFormat="1" ht="16.5" customHeight="1" x14ac:dyDescent="0.25">
      <c r="A61" s="189" t="s">
        <v>241</v>
      </c>
      <c r="B61" s="172" t="s">
        <v>242</v>
      </c>
      <c r="C61" s="174">
        <f t="shared" ref="C61:I61" si="18">C56-C57-C58</f>
        <v>207.94100000000014</v>
      </c>
      <c r="D61" s="174">
        <f t="shared" si="18"/>
        <v>433.82400000000001</v>
      </c>
      <c r="E61" s="174">
        <f t="shared" si="18"/>
        <v>275.91399999999999</v>
      </c>
      <c r="F61" s="174">
        <f t="shared" si="18"/>
        <v>486.34700000000004</v>
      </c>
      <c r="G61" s="173">
        <f t="shared" si="18"/>
        <v>534.67499999999995</v>
      </c>
      <c r="H61" s="173">
        <f t="shared" si="18"/>
        <v>713.93599999999992</v>
      </c>
      <c r="I61" s="173">
        <f t="shared" si="18"/>
        <v>736.20999999999992</v>
      </c>
      <c r="J61" s="174">
        <f>J56-J57-J58</f>
        <v>619.94499999999994</v>
      </c>
      <c r="K61" s="174">
        <v>554.54999999999995</v>
      </c>
      <c r="L61" s="174">
        <v>596.66099999999994</v>
      </c>
      <c r="M61" s="174">
        <v>587.25502200000005</v>
      </c>
      <c r="N61" s="174">
        <v>566.16000000000008</v>
      </c>
      <c r="O61" s="174">
        <v>852.77500000000009</v>
      </c>
      <c r="P61" s="174">
        <v>1185.5410000000002</v>
      </c>
      <c r="Q61" s="174">
        <v>610.91700000000003</v>
      </c>
      <c r="R61" s="174">
        <v>622.86399999999981</v>
      </c>
      <c r="S61" s="179">
        <v>530.53800000000001</v>
      </c>
      <c r="U61" s="174">
        <v>605.81227400000012</v>
      </c>
      <c r="V61" s="174">
        <v>646.79031949399996</v>
      </c>
      <c r="W61" s="174">
        <v>563.11936928641023</v>
      </c>
    </row>
    <row r="62" spans="1:23" s="195" customFormat="1" ht="18" customHeight="1" x14ac:dyDescent="0.25">
      <c r="A62" s="206" t="s">
        <v>243</v>
      </c>
      <c r="B62" s="172" t="s">
        <v>212</v>
      </c>
      <c r="C62" s="174">
        <f>891.537-891.537+921.194</f>
        <v>921.19399999999996</v>
      </c>
      <c r="D62" s="174">
        <f>916.245-916.245+933.641</f>
        <v>933.64099999999996</v>
      </c>
      <c r="E62" s="186">
        <f>877.284-877.284+882.742</f>
        <v>882.74199999999996</v>
      </c>
      <c r="F62" s="174">
        <f>1079.231-1079.231+1102.972</f>
        <v>1102.972</v>
      </c>
      <c r="G62" s="173">
        <f>1283.267-1283.267+1311.694</f>
        <v>1311.694</v>
      </c>
      <c r="H62" s="173">
        <f>1387.038-1387.038+1417.569</f>
        <v>1417.569</v>
      </c>
      <c r="I62" s="173">
        <f>1443.601-1443.601+1477.021</f>
        <v>1477.021</v>
      </c>
      <c r="J62" s="174">
        <f>1379.407-1379.407+1415.109</f>
        <v>1415.1089999999999</v>
      </c>
      <c r="K62" s="174">
        <v>1373.002</v>
      </c>
      <c r="L62" s="174">
        <v>1220.1679999999999</v>
      </c>
      <c r="M62" s="174">
        <v>1209.547</v>
      </c>
      <c r="N62" s="174">
        <v>1163.1510000000001</v>
      </c>
      <c r="O62" s="174">
        <v>1105.0440000000001</v>
      </c>
      <c r="P62" s="174">
        <v>924.77499999999998</v>
      </c>
      <c r="Q62" s="174">
        <v>918.25599999999997</v>
      </c>
      <c r="R62" s="174">
        <v>893.66099999999994</v>
      </c>
      <c r="S62" s="179">
        <v>994.49</v>
      </c>
      <c r="U62" s="174">
        <v>918.25599999999997</v>
      </c>
      <c r="V62" s="174">
        <v>893.66099999999994</v>
      </c>
      <c r="W62" s="174">
        <v>994.49</v>
      </c>
    </row>
    <row r="63" spans="1:23" s="195" customFormat="1" ht="16.5" customHeight="1" x14ac:dyDescent="0.25">
      <c r="A63" s="207" t="s">
        <v>48</v>
      </c>
      <c r="B63" s="172" t="s">
        <v>216</v>
      </c>
      <c r="C63" s="174">
        <f>891.537-891.537+921.194</f>
        <v>921.19399999999996</v>
      </c>
      <c r="D63" s="174">
        <f>916.245-916.245+933.641</f>
        <v>933.64099999999996</v>
      </c>
      <c r="E63" s="186">
        <f>877.284-877.284+882.742</f>
        <v>882.74199999999996</v>
      </c>
      <c r="F63" s="174">
        <f>1079.231-1079.231+1102.972</f>
        <v>1102.972</v>
      </c>
      <c r="G63" s="173">
        <f>1283.267-1283.267+1311.694</f>
        <v>1311.694</v>
      </c>
      <c r="H63" s="173">
        <f>1387.038-1387.038+1417.569</f>
        <v>1417.569</v>
      </c>
      <c r="I63" s="173">
        <f>1443.601-1443.601+1477.021</f>
        <v>1477.021</v>
      </c>
      <c r="J63" s="174">
        <f>1379.407-1379.407+1415.109</f>
        <v>1415.1089999999999</v>
      </c>
      <c r="K63" s="174">
        <v>1373.002</v>
      </c>
      <c r="L63" s="174">
        <v>1220.1679999999999</v>
      </c>
      <c r="M63" s="174">
        <v>1209.547</v>
      </c>
      <c r="N63" s="174">
        <v>1163.1510000000001</v>
      </c>
      <c r="O63" s="174">
        <v>1105.0440000000001</v>
      </c>
      <c r="P63" s="174">
        <v>924.77499999999998</v>
      </c>
      <c r="Q63" s="174">
        <v>918.25599999999997</v>
      </c>
      <c r="R63" s="174">
        <v>893.66099999999994</v>
      </c>
      <c r="S63" s="179">
        <v>994.49</v>
      </c>
      <c r="T63" s="179"/>
      <c r="U63" s="174">
        <v>918.25599999999997</v>
      </c>
      <c r="V63" s="174">
        <v>893.66099999999994</v>
      </c>
      <c r="W63" s="174">
        <v>994.49</v>
      </c>
    </row>
    <row r="64" spans="1:23" s="195" customFormat="1" ht="16.5" customHeight="1" x14ac:dyDescent="0.25">
      <c r="A64" s="207" t="s">
        <v>244</v>
      </c>
      <c r="B64" s="197" t="s">
        <v>245</v>
      </c>
      <c r="C64" s="174">
        <v>0</v>
      </c>
      <c r="D64" s="174">
        <v>0</v>
      </c>
      <c r="E64" s="174">
        <v>0</v>
      </c>
      <c r="F64" s="174">
        <v>0</v>
      </c>
      <c r="G64" s="173">
        <v>0</v>
      </c>
      <c r="H64" s="173">
        <v>0</v>
      </c>
      <c r="I64" s="173">
        <f>0.003-0.003</f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>
        <v>0</v>
      </c>
      <c r="P64" s="173">
        <v>0</v>
      </c>
      <c r="Q64" s="173">
        <v>0</v>
      </c>
      <c r="R64" s="173">
        <v>0</v>
      </c>
      <c r="S64" s="529">
        <v>0</v>
      </c>
      <c r="U64" s="173">
        <v>0</v>
      </c>
      <c r="V64" s="173">
        <v>0</v>
      </c>
      <c r="W64" s="173">
        <v>0</v>
      </c>
    </row>
    <row r="65" spans="1:23" s="195" customFormat="1" ht="16.5" customHeight="1" x14ac:dyDescent="0.25">
      <c r="A65" s="206" t="s">
        <v>50</v>
      </c>
      <c r="B65" s="172" t="s">
        <v>246</v>
      </c>
      <c r="C65" s="174">
        <f>11147.478-11147.478+11147.482</f>
        <v>11147.482</v>
      </c>
      <c r="D65" s="174">
        <f>12334.676-12334.676+12334.68</f>
        <v>12334.68</v>
      </c>
      <c r="E65" s="174">
        <f>13234.156-13234.156+13234.159</f>
        <v>13234.159</v>
      </c>
      <c r="F65" s="174">
        <f>13213.632-13213.632+13213.635</f>
        <v>13213.635</v>
      </c>
      <c r="G65" s="173">
        <f>13743.613-13743.613+13743.616</f>
        <v>13743.616</v>
      </c>
      <c r="H65" s="173">
        <f>14097.725-14097.725+14097.726</f>
        <v>14097.726000000001</v>
      </c>
      <c r="I65" s="173">
        <f>14500.93-14500.93+14500.932</f>
        <v>14500.932000000001</v>
      </c>
      <c r="J65" s="174">
        <f>14960.204-14960.204+14960.206</f>
        <v>14960.206</v>
      </c>
      <c r="K65" s="174">
        <v>15520.054</v>
      </c>
      <c r="L65" s="174">
        <v>15719.607</v>
      </c>
      <c r="M65" s="174">
        <v>16338.820000000002</v>
      </c>
      <c r="N65" s="174">
        <v>17445.557000000001</v>
      </c>
      <c r="O65" s="174">
        <v>18607.194000000003</v>
      </c>
      <c r="P65" s="174">
        <v>21538.688999999998</v>
      </c>
      <c r="Q65" s="174">
        <v>20305.571</v>
      </c>
      <c r="R65" s="174">
        <v>21230.616000000002</v>
      </c>
      <c r="S65" s="179">
        <v>22145.448</v>
      </c>
      <c r="U65" s="174">
        <v>20271.592000000001</v>
      </c>
      <c r="V65" s="174">
        <v>21247.864000000001</v>
      </c>
      <c r="W65" s="174">
        <v>22164.403000000002</v>
      </c>
    </row>
    <row r="66" spans="1:23" ht="16.5" customHeight="1" x14ac:dyDescent="0.25">
      <c r="A66" s="189" t="s">
        <v>247</v>
      </c>
      <c r="B66" s="172" t="s">
        <v>248</v>
      </c>
      <c r="C66" s="174">
        <f>7987.782-7987.782+7987.786</f>
        <v>7987.7860000000001</v>
      </c>
      <c r="D66" s="174">
        <f>9049.218-9049.218+9049.222</f>
        <v>9049.2219999999998</v>
      </c>
      <c r="E66" s="174">
        <f>9752.247-9752.247+9752.25</f>
        <v>9752.25</v>
      </c>
      <c r="F66" s="174">
        <f>9820.762-9820.762+9820.765</f>
        <v>9820.7649999999994</v>
      </c>
      <c r="G66" s="173">
        <f>10242.103-10242.103+10242.106</f>
        <v>10242.106</v>
      </c>
      <c r="H66" s="173">
        <f>10433.272-10433.272+10443.273-10443.273+10433.273</f>
        <v>10433.272999999999</v>
      </c>
      <c r="I66" s="173">
        <f>10670.954-10670.954+10670.956</f>
        <v>10670.956</v>
      </c>
      <c r="J66" s="174">
        <f>10967.34-10967.34+10967.342</f>
        <v>10967.342000000001</v>
      </c>
      <c r="K66" s="174">
        <v>11281.623</v>
      </c>
      <c r="L66" s="174">
        <v>11470.415999999999</v>
      </c>
      <c r="M66" s="174">
        <v>11858.751</v>
      </c>
      <c r="N66" s="174">
        <v>12603.311</v>
      </c>
      <c r="O66" s="174">
        <v>13690.198</v>
      </c>
      <c r="P66" s="174">
        <v>16242.478999999999</v>
      </c>
      <c r="Q66" s="174">
        <v>14883.409</v>
      </c>
      <c r="R66" s="174">
        <v>15544.489</v>
      </c>
      <c r="S66" s="179">
        <v>16215.999</v>
      </c>
      <c r="U66" s="174">
        <v>14833.308999999999</v>
      </c>
      <c r="V66" s="174">
        <v>15544.489</v>
      </c>
      <c r="W66" s="174">
        <v>16215.999</v>
      </c>
    </row>
    <row r="67" spans="1:23" ht="16.5" customHeight="1" x14ac:dyDescent="0.25">
      <c r="A67" s="208" t="s">
        <v>249</v>
      </c>
      <c r="B67" s="197" t="s">
        <v>250</v>
      </c>
      <c r="C67" s="174">
        <v>70.034000000000006</v>
      </c>
      <c r="D67" s="174">
        <v>56.390999999999998</v>
      </c>
      <c r="E67" s="174">
        <v>104.119</v>
      </c>
      <c r="F67" s="174">
        <v>72.921000000000006</v>
      </c>
      <c r="G67" s="173">
        <v>57.134</v>
      </c>
      <c r="H67" s="173">
        <v>38.021999999999998</v>
      </c>
      <c r="I67" s="173">
        <v>50.674999999999997</v>
      </c>
      <c r="J67" s="174">
        <v>39.174999999999997</v>
      </c>
      <c r="K67" s="174">
        <v>69.275999999999996</v>
      </c>
      <c r="L67" s="174">
        <v>53.323</v>
      </c>
      <c r="M67" s="174">
        <v>53.108972999999999</v>
      </c>
      <c r="N67" s="174">
        <v>45.393000000000001</v>
      </c>
      <c r="O67" s="174">
        <v>47.042000000000002</v>
      </c>
      <c r="P67" s="174">
        <v>1381.3560000000002</v>
      </c>
      <c r="Q67" s="174">
        <v>53.875</v>
      </c>
      <c r="R67" s="174">
        <v>54.052999999999997</v>
      </c>
      <c r="S67" s="179">
        <v>37.912999999999997</v>
      </c>
      <c r="U67" s="174">
        <v>53.875</v>
      </c>
      <c r="V67" s="174">
        <v>54.052999999999997</v>
      </c>
      <c r="W67" s="174">
        <v>37.912999999999997</v>
      </c>
    </row>
    <row r="68" spans="1:23" ht="16.5" customHeight="1" x14ac:dyDescent="0.25">
      <c r="A68" s="208" t="s">
        <v>251</v>
      </c>
      <c r="B68" s="197" t="s">
        <v>252</v>
      </c>
      <c r="C68" s="174">
        <v>246.61600000000001</v>
      </c>
      <c r="D68" s="174">
        <v>316.95999999999998</v>
      </c>
      <c r="E68" s="174">
        <v>338.78500000000003</v>
      </c>
      <c r="F68" s="174">
        <v>381.76400000000001</v>
      </c>
      <c r="G68" s="173">
        <v>428.45800000000003</v>
      </c>
      <c r="H68" s="173">
        <f>399.742+4.453</f>
        <v>404.19499999999999</v>
      </c>
      <c r="I68" s="173">
        <f>381.109+5.313</f>
        <v>386.42199999999997</v>
      </c>
      <c r="J68" s="174">
        <f>415.455+5.459</f>
        <v>420.91399999999999</v>
      </c>
      <c r="K68" s="174">
        <v>479.09399999999999</v>
      </c>
      <c r="L68" s="174">
        <v>570.71899999999994</v>
      </c>
      <c r="M68" s="174">
        <v>667.16800000000001</v>
      </c>
      <c r="N68" s="174">
        <v>768.67500000000007</v>
      </c>
      <c r="O68" s="174">
        <v>1052.1990000000001</v>
      </c>
      <c r="P68" s="174">
        <v>1138.954</v>
      </c>
      <c r="Q68" s="174">
        <v>1069.9079999999999</v>
      </c>
      <c r="R68" s="174">
        <v>1100.5419999999999</v>
      </c>
      <c r="S68" s="179">
        <v>1200.299</v>
      </c>
      <c r="U68" s="174">
        <v>1019.8079999999999</v>
      </c>
      <c r="V68" s="174">
        <v>1100.5419999999999</v>
      </c>
      <c r="W68" s="174">
        <v>1200.299</v>
      </c>
    </row>
    <row r="69" spans="1:23" ht="16.5" customHeight="1" x14ac:dyDescent="0.25">
      <c r="A69" s="208" t="s">
        <v>253</v>
      </c>
      <c r="B69" s="172" t="s">
        <v>254</v>
      </c>
      <c r="C69" s="174">
        <v>4531.942</v>
      </c>
      <c r="D69" s="174">
        <v>5034.7359999999999</v>
      </c>
      <c r="E69" s="174">
        <v>5244.51</v>
      </c>
      <c r="F69" s="174">
        <v>5390.7460000000001</v>
      </c>
      <c r="G69" s="173">
        <v>5639.5029999999997</v>
      </c>
      <c r="H69" s="173">
        <f>5893.823+157.393+1.815</f>
        <v>6053.0309999999999</v>
      </c>
      <c r="I69" s="173">
        <f>6240.862+173.728+1.904</f>
        <v>6416.4940000000006</v>
      </c>
      <c r="J69" s="174">
        <f>6414.203+182.59</f>
        <v>6596.7930000000006</v>
      </c>
      <c r="K69" s="174">
        <v>6829.8070000000007</v>
      </c>
      <c r="L69" s="174">
        <v>7128.82</v>
      </c>
      <c r="M69" s="174">
        <v>7422.9960000000001</v>
      </c>
      <c r="N69" s="174">
        <v>7746.723</v>
      </c>
      <c r="O69" s="174">
        <v>8162.2580000000007</v>
      </c>
      <c r="P69" s="174">
        <v>8418.0239999999994</v>
      </c>
      <c r="Q69" s="174">
        <v>8727.7270000000008</v>
      </c>
      <c r="R69" s="174">
        <v>9259.4699999999993</v>
      </c>
      <c r="S69" s="179">
        <v>9703.1689999999999</v>
      </c>
      <c r="T69" s="179"/>
      <c r="U69" s="174">
        <v>8727.7270000000008</v>
      </c>
      <c r="V69" s="174">
        <v>9259.4699999999993</v>
      </c>
      <c r="W69" s="174">
        <v>9703.1689999999999</v>
      </c>
    </row>
    <row r="70" spans="1:23" ht="16.5" customHeight="1" x14ac:dyDescent="0.25">
      <c r="A70" s="208" t="s">
        <v>255</v>
      </c>
      <c r="B70" s="197" t="s">
        <v>256</v>
      </c>
      <c r="C70" s="174">
        <v>66.120999999999995</v>
      </c>
      <c r="D70" s="174">
        <v>172.43</v>
      </c>
      <c r="E70" s="174">
        <v>150.339</v>
      </c>
      <c r="F70" s="174">
        <v>163.334</v>
      </c>
      <c r="G70" s="174">
        <v>175.773</v>
      </c>
      <c r="H70" s="174">
        <v>174.30799999999999</v>
      </c>
      <c r="I70" s="174">
        <v>154.721</v>
      </c>
      <c r="J70" s="174">
        <v>158.624</v>
      </c>
      <c r="K70" s="174">
        <v>171.63</v>
      </c>
      <c r="L70" s="174">
        <v>167.655</v>
      </c>
      <c r="M70" s="174">
        <v>183.74527900000001</v>
      </c>
      <c r="N70" s="174">
        <v>214.19499999999999</v>
      </c>
      <c r="O70" s="174">
        <v>329.21199999999999</v>
      </c>
      <c r="P70" s="174">
        <v>309.98699999999997</v>
      </c>
      <c r="Q70" s="174">
        <v>287.66500000000002</v>
      </c>
      <c r="R70" s="174">
        <v>264.45499999999998</v>
      </c>
      <c r="S70" s="179">
        <v>263.02100000000002</v>
      </c>
      <c r="U70" s="174">
        <v>287.66500000000002</v>
      </c>
      <c r="V70" s="174">
        <v>264.45499999999998</v>
      </c>
      <c r="W70" s="174">
        <v>263.02100000000002</v>
      </c>
    </row>
    <row r="71" spans="1:23" ht="16.5" customHeight="1" x14ac:dyDescent="0.25">
      <c r="A71" s="208" t="s">
        <v>257</v>
      </c>
      <c r="B71" s="197" t="s">
        <v>258</v>
      </c>
      <c r="C71" s="174">
        <f t="shared" ref="C71:J71" si="19">SUM(C72:C77)</f>
        <v>1086.5720000000001</v>
      </c>
      <c r="D71" s="174">
        <f t="shared" si="19"/>
        <v>1211.0309999999999</v>
      </c>
      <c r="E71" s="174">
        <f t="shared" si="19"/>
        <v>1364.961</v>
      </c>
      <c r="F71" s="174">
        <f t="shared" si="19"/>
        <v>1376.3489999999999</v>
      </c>
      <c r="G71" s="174">
        <f t="shared" si="19"/>
        <v>1381.508</v>
      </c>
      <c r="H71" s="174">
        <f t="shared" si="19"/>
        <v>1374.616</v>
      </c>
      <c r="I71" s="174">
        <f t="shared" si="19"/>
        <v>1362.7940000000001</v>
      </c>
      <c r="J71" s="174">
        <f t="shared" si="19"/>
        <v>1336.7550000000001</v>
      </c>
      <c r="K71" s="174">
        <v>1318.2619999999999</v>
      </c>
      <c r="L71" s="174">
        <v>1309.6369999999999</v>
      </c>
      <c r="M71" s="174">
        <v>1346.0884320000002</v>
      </c>
      <c r="N71" s="174">
        <v>1538.71</v>
      </c>
      <c r="O71" s="174">
        <v>2571.672</v>
      </c>
      <c r="P71" s="174">
        <v>2225.9719999999998</v>
      </c>
      <c r="Q71" s="174">
        <v>2207.0219999999999</v>
      </c>
      <c r="R71" s="174">
        <v>2263.605</v>
      </c>
      <c r="S71" s="179">
        <v>2335.5740000000001</v>
      </c>
      <c r="U71" s="174">
        <v>2207.0219999999999</v>
      </c>
      <c r="V71" s="174">
        <v>2263.605</v>
      </c>
      <c r="W71" s="174">
        <v>2335.5740000000001</v>
      </c>
    </row>
    <row r="72" spans="1:23" ht="16.5" customHeight="1" x14ac:dyDescent="0.25">
      <c r="A72" s="184" t="s">
        <v>259</v>
      </c>
      <c r="B72" s="197" t="s">
        <v>260</v>
      </c>
      <c r="C72" s="174">
        <v>268.47500000000002</v>
      </c>
      <c r="D72" s="174">
        <v>308.18900000000002</v>
      </c>
      <c r="E72" s="174">
        <v>318.96699999999998</v>
      </c>
      <c r="F72" s="174">
        <v>315.02</v>
      </c>
      <c r="G72" s="174">
        <v>316.46300000000002</v>
      </c>
      <c r="H72" s="174">
        <v>318.49400000000003</v>
      </c>
      <c r="I72" s="174">
        <v>319.09399999999999</v>
      </c>
      <c r="J72" s="174">
        <v>315.59899999999999</v>
      </c>
      <c r="K72" s="174">
        <v>312.51400000000001</v>
      </c>
      <c r="L72" s="174">
        <v>311.06200000000001</v>
      </c>
      <c r="M72" s="174">
        <v>312.72126300000002</v>
      </c>
      <c r="N72" s="174">
        <v>322.29700000000003</v>
      </c>
      <c r="O72" s="174">
        <v>332.11599999999999</v>
      </c>
      <c r="P72" s="174">
        <v>419.80399999999997</v>
      </c>
      <c r="Q72" s="174">
        <v>349.13900000000001</v>
      </c>
      <c r="R72" s="174">
        <v>356.52</v>
      </c>
      <c r="S72" s="179">
        <v>368.05</v>
      </c>
      <c r="U72" s="174">
        <v>349.13900000000001</v>
      </c>
      <c r="V72" s="174">
        <v>356.52</v>
      </c>
      <c r="W72" s="174">
        <v>368.05</v>
      </c>
    </row>
    <row r="73" spans="1:23" ht="16.5" customHeight="1" x14ac:dyDescent="0.25">
      <c r="A73" s="184" t="s">
        <v>261</v>
      </c>
      <c r="B73" s="197" t="s">
        <v>262</v>
      </c>
      <c r="C73" s="174">
        <v>22.914999999999999</v>
      </c>
      <c r="D73" s="174">
        <v>8.7729999999999997</v>
      </c>
      <c r="E73" s="174">
        <v>8.8369999999999997</v>
      </c>
      <c r="F73" s="174">
        <v>8.8719999999999999</v>
      </c>
      <c r="G73" s="174">
        <v>8.8829999999999991</v>
      </c>
      <c r="H73" s="174">
        <v>8.9819999999999993</v>
      </c>
      <c r="I73" s="174">
        <v>35.101999999999997</v>
      </c>
      <c r="J73" s="174">
        <v>41.463000000000001</v>
      </c>
      <c r="K73" s="174">
        <v>43.89</v>
      </c>
      <c r="L73" s="174">
        <v>44.012</v>
      </c>
      <c r="M73" s="174">
        <v>44.011204999999997</v>
      </c>
      <c r="N73" s="174">
        <v>43.396999999999998</v>
      </c>
      <c r="O73" s="174">
        <v>42.915999999999997</v>
      </c>
      <c r="P73" s="174">
        <v>44.177</v>
      </c>
      <c r="Q73" s="174">
        <v>43.954999999999998</v>
      </c>
      <c r="R73" s="174">
        <v>43.954999999999998</v>
      </c>
      <c r="S73" s="179">
        <v>44.945</v>
      </c>
      <c r="U73" s="174">
        <v>43.954999999999998</v>
      </c>
      <c r="V73" s="174">
        <v>43.954999999999998</v>
      </c>
      <c r="W73" s="174">
        <v>44.945</v>
      </c>
    </row>
    <row r="74" spans="1:23" ht="16.5" customHeight="1" x14ac:dyDescent="0.25">
      <c r="A74" s="184" t="s">
        <v>263</v>
      </c>
      <c r="B74" s="197" t="s">
        <v>264</v>
      </c>
      <c r="C74" s="174">
        <v>0</v>
      </c>
      <c r="D74" s="186">
        <v>268.46499999999997</v>
      </c>
      <c r="E74" s="186">
        <v>334.488</v>
      </c>
      <c r="F74" s="186">
        <v>352.24</v>
      </c>
      <c r="G74" s="186">
        <v>343.54300000000001</v>
      </c>
      <c r="H74" s="174">
        <v>349.31599999999997</v>
      </c>
      <c r="I74" s="174">
        <v>356.00200000000001</v>
      </c>
      <c r="J74" s="174">
        <v>355.279</v>
      </c>
      <c r="K74" s="174">
        <v>352.44400000000002</v>
      </c>
      <c r="L74" s="174">
        <v>361.29899999999998</v>
      </c>
      <c r="M74" s="174">
        <v>368.68789400000003</v>
      </c>
      <c r="N74" s="174">
        <v>377.34199999999998</v>
      </c>
      <c r="O74" s="174">
        <v>581.63900000000001</v>
      </c>
      <c r="P74" s="174">
        <v>652.83900000000006</v>
      </c>
      <c r="Q74" s="174">
        <v>617.88499999999999</v>
      </c>
      <c r="R74" s="174">
        <v>629.73</v>
      </c>
      <c r="S74" s="179">
        <v>653.36900000000003</v>
      </c>
      <c r="U74" s="174">
        <v>617.88499999999999</v>
      </c>
      <c r="V74" s="174">
        <v>629.73</v>
      </c>
      <c r="W74" s="174">
        <v>653.36900000000003</v>
      </c>
    </row>
    <row r="75" spans="1:23" ht="16.5" customHeight="1" x14ac:dyDescent="0.25">
      <c r="A75" s="184" t="s">
        <v>265</v>
      </c>
      <c r="B75" s="197" t="s">
        <v>266</v>
      </c>
      <c r="C75" s="174">
        <v>247.214</v>
      </c>
      <c r="D75" s="186">
        <v>275.601</v>
      </c>
      <c r="E75" s="186">
        <v>322.87700000000001</v>
      </c>
      <c r="F75" s="186">
        <v>313.17500000000001</v>
      </c>
      <c r="G75" s="186">
        <v>308.98899999999998</v>
      </c>
      <c r="H75" s="174">
        <v>273.64400000000001</v>
      </c>
      <c r="I75" s="174">
        <v>244.45699999999999</v>
      </c>
      <c r="J75" s="174">
        <v>213.18100000000001</v>
      </c>
      <c r="K75" s="174">
        <v>182.68600000000001</v>
      </c>
      <c r="L75" s="174">
        <v>153.786</v>
      </c>
      <c r="M75" s="174">
        <v>124.999</v>
      </c>
      <c r="N75" s="174">
        <v>111.081</v>
      </c>
      <c r="O75" s="174">
        <v>112.911</v>
      </c>
      <c r="P75" s="174">
        <v>107.252</v>
      </c>
      <c r="Q75" s="174">
        <v>114.48699999999999</v>
      </c>
      <c r="R75" s="174">
        <v>120.277</v>
      </c>
      <c r="S75" s="179">
        <v>120.348</v>
      </c>
      <c r="U75" s="174">
        <v>114.48699999999999</v>
      </c>
      <c r="V75" s="174">
        <v>120.277</v>
      </c>
      <c r="W75" s="174">
        <v>120.348</v>
      </c>
    </row>
    <row r="76" spans="1:23" ht="16.5" customHeight="1" x14ac:dyDescent="0.25">
      <c r="A76" s="184" t="s">
        <v>267</v>
      </c>
      <c r="B76" s="197" t="s">
        <v>268</v>
      </c>
      <c r="C76" s="174">
        <v>177.84200000000001</v>
      </c>
      <c r="D76" s="186">
        <v>184.589</v>
      </c>
      <c r="E76" s="186">
        <v>207.06299999999999</v>
      </c>
      <c r="F76" s="186">
        <v>210.56700000000001</v>
      </c>
      <c r="G76" s="186">
        <v>225.48699999999999</v>
      </c>
      <c r="H76" s="174">
        <v>232.52099999999999</v>
      </c>
      <c r="I76" s="174">
        <v>235.774</v>
      </c>
      <c r="J76" s="174">
        <v>231.63499999999999</v>
      </c>
      <c r="K76" s="174">
        <v>226.34299999999999</v>
      </c>
      <c r="L76" s="174">
        <v>243.81100000000001</v>
      </c>
      <c r="M76" s="174">
        <v>292.86207000000002</v>
      </c>
      <c r="N76" s="174">
        <v>395.51100000000002</v>
      </c>
      <c r="O76" s="174">
        <v>981.529</v>
      </c>
      <c r="P76" s="174">
        <v>481.53900000000004</v>
      </c>
      <c r="Q76" s="174">
        <v>529.59500000000003</v>
      </c>
      <c r="R76" s="174">
        <v>548.95299999999997</v>
      </c>
      <c r="S76" s="179">
        <v>570.99599999999998</v>
      </c>
      <c r="U76" s="174">
        <v>529.59500000000003</v>
      </c>
      <c r="V76" s="174">
        <v>548.95299999999997</v>
      </c>
      <c r="W76" s="174">
        <v>570.99599999999998</v>
      </c>
    </row>
    <row r="77" spans="1:23" ht="16.5" customHeight="1" x14ac:dyDescent="0.25">
      <c r="A77" s="184" t="s">
        <v>105</v>
      </c>
      <c r="B77" s="197" t="s">
        <v>269</v>
      </c>
      <c r="C77" s="174">
        <v>370.12599999999998</v>
      </c>
      <c r="D77" s="186">
        <v>165.41399999999999</v>
      </c>
      <c r="E77" s="186">
        <v>172.72900000000001</v>
      </c>
      <c r="F77" s="186">
        <v>176.47499999999999</v>
      </c>
      <c r="G77" s="186">
        <v>178.143</v>
      </c>
      <c r="H77" s="174">
        <v>191.65899999999999</v>
      </c>
      <c r="I77" s="174">
        <v>172.36500000000001</v>
      </c>
      <c r="J77" s="174">
        <v>179.59800000000001</v>
      </c>
      <c r="K77" s="174">
        <v>200.38499999999999</v>
      </c>
      <c r="L77" s="174">
        <v>195.667</v>
      </c>
      <c r="M77" s="174">
        <v>202.80699999999999</v>
      </c>
      <c r="N77" s="174">
        <v>289.08199999999999</v>
      </c>
      <c r="O77" s="174">
        <v>520.56100000000004</v>
      </c>
      <c r="P77" s="174">
        <v>520.36099999999965</v>
      </c>
      <c r="Q77" s="174">
        <v>551.96099999999979</v>
      </c>
      <c r="R77" s="174">
        <v>564.17000000000007</v>
      </c>
      <c r="S77" s="179">
        <v>577.86599999999999</v>
      </c>
      <c r="U77" s="174">
        <v>551.96099999999979</v>
      </c>
      <c r="V77" s="174">
        <v>564.17000000000007</v>
      </c>
      <c r="W77" s="174">
        <v>577.86599999999999</v>
      </c>
    </row>
    <row r="78" spans="1:23" ht="16.5" customHeight="1" x14ac:dyDescent="0.25">
      <c r="A78" s="208" t="s">
        <v>270</v>
      </c>
      <c r="B78" s="197" t="s">
        <v>271</v>
      </c>
      <c r="C78" s="174">
        <f>1208.545</f>
        <v>1208.5450000000001</v>
      </c>
      <c r="D78" s="174">
        <f>1399.85</f>
        <v>1399.85</v>
      </c>
      <c r="E78" s="174">
        <f>1564.23</f>
        <v>1564.23</v>
      </c>
      <c r="F78" s="174">
        <f>1446.947</f>
        <v>1446.9469999999999</v>
      </c>
      <c r="G78" s="174">
        <f>1599.291</f>
        <v>1599.2909999999999</v>
      </c>
      <c r="H78" s="174">
        <f>1541.466</f>
        <v>1541.4659999999999</v>
      </c>
      <c r="I78" s="174">
        <v>1447.056</v>
      </c>
      <c r="J78" s="174">
        <f>1582.23+0.002</f>
        <v>1582.232</v>
      </c>
      <c r="K78" s="174">
        <v>1717.7539999999999</v>
      </c>
      <c r="L78" s="174">
        <v>1636.7629999999999</v>
      </c>
      <c r="M78" s="174">
        <v>1574.481</v>
      </c>
      <c r="N78" s="174">
        <v>1563.624</v>
      </c>
      <c r="O78" s="174">
        <v>1537.6809999999998</v>
      </c>
      <c r="P78" s="174">
        <v>1724.318</v>
      </c>
      <c r="Q78" s="174">
        <v>1545.4159999999999</v>
      </c>
      <c r="R78" s="174">
        <v>1575.9079999999999</v>
      </c>
      <c r="S78" s="179">
        <v>1608.5229999999999</v>
      </c>
      <c r="U78" s="174">
        <v>1545.4159999999999</v>
      </c>
      <c r="V78" s="174">
        <v>1575.9079999999999</v>
      </c>
      <c r="W78" s="174">
        <v>1608.5229999999999</v>
      </c>
    </row>
    <row r="79" spans="1:23" ht="16.5" customHeight="1" x14ac:dyDescent="0.25">
      <c r="A79" s="209" t="s">
        <v>272</v>
      </c>
      <c r="B79" s="197" t="s">
        <v>273</v>
      </c>
      <c r="C79" s="174">
        <v>211.08799999999999</v>
      </c>
      <c r="D79" s="174">
        <v>235.84200000000001</v>
      </c>
      <c r="E79" s="174">
        <v>221.084</v>
      </c>
      <c r="F79" s="174">
        <v>237.16800000000001</v>
      </c>
      <c r="G79" s="174">
        <v>238.774</v>
      </c>
      <c r="H79" s="174">
        <v>262.14800000000002</v>
      </c>
      <c r="I79" s="174">
        <v>232.90899999999999</v>
      </c>
      <c r="J79" s="174">
        <v>227.756</v>
      </c>
      <c r="K79" s="174">
        <v>325.654</v>
      </c>
      <c r="L79" s="174">
        <v>336.62799999999999</v>
      </c>
      <c r="M79" s="174">
        <v>385.50399999999996</v>
      </c>
      <c r="N79" s="174">
        <v>360.84299999999996</v>
      </c>
      <c r="O79" s="174">
        <v>370.65200000000004</v>
      </c>
      <c r="P79" s="174">
        <v>434.75</v>
      </c>
      <c r="Q79" s="174">
        <v>381.34800000000001</v>
      </c>
      <c r="R79" s="174">
        <v>402.00099999999998</v>
      </c>
      <c r="S79" s="179">
        <v>424.298</v>
      </c>
      <c r="U79" s="174">
        <v>381.34800000000001</v>
      </c>
      <c r="V79" s="174">
        <v>402.00099999999998</v>
      </c>
      <c r="W79" s="174">
        <v>424.298</v>
      </c>
    </row>
    <row r="80" spans="1:23" ht="16.5" customHeight="1" x14ac:dyDescent="0.25">
      <c r="A80" s="209" t="s">
        <v>274</v>
      </c>
      <c r="B80" s="197" t="s">
        <v>275</v>
      </c>
      <c r="C80" s="174">
        <v>997.45699999999999</v>
      </c>
      <c r="D80" s="174">
        <v>1162.3820000000001</v>
      </c>
      <c r="E80" s="174">
        <v>1341.2249999999999</v>
      </c>
      <c r="F80" s="174">
        <v>1207.549</v>
      </c>
      <c r="G80" s="174">
        <v>1358.204</v>
      </c>
      <c r="H80" s="174">
        <v>1276.828</v>
      </c>
      <c r="I80" s="174">
        <v>1211.5350000000001</v>
      </c>
      <c r="J80" s="174">
        <v>1351.6279999999999</v>
      </c>
      <c r="K80" s="174">
        <v>1392.1</v>
      </c>
      <c r="L80" s="174">
        <v>1300.135</v>
      </c>
      <c r="M80" s="174">
        <v>1188.977441</v>
      </c>
      <c r="N80" s="174">
        <v>1202.7809999999999</v>
      </c>
      <c r="O80" s="174">
        <v>1167.029</v>
      </c>
      <c r="P80" s="174">
        <v>1207.336</v>
      </c>
      <c r="Q80" s="174">
        <v>1102.9690000000001</v>
      </c>
      <c r="R80" s="174">
        <v>1099.5039999999999</v>
      </c>
      <c r="S80" s="179">
        <v>1099.067</v>
      </c>
      <c r="U80" s="174">
        <v>1102.9690000000001</v>
      </c>
      <c r="V80" s="174">
        <v>1099.5039999999999</v>
      </c>
      <c r="W80" s="174">
        <v>1099.067</v>
      </c>
    </row>
    <row r="81" spans="1:24" ht="16.5" customHeight="1" x14ac:dyDescent="0.25">
      <c r="A81" s="188" t="s">
        <v>276</v>
      </c>
      <c r="B81" s="197" t="s">
        <v>277</v>
      </c>
      <c r="C81" s="173">
        <v>3159.6959999999999</v>
      </c>
      <c r="D81" s="173">
        <v>3285.4580000000001</v>
      </c>
      <c r="E81" s="173">
        <v>3481.9090000000001</v>
      </c>
      <c r="F81" s="173">
        <v>3392.87</v>
      </c>
      <c r="G81" s="174">
        <v>3501.51</v>
      </c>
      <c r="H81" s="174">
        <v>3664.453</v>
      </c>
      <c r="I81" s="173">
        <v>3829.9760000000001</v>
      </c>
      <c r="J81" s="173">
        <v>3992.864</v>
      </c>
      <c r="K81" s="174">
        <v>4238.4309999999996</v>
      </c>
      <c r="L81" s="174">
        <v>4249.1909999999998</v>
      </c>
      <c r="M81" s="173">
        <v>4480.0690000000004</v>
      </c>
      <c r="N81" s="174">
        <v>4842.2460000000001</v>
      </c>
      <c r="O81" s="174">
        <v>4916.9960000000001</v>
      </c>
      <c r="P81" s="174">
        <v>5296.21</v>
      </c>
      <c r="Q81" s="174">
        <v>5422.1620000000003</v>
      </c>
      <c r="R81" s="174">
        <v>5686.1270000000004</v>
      </c>
      <c r="S81" s="179">
        <v>5929.4489999999996</v>
      </c>
      <c r="U81" s="174">
        <v>5438.2830000000004</v>
      </c>
      <c r="V81" s="174">
        <v>5703.375</v>
      </c>
      <c r="W81" s="174">
        <v>5948.4039999999995</v>
      </c>
      <c r="X81" s="196"/>
    </row>
    <row r="82" spans="1:24" s="195" customFormat="1" ht="16.5" customHeight="1" x14ac:dyDescent="0.25">
      <c r="A82" s="206" t="s">
        <v>164</v>
      </c>
      <c r="B82" s="210" t="s">
        <v>221</v>
      </c>
      <c r="C82" s="173">
        <f>985.377-985.377+919.126</f>
        <v>919.12599999999998</v>
      </c>
      <c r="D82" s="173">
        <f>1140.594-1140.594+1075.255</f>
        <v>1075.2550000000001</v>
      </c>
      <c r="E82" s="173">
        <f>1053.2-1053.2+964.303</f>
        <v>964.303</v>
      </c>
      <c r="F82" s="173">
        <f>965.412-965.412+959.922</f>
        <v>959.92200000000003</v>
      </c>
      <c r="G82" s="173">
        <f>1053.209-1053.209+982.329</f>
        <v>982.32899999999995</v>
      </c>
      <c r="H82" s="173">
        <f>1205.778-1205.778+1162.116</f>
        <v>1162.116</v>
      </c>
      <c r="I82" s="173">
        <f>1190.559-1190.559+1263.434-1263.434+1119.247</f>
        <v>1119.2470000000001</v>
      </c>
      <c r="J82" s="173">
        <f>1497.921-1497.921+1489.318-1489.318+1383.797</f>
        <v>1383.797</v>
      </c>
      <c r="K82" s="173">
        <v>1314.55</v>
      </c>
      <c r="L82" s="174">
        <v>1136.943</v>
      </c>
      <c r="M82" s="173">
        <v>1638.0920000000001</v>
      </c>
      <c r="N82" s="173">
        <v>1712.4110000000001</v>
      </c>
      <c r="O82" s="174">
        <v>2777.8490000000002</v>
      </c>
      <c r="P82" s="174">
        <v>2223.7190000000001</v>
      </c>
      <c r="Q82" s="174">
        <v>3334.4430000000002</v>
      </c>
      <c r="R82" s="174">
        <v>3149.7509999999997</v>
      </c>
      <c r="S82" s="179">
        <v>2709.6350000000002</v>
      </c>
      <c r="U82" s="174">
        <v>2938.1311039999946</v>
      </c>
      <c r="V82" s="174">
        <v>3059.3368642240002</v>
      </c>
      <c r="W82" s="174">
        <v>2503.5235021873568</v>
      </c>
    </row>
    <row r="83" spans="1:24" s="195" customFormat="1" ht="16.5" customHeight="1" x14ac:dyDescent="0.25">
      <c r="A83" s="189" t="s">
        <v>278</v>
      </c>
      <c r="B83" s="197" t="s">
        <v>279</v>
      </c>
      <c r="C83" s="173">
        <v>519.57100000000003</v>
      </c>
      <c r="D83" s="173">
        <v>612.11599999999999</v>
      </c>
      <c r="E83" s="173">
        <v>520.27</v>
      </c>
      <c r="F83" s="173">
        <v>582.13900000000001</v>
      </c>
      <c r="G83" s="174">
        <f>620.761+19.55</f>
        <v>640.31099999999992</v>
      </c>
      <c r="H83" s="174">
        <f>732.963-19.554</f>
        <v>713.40899999999999</v>
      </c>
      <c r="I83" s="173">
        <f>683.409-87.444</f>
        <v>595.96500000000003</v>
      </c>
      <c r="J83" s="173">
        <f>599.458+38.025+87.593</f>
        <v>725.07599999999991</v>
      </c>
      <c r="K83" s="174">
        <v>684.19600000000003</v>
      </c>
      <c r="L83" s="174">
        <v>601.95900000000006</v>
      </c>
      <c r="M83" s="173">
        <v>763.63699999999994</v>
      </c>
      <c r="N83" s="174">
        <v>750.226</v>
      </c>
      <c r="O83" s="174">
        <v>877.39200000000005</v>
      </c>
      <c r="P83" s="174">
        <v>1027.3429999999998</v>
      </c>
      <c r="Q83" s="174">
        <v>1026.568</v>
      </c>
      <c r="R83" s="174">
        <v>1023.001</v>
      </c>
      <c r="S83" s="179">
        <v>1042.6489999999999</v>
      </c>
      <c r="U83" s="174">
        <v>1026.568</v>
      </c>
      <c r="V83" s="174">
        <v>1023.001</v>
      </c>
      <c r="W83" s="174">
        <v>1042.6489999999999</v>
      </c>
    </row>
    <row r="84" spans="1:24" s="195" customFormat="1" ht="16.5" customHeight="1" x14ac:dyDescent="0.25">
      <c r="A84" s="39" t="s">
        <v>595</v>
      </c>
      <c r="B84" s="43" t="s">
        <v>596</v>
      </c>
      <c r="C84" s="173"/>
      <c r="D84" s="173"/>
      <c r="E84" s="173"/>
      <c r="F84" s="173"/>
      <c r="G84" s="174"/>
      <c r="H84" s="174"/>
      <c r="I84" s="173"/>
      <c r="J84" s="173"/>
      <c r="K84" s="174">
        <v>360.66</v>
      </c>
      <c r="L84" s="174">
        <v>374.71300000000002</v>
      </c>
      <c r="M84" s="173">
        <v>435.49</v>
      </c>
      <c r="N84" s="174">
        <v>490.98200000000003</v>
      </c>
      <c r="O84" s="174">
        <v>574.47699999999998</v>
      </c>
      <c r="P84" s="174">
        <v>526.13900000000001</v>
      </c>
      <c r="Q84" s="174">
        <v>577.22</v>
      </c>
      <c r="R84" s="174">
        <v>577.96600000000001</v>
      </c>
      <c r="S84" s="179">
        <v>616.64400000000001</v>
      </c>
      <c r="U84" s="174">
        <v>577.22</v>
      </c>
      <c r="V84" s="174">
        <v>577.96600000000001</v>
      </c>
      <c r="W84" s="174">
        <v>616.64400000000001</v>
      </c>
    </row>
    <row r="85" spans="1:24" s="195" customFormat="1" ht="16.5" customHeight="1" x14ac:dyDescent="0.25">
      <c r="A85" s="189" t="s">
        <v>280</v>
      </c>
      <c r="B85" s="197" t="s">
        <v>281</v>
      </c>
      <c r="C85" s="173">
        <v>49.18</v>
      </c>
      <c r="D85" s="173">
        <v>55.18</v>
      </c>
      <c r="E85" s="173">
        <v>44.145000000000003</v>
      </c>
      <c r="F85" s="173">
        <v>41.97</v>
      </c>
      <c r="G85" s="174">
        <v>44.695</v>
      </c>
      <c r="H85" s="174">
        <v>46.707000000000001</v>
      </c>
      <c r="I85" s="173">
        <v>52.192999999999998</v>
      </c>
      <c r="J85" s="173">
        <f>56.941+0.029</f>
        <v>56.970000000000006</v>
      </c>
      <c r="K85" s="174">
        <v>61.631</v>
      </c>
      <c r="L85" s="174">
        <v>63.429000000000002</v>
      </c>
      <c r="M85" s="173">
        <v>68.343044000000006</v>
      </c>
      <c r="N85" s="174">
        <v>73.070999999999998</v>
      </c>
      <c r="O85" s="174">
        <v>53.392000000000003</v>
      </c>
      <c r="P85" s="174">
        <v>86.28</v>
      </c>
      <c r="Q85" s="174">
        <v>77.680000000000007</v>
      </c>
      <c r="R85" s="174">
        <v>85.527000000000001</v>
      </c>
      <c r="S85" s="179">
        <v>95.388999999999996</v>
      </c>
      <c r="U85" s="174">
        <v>77.680000000000007</v>
      </c>
      <c r="V85" s="174">
        <v>85.527000000000001</v>
      </c>
      <c r="W85" s="174">
        <v>95.388999999999996</v>
      </c>
    </row>
    <row r="86" spans="1:24" s="195" customFormat="1" ht="16.5" customHeight="1" x14ac:dyDescent="0.25">
      <c r="A86" s="205" t="s">
        <v>282</v>
      </c>
      <c r="B86" s="168" t="s">
        <v>174</v>
      </c>
      <c r="C86" s="211">
        <f t="shared" ref="C86:J86" si="20">C87+C91</f>
        <v>2893.6910000000003</v>
      </c>
      <c r="D86" s="211">
        <f t="shared" si="20"/>
        <v>3705.5039999999999</v>
      </c>
      <c r="E86" s="211">
        <f t="shared" si="20"/>
        <v>3025.3629999999998</v>
      </c>
      <c r="F86" s="211">
        <f t="shared" si="20"/>
        <v>3224.181</v>
      </c>
      <c r="G86" s="169">
        <f t="shared" si="20"/>
        <v>2829.1069999999995</v>
      </c>
      <c r="H86" s="169">
        <f t="shared" si="20"/>
        <v>2941.0520000000001</v>
      </c>
      <c r="I86" s="211">
        <f t="shared" si="20"/>
        <v>3521.9479999999999</v>
      </c>
      <c r="J86" s="211">
        <f t="shared" si="20"/>
        <v>5760.9669999999996</v>
      </c>
      <c r="K86" s="211">
        <v>3306.6109999999999</v>
      </c>
      <c r="L86" s="211">
        <v>3067.6790000000001</v>
      </c>
      <c r="M86" s="211">
        <v>3697.9949999999999</v>
      </c>
      <c r="N86" s="211">
        <v>3791.1189999999997</v>
      </c>
      <c r="O86" s="211">
        <v>3909.962</v>
      </c>
      <c r="P86" s="211">
        <v>4594.8570000000018</v>
      </c>
      <c r="Q86" s="211">
        <v>5172.1570000000011</v>
      </c>
      <c r="R86" s="211">
        <v>5515.8950000000004</v>
      </c>
      <c r="S86" s="530">
        <v>5101.03</v>
      </c>
      <c r="U86" s="211">
        <v>5086.1721630000011</v>
      </c>
      <c r="V86" s="211">
        <v>5258.0542804080014</v>
      </c>
      <c r="W86" s="211">
        <v>4857.0303350988015</v>
      </c>
    </row>
    <row r="87" spans="1:24" ht="16.5" customHeight="1" x14ac:dyDescent="0.25">
      <c r="A87" s="190" t="s">
        <v>283</v>
      </c>
      <c r="B87" s="197" t="s">
        <v>284</v>
      </c>
      <c r="C87" s="173">
        <f t="shared" ref="C87:J87" si="21">SUM(C88:C90)</f>
        <v>2262.2150000000001</v>
      </c>
      <c r="D87" s="173">
        <f t="shared" si="21"/>
        <v>2597.953</v>
      </c>
      <c r="E87" s="173">
        <f t="shared" si="21"/>
        <v>2557.5009999999997</v>
      </c>
      <c r="F87" s="173">
        <f t="shared" si="21"/>
        <v>2681.643</v>
      </c>
      <c r="G87" s="173">
        <f t="shared" si="21"/>
        <v>2426.2729999999997</v>
      </c>
      <c r="H87" s="173">
        <f t="shared" si="21"/>
        <v>2561.3240000000001</v>
      </c>
      <c r="I87" s="173">
        <f t="shared" si="21"/>
        <v>3136.4690000000001</v>
      </c>
      <c r="J87" s="173">
        <f t="shared" si="21"/>
        <v>5201.8269999999993</v>
      </c>
      <c r="K87" s="173">
        <v>2967.0160000000001</v>
      </c>
      <c r="L87" s="174">
        <v>2800.5340000000001</v>
      </c>
      <c r="M87" s="173">
        <v>3390.08</v>
      </c>
      <c r="N87" s="173">
        <v>3426.1079999999997</v>
      </c>
      <c r="O87" s="174">
        <v>3327.7730000000001</v>
      </c>
      <c r="P87" s="174">
        <v>4133.246000000001</v>
      </c>
      <c r="Q87" s="174">
        <v>4828.8690000000006</v>
      </c>
      <c r="R87" s="174">
        <v>5227.1660000000002</v>
      </c>
      <c r="S87" s="179">
        <v>4874.5289999999995</v>
      </c>
      <c r="U87" s="174">
        <v>4834.5584770000005</v>
      </c>
      <c r="V87" s="174">
        <v>4958.3817471320008</v>
      </c>
      <c r="W87" s="174">
        <v>4617.2598530241776</v>
      </c>
    </row>
    <row r="88" spans="1:24" ht="16.5" customHeight="1" x14ac:dyDescent="0.25">
      <c r="A88" s="189" t="s">
        <v>285</v>
      </c>
      <c r="B88" s="172" t="s">
        <v>286</v>
      </c>
      <c r="C88" s="173">
        <f>2307.644-2307.644+2337.273</f>
        <v>2337.2730000000001</v>
      </c>
      <c r="D88" s="173">
        <f>2486.96-2486.96+2515.417</f>
        <v>2515.4169999999999</v>
      </c>
      <c r="E88" s="173">
        <f>2441.088-2441.088+2421.566</f>
        <v>2421.5659999999998</v>
      </c>
      <c r="F88" s="173">
        <f>2691.759-2691.759+2651.466</f>
        <v>2651.4659999999999</v>
      </c>
      <c r="G88" s="173">
        <f>2435.811-2435.811+2372.336</f>
        <v>2372.3359999999998</v>
      </c>
      <c r="H88" s="173">
        <f>2466.08-2466.08+2484.44</f>
        <v>2484.44</v>
      </c>
      <c r="I88" s="173">
        <f>3023.41-3023.41+3143.841</f>
        <v>3143.8409999999999</v>
      </c>
      <c r="J88" s="173">
        <f>4950.645-4950.645+5094.998</f>
        <v>5094.9979999999996</v>
      </c>
      <c r="K88" s="173">
        <v>2758.6930000000002</v>
      </c>
      <c r="L88" s="174">
        <v>2845.4549999999999</v>
      </c>
      <c r="M88" s="173">
        <v>3348.3049999999998</v>
      </c>
      <c r="N88" s="173">
        <v>3350.3649999999998</v>
      </c>
      <c r="O88" s="174">
        <v>3190.893</v>
      </c>
      <c r="P88" s="174">
        <v>4069.2760000000003</v>
      </c>
      <c r="Q88" s="174">
        <v>4788.6260000000002</v>
      </c>
      <c r="R88" s="174">
        <v>5147.7929999999997</v>
      </c>
      <c r="S88" s="179">
        <v>4665.6279999999997</v>
      </c>
      <c r="U88" s="174">
        <v>4823.1362120000003</v>
      </c>
      <c r="V88" s="174">
        <v>4946.2056126420002</v>
      </c>
      <c r="W88" s="174">
        <v>4604.7914913064178</v>
      </c>
    </row>
    <row r="89" spans="1:24" ht="16.5" customHeight="1" x14ac:dyDescent="0.25">
      <c r="A89" s="189" t="s">
        <v>287</v>
      </c>
      <c r="B89" s="172" t="s">
        <v>288</v>
      </c>
      <c r="C89" s="173">
        <v>109.414</v>
      </c>
      <c r="D89" s="174">
        <v>52.887</v>
      </c>
      <c r="E89" s="174">
        <f>94.768</f>
        <v>94.768000000000001</v>
      </c>
      <c r="F89" s="174">
        <v>2.2530000000000001</v>
      </c>
      <c r="G89" s="173">
        <v>19.579999999999998</v>
      </c>
      <c r="H89" s="173">
        <f>60.564-60.564+49.715</f>
        <v>49.715000000000003</v>
      </c>
      <c r="I89" s="174">
        <f>47.12-47.12+57.681</f>
        <v>57.680999999999997</v>
      </c>
      <c r="J89" s="174">
        <f>6.43-6.43+6.423</f>
        <v>6.423</v>
      </c>
      <c r="K89" s="173">
        <v>21.318999999999999</v>
      </c>
      <c r="L89" s="174">
        <v>-93.403999999999996</v>
      </c>
      <c r="M89" s="174">
        <v>21.239000000000001</v>
      </c>
      <c r="N89" s="173">
        <v>5.2560000000000002</v>
      </c>
      <c r="O89" s="174">
        <v>137.232</v>
      </c>
      <c r="P89" s="174">
        <v>88.668999999999997</v>
      </c>
      <c r="Q89" s="174">
        <v>64.59</v>
      </c>
      <c r="R89" s="174">
        <v>150.50200000000001</v>
      </c>
      <c r="S89" s="179">
        <v>231.767</v>
      </c>
      <c r="U89" s="174">
        <v>37.825496000000001</v>
      </c>
      <c r="V89" s="174">
        <v>40.321978736000005</v>
      </c>
      <c r="W89" s="174">
        <v>41.289706225663991</v>
      </c>
    </row>
    <row r="90" spans="1:24" ht="16.5" customHeight="1" x14ac:dyDescent="0.25">
      <c r="A90" s="189" t="s">
        <v>289</v>
      </c>
      <c r="B90" s="172" t="s">
        <v>290</v>
      </c>
      <c r="C90" s="174">
        <f>-185.8+185.8-184.472</f>
        <v>-184.47200000000001</v>
      </c>
      <c r="D90" s="174">
        <v>29.649000000000001</v>
      </c>
      <c r="E90" s="174">
        <v>41.167000000000002</v>
      </c>
      <c r="F90" s="174">
        <f>-64.809+64.809+27.924</f>
        <v>27.923999999999999</v>
      </c>
      <c r="G90" s="174">
        <v>34.356999999999999</v>
      </c>
      <c r="H90" s="174">
        <f>26.199-26.199+27.169</f>
        <v>27.169</v>
      </c>
      <c r="I90" s="174">
        <f>-228.94+228.94-65.053</f>
        <v>-65.052999999999997</v>
      </c>
      <c r="J90" s="174">
        <f>98.775-98.775+100.406</f>
        <v>100.40600000000001</v>
      </c>
      <c r="K90" s="174">
        <v>187.00399999999999</v>
      </c>
      <c r="L90" s="174">
        <v>48.482999999999997</v>
      </c>
      <c r="M90" s="174">
        <v>20.536000000000001</v>
      </c>
      <c r="N90" s="174">
        <v>70.486999999999995</v>
      </c>
      <c r="O90" s="174">
        <v>-0.35199999999999998</v>
      </c>
      <c r="P90" s="174">
        <v>-24.699000000000002</v>
      </c>
      <c r="Q90" s="174">
        <v>-24.347000000000001</v>
      </c>
      <c r="R90" s="174">
        <v>-71.129000000000005</v>
      </c>
      <c r="S90" s="179">
        <v>-22.866</v>
      </c>
      <c r="U90" s="174">
        <v>-26.403231000000002</v>
      </c>
      <c r="V90" s="174">
        <v>-28.145844246000003</v>
      </c>
      <c r="W90" s="174">
        <v>-28.821344507904001</v>
      </c>
    </row>
    <row r="91" spans="1:24" ht="16.5" customHeight="1" x14ac:dyDescent="0.25">
      <c r="A91" s="190" t="s">
        <v>53</v>
      </c>
      <c r="B91" s="197" t="s">
        <v>291</v>
      </c>
      <c r="C91" s="174">
        <v>631.476</v>
      </c>
      <c r="D91" s="174">
        <v>1107.5509999999999</v>
      </c>
      <c r="E91" s="174">
        <v>467.86200000000002</v>
      </c>
      <c r="F91" s="174">
        <v>542.53800000000001</v>
      </c>
      <c r="G91" s="174">
        <v>402.834</v>
      </c>
      <c r="H91" s="174">
        <v>379.72800000000001</v>
      </c>
      <c r="I91" s="174">
        <v>385.47899999999998</v>
      </c>
      <c r="J91" s="174">
        <v>559.14</v>
      </c>
      <c r="K91" s="174">
        <v>339.59500000000003</v>
      </c>
      <c r="L91" s="174">
        <v>267.14499999999998</v>
      </c>
      <c r="M91" s="174">
        <v>307.91500000000002</v>
      </c>
      <c r="N91" s="174">
        <v>365.01100000000002</v>
      </c>
      <c r="O91" s="174">
        <v>582.18899999999996</v>
      </c>
      <c r="P91" s="174">
        <v>461.61100000000056</v>
      </c>
      <c r="Q91" s="174">
        <v>343.28800000000001</v>
      </c>
      <c r="R91" s="174">
        <v>288.72899999999998</v>
      </c>
      <c r="S91" s="179">
        <v>226.501</v>
      </c>
      <c r="U91" s="174">
        <v>251.61368600000006</v>
      </c>
      <c r="V91" s="174">
        <v>299.67253327600008</v>
      </c>
      <c r="W91" s="174">
        <v>239.77048207462406</v>
      </c>
    </row>
    <row r="92" spans="1:24" ht="16.5" customHeight="1" x14ac:dyDescent="0.25">
      <c r="A92" s="201" t="s">
        <v>623</v>
      </c>
      <c r="B92" s="194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>
        <v>812.09465959999488</v>
      </c>
      <c r="S92" s="528">
        <v>768.2</v>
      </c>
      <c r="U92" s="169"/>
      <c r="V92" s="169"/>
      <c r="W92" s="169"/>
    </row>
    <row r="93" spans="1:24" ht="16.5" customHeight="1" x14ac:dyDescent="0.25">
      <c r="A93" s="161" t="s">
        <v>292</v>
      </c>
      <c r="B93" s="212"/>
      <c r="C93" s="213">
        <f t="shared" ref="C93:Q93" si="22">C6-C46</f>
        <v>-3278.6250000000036</v>
      </c>
      <c r="D93" s="213">
        <f t="shared" si="22"/>
        <v>-6952.0530000000035</v>
      </c>
      <c r="E93" s="213">
        <f t="shared" si="22"/>
        <v>-6574.7250000000058</v>
      </c>
      <c r="F93" s="213">
        <f t="shared" si="22"/>
        <v>-5045.5639999999948</v>
      </c>
      <c r="G93" s="213">
        <f t="shared" si="22"/>
        <v>-5168.8770000000004</v>
      </c>
      <c r="H93" s="213">
        <f t="shared" si="22"/>
        <v>-4187.7920000000049</v>
      </c>
      <c r="I93" s="213">
        <f t="shared" si="22"/>
        <v>-2371.3639999999978</v>
      </c>
      <c r="J93" s="213">
        <f t="shared" si="22"/>
        <v>-1030.2167259999987</v>
      </c>
      <c r="K93" s="213">
        <f t="shared" si="22"/>
        <v>-2092.1219999999994</v>
      </c>
      <c r="L93" s="213">
        <f t="shared" si="22"/>
        <v>-829.45400000000518</v>
      </c>
      <c r="M93" s="213">
        <f t="shared" si="22"/>
        <v>-648.72099999999773</v>
      </c>
      <c r="N93" s="214">
        <f t="shared" si="22"/>
        <v>-1252.3999999999942</v>
      </c>
      <c r="O93" s="215">
        <f t="shared" si="22"/>
        <v>-5061.8410000000003</v>
      </c>
      <c r="P93" s="215">
        <f t="shared" si="22"/>
        <v>-7718.0889999999999</v>
      </c>
      <c r="Q93" s="215">
        <f t="shared" si="22"/>
        <v>-5213.4520000000048</v>
      </c>
      <c r="R93" s="215">
        <f>R6-R46+R92</f>
        <v>-3052.2373404</v>
      </c>
      <c r="S93" s="215">
        <f>S6-S46+S92</f>
        <v>-3047.0077000000065</v>
      </c>
      <c r="U93" s="215">
        <f t="shared" ref="U93:W93" si="23">U6-U46</f>
        <v>-4028.7877910000025</v>
      </c>
      <c r="V93" s="215">
        <f t="shared" si="23"/>
        <v>-3813.0916155160085</v>
      </c>
      <c r="W93" s="215">
        <f t="shared" si="23"/>
        <v>-4078.5699280595072</v>
      </c>
    </row>
    <row r="94" spans="1:24" ht="16.5" customHeight="1" x14ac:dyDescent="0.25">
      <c r="A94" s="216" t="s">
        <v>3</v>
      </c>
      <c r="B94" s="217"/>
      <c r="C94" s="218">
        <f t="shared" ref="C94:K94" si="24">C93/C95</f>
        <v>-4.7799963184424303E-2</v>
      </c>
      <c r="D94" s="218">
        <f t="shared" si="24"/>
        <v>-0.10846394737828714</v>
      </c>
      <c r="E94" s="218">
        <f t="shared" si="24"/>
        <v>-9.655513013062561E-2</v>
      </c>
      <c r="F94" s="218">
        <f t="shared" si="24"/>
        <v>-7.0850346573930287E-2</v>
      </c>
      <c r="G94" s="218">
        <f t="shared" si="24"/>
        <v>-7.0340339673676741E-2</v>
      </c>
      <c r="H94" s="218">
        <f t="shared" si="24"/>
        <v>-5.6321709768879284E-2</v>
      </c>
      <c r="I94" s="218">
        <f t="shared" si="24"/>
        <v>-3.1097467452204566E-2</v>
      </c>
      <c r="J94" s="218">
        <f t="shared" si="24"/>
        <v>-1.2916750275626823E-2</v>
      </c>
      <c r="K94" s="218">
        <f t="shared" si="24"/>
        <v>-2.5816434457554972E-2</v>
      </c>
      <c r="L94" s="218">
        <f t="shared" ref="L94:M94" si="25">L93/L95</f>
        <v>-9.8226653015622469E-3</v>
      </c>
      <c r="M94" s="218">
        <f t="shared" si="25"/>
        <v>-7.2539507033129759E-3</v>
      </c>
      <c r="N94" s="218">
        <f>N93/N95</f>
        <v>-1.331659961458199E-2</v>
      </c>
      <c r="O94" s="218">
        <f t="shared" ref="O94:U94" si="26">O93/O95</f>
        <v>-5.4972654915000238E-2</v>
      </c>
      <c r="P94" s="218">
        <f t="shared" si="26"/>
        <v>-7.9208943918754188E-2</v>
      </c>
      <c r="Q94" s="218">
        <f t="shared" si="26"/>
        <v>-4.9400004019502231E-2</v>
      </c>
      <c r="R94" s="218">
        <f t="shared" si="26"/>
        <v>-2.6800000000000001E-2</v>
      </c>
      <c r="S94" s="218">
        <f t="shared" si="26"/>
        <v>-2.6000385780922484E-2</v>
      </c>
      <c r="U94" s="218">
        <f t="shared" si="26"/>
        <v>-3.8174732033424585E-2</v>
      </c>
      <c r="V94" s="218">
        <f t="shared" ref="V94" si="27">V93/V95</f>
        <v>-3.348063859360189E-2</v>
      </c>
      <c r="W94" s="218">
        <f t="shared" ref="W94" si="28">W93/W95</f>
        <v>-3.4802797368715617E-2</v>
      </c>
    </row>
    <row r="95" spans="1:24" ht="16.5" customHeight="1" x14ac:dyDescent="0.25">
      <c r="A95" s="219" t="s">
        <v>86</v>
      </c>
      <c r="B95" s="220"/>
      <c r="C95" s="221">
        <v>68590.534</v>
      </c>
      <c r="D95" s="221">
        <v>64095.519</v>
      </c>
      <c r="E95" s="221">
        <v>68092.964000000007</v>
      </c>
      <c r="F95" s="221">
        <v>71214.386999999988</v>
      </c>
      <c r="G95" s="221">
        <v>73483.822000000015</v>
      </c>
      <c r="H95" s="221">
        <v>74354.845000000001</v>
      </c>
      <c r="I95" s="221">
        <v>76255.855999999985</v>
      </c>
      <c r="J95" s="221">
        <v>79758.198000000004</v>
      </c>
      <c r="K95" s="221">
        <v>81038.379000000001</v>
      </c>
      <c r="L95" s="221">
        <v>84442.865000000005</v>
      </c>
      <c r="M95" s="221">
        <v>89430.025999999998</v>
      </c>
      <c r="N95" s="221">
        <v>94048.032999999996</v>
      </c>
      <c r="O95" s="221">
        <v>92079.252999999997</v>
      </c>
      <c r="P95" s="531">
        <v>97439.615000000005</v>
      </c>
      <c r="Q95" s="531">
        <v>105535.45699999999</v>
      </c>
      <c r="R95" s="531">
        <v>113889.45299999999</v>
      </c>
      <c r="S95" s="531">
        <v>117190.86500000001</v>
      </c>
      <c r="U95" s="221">
        <f>Q95</f>
        <v>105535.45699999999</v>
      </c>
      <c r="V95" s="221">
        <f t="shared" ref="V95:W95" si="29">R95</f>
        <v>113889.45299999999</v>
      </c>
      <c r="W95" s="221">
        <f t="shared" si="29"/>
        <v>117190.86500000001</v>
      </c>
    </row>
    <row r="96" spans="1:24" hidden="1" x14ac:dyDescent="0.25">
      <c r="A96" s="175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U96" s="221">
        <v>95661.745999999999</v>
      </c>
      <c r="V96" s="221">
        <v>99887.191999999995</v>
      </c>
      <c r="W96" s="221">
        <v>105262.219</v>
      </c>
    </row>
    <row r="97" spans="1:23" x14ac:dyDescent="0.25">
      <c r="A97" s="175"/>
      <c r="B97" s="88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U97" s="222"/>
      <c r="V97" s="222"/>
      <c r="W97" s="222"/>
    </row>
    <row r="98" spans="1:23" x14ac:dyDescent="0.25">
      <c r="A98" s="801" t="s">
        <v>1450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U98" s="88"/>
      <c r="V98" s="88"/>
      <c r="W98" s="88"/>
    </row>
    <row r="99" spans="1:23" x14ac:dyDescent="0.25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1:23" x14ac:dyDescent="0.25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223"/>
    </row>
    <row r="101" spans="1:23" x14ac:dyDescent="0.25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224"/>
    </row>
    <row r="102" spans="1:23" x14ac:dyDescent="0.25">
      <c r="B102" s="88"/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1:23" x14ac:dyDescent="0.25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4" spans="1:23" x14ac:dyDescent="0.25">
      <c r="K104" s="225"/>
      <c r="L104" s="225"/>
      <c r="M104" s="225"/>
    </row>
    <row r="105" spans="1:23" x14ac:dyDescent="0.25">
      <c r="G105" s="225"/>
      <c r="H105" s="225"/>
      <c r="I105" s="225"/>
      <c r="J105" s="225"/>
      <c r="K105" s="225"/>
      <c r="L105" s="225"/>
      <c r="M105" s="225"/>
    </row>
    <row r="106" spans="1:23" x14ac:dyDescent="0.25">
      <c r="J106" s="88"/>
      <c r="K106" s="88"/>
    </row>
    <row r="107" spans="1:23" x14ac:dyDescent="0.25">
      <c r="E107" s="170"/>
      <c r="G107" s="148"/>
      <c r="H107" s="148"/>
      <c r="I107" s="148"/>
      <c r="J107" s="226"/>
      <c r="K107" s="226"/>
      <c r="L107" s="226"/>
      <c r="M107" s="148"/>
    </row>
    <row r="108" spans="1:23" x14ac:dyDescent="0.25">
      <c r="E108" s="170"/>
      <c r="F108" s="226"/>
      <c r="G108" s="148"/>
      <c r="H108" s="148"/>
      <c r="I108" s="148"/>
    </row>
    <row r="109" spans="1:23" x14ac:dyDescent="0.25">
      <c r="E109" s="170"/>
      <c r="F109" s="226"/>
      <c r="G109" s="148"/>
      <c r="H109" s="148"/>
      <c r="I109" s="148"/>
      <c r="J109" s="148"/>
      <c r="K109" s="148"/>
      <c r="L109" s="148"/>
    </row>
    <row r="110" spans="1:23" x14ac:dyDescent="0.25">
      <c r="E110" s="170"/>
      <c r="F110" s="226"/>
      <c r="G110" s="148"/>
      <c r="H110" s="148"/>
      <c r="I110" s="148"/>
      <c r="J110" s="148"/>
      <c r="K110" s="148"/>
      <c r="L110" s="148"/>
    </row>
  </sheetData>
  <mergeCells count="1">
    <mergeCell ref="B4:B5"/>
  </mergeCells>
  <pageMargins left="0.7" right="0.7" top="0.75" bottom="0.75" header="0.3" footer="0.3"/>
  <pageSetup paperSize="9" orientation="portrait" r:id="rId1"/>
  <ignoredErrors>
    <ignoredError sqref="N6:O7 C7:K7 C47:I47 L7 C93:K93 L6 C94:K94 C6:I6 K6 C46:I46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showGridLines="0" zoomScale="115" zoomScaleNormal="115" workbookViewId="0"/>
  </sheetViews>
  <sheetFormatPr defaultRowHeight="15" x14ac:dyDescent="0.25"/>
  <cols>
    <col min="10" max="10" width="12.85546875" customWidth="1"/>
  </cols>
  <sheetData>
    <row r="3" spans="1:10" x14ac:dyDescent="0.25">
      <c r="A3" s="761" t="s">
        <v>1428</v>
      </c>
    </row>
    <row r="15" spans="1:10" x14ac:dyDescent="0.25">
      <c r="J15" s="781" t="s">
        <v>2</v>
      </c>
    </row>
    <row r="17" spans="1:10" x14ac:dyDescent="0.25">
      <c r="A17" s="761" t="s">
        <v>1429</v>
      </c>
    </row>
    <row r="31" spans="1:10" x14ac:dyDescent="0.25">
      <c r="J31" s="781" t="s">
        <v>474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9"/>
  <sheetViews>
    <sheetView showGridLines="0" workbookViewId="0"/>
  </sheetViews>
  <sheetFormatPr defaultColWidth="9.140625" defaultRowHeight="13.5" x14ac:dyDescent="0.25"/>
  <cols>
    <col min="1" max="1" width="22.140625" style="88" bestFit="1" customWidth="1"/>
    <col min="2" max="11" width="9.140625" style="88"/>
    <col min="12" max="12" width="11.85546875" style="88" customWidth="1"/>
    <col min="13" max="25" width="9.140625" style="88"/>
    <col min="26" max="26" width="11.5703125" style="88" customWidth="1"/>
    <col min="27" max="16384" width="9.140625" style="88"/>
  </cols>
  <sheetData>
    <row r="2" spans="1:27" s="227" customFormat="1" x14ac:dyDescent="0.25">
      <c r="B2" s="227">
        <v>2016</v>
      </c>
      <c r="C2" s="227">
        <v>2017</v>
      </c>
      <c r="D2" s="227">
        <v>2018</v>
      </c>
      <c r="E2" s="227">
        <v>2019</v>
      </c>
      <c r="F2" s="227">
        <v>2020</v>
      </c>
      <c r="G2" s="227">
        <v>2021</v>
      </c>
      <c r="H2" s="227">
        <v>2022</v>
      </c>
      <c r="I2" s="227">
        <v>2023</v>
      </c>
      <c r="J2" s="227">
        <v>2024</v>
      </c>
      <c r="K2" s="227">
        <v>2025</v>
      </c>
      <c r="L2" s="227">
        <v>2026</v>
      </c>
      <c r="M2" s="227">
        <v>2027</v>
      </c>
      <c r="N2" s="227">
        <v>2028</v>
      </c>
      <c r="O2" s="227">
        <v>2029</v>
      </c>
      <c r="P2" s="227">
        <v>2030</v>
      </c>
      <c r="Q2" s="227">
        <v>2031</v>
      </c>
      <c r="R2" s="227">
        <v>2032</v>
      </c>
      <c r="S2" s="227">
        <v>2033</v>
      </c>
      <c r="T2" s="227">
        <v>2034</v>
      </c>
      <c r="U2" s="227">
        <v>2035</v>
      </c>
      <c r="V2" s="227">
        <v>2036</v>
      </c>
      <c r="W2" s="227">
        <v>2037</v>
      </c>
      <c r="X2" s="227">
        <v>2038</v>
      </c>
      <c r="Y2" s="227">
        <v>2039</v>
      </c>
      <c r="Z2" s="227">
        <v>2040</v>
      </c>
    </row>
    <row r="3" spans="1:27" x14ac:dyDescent="0.25">
      <c r="A3" s="88" t="s">
        <v>1298</v>
      </c>
      <c r="B3" s="141">
        <v>52.412725889252222</v>
      </c>
      <c r="C3" s="141">
        <v>51.544586132873327</v>
      </c>
      <c r="D3" s="141">
        <v>49.587096909993448</v>
      </c>
      <c r="E3" s="141">
        <v>48.216021328971266</v>
      </c>
      <c r="F3" s="141">
        <v>59.741737913534124</v>
      </c>
      <c r="G3" s="141">
        <v>61.538863309792049</v>
      </c>
      <c r="H3" s="141">
        <v>61.480978780764914</v>
      </c>
      <c r="I3" s="141">
        <v>58.606269959583138</v>
      </c>
      <c r="J3" s="141">
        <v>58.688496979061455</v>
      </c>
      <c r="K3" s="141">
        <v>61.148874337495144</v>
      </c>
      <c r="L3" s="141">
        <v>63.046884781128831</v>
      </c>
      <c r="M3" s="141">
        <v>65.76303587066154</v>
      </c>
      <c r="N3" s="141">
        <v>68.563441797441143</v>
      </c>
      <c r="O3" s="141">
        <v>70.532923990018418</v>
      </c>
      <c r="P3" s="141">
        <v>71.224599881721659</v>
      </c>
      <c r="Q3" s="141">
        <v>72.47373994787894</v>
      </c>
      <c r="R3" s="141">
        <v>73.898922309892242</v>
      </c>
      <c r="S3" s="141">
        <v>75.502364598160597</v>
      </c>
      <c r="T3" s="141">
        <v>77.270985457725828</v>
      </c>
      <c r="U3" s="141">
        <v>79.267749563303852</v>
      </c>
      <c r="V3" s="141">
        <v>81.514940374713191</v>
      </c>
      <c r="W3" s="141">
        <v>84.041645525203279</v>
      </c>
      <c r="X3" s="141">
        <v>86.825491136230156</v>
      </c>
      <c r="Y3" s="141">
        <v>89.850532447563651</v>
      </c>
      <c r="Z3" s="141">
        <v>93.082936684006285</v>
      </c>
      <c r="AA3" s="88" t="s">
        <v>1307</v>
      </c>
    </row>
    <row r="4" spans="1:27" x14ac:dyDescent="0.25">
      <c r="A4" s="88" t="s">
        <v>1299</v>
      </c>
      <c r="B4" s="141">
        <v>47.052183451906302</v>
      </c>
      <c r="C4" s="141">
        <v>45.815407765782382</v>
      </c>
      <c r="D4" s="141">
        <v>43.524676571293845</v>
      </c>
      <c r="E4" s="141">
        <v>43.316470794335913</v>
      </c>
      <c r="F4" s="141">
        <v>49.661725644103569</v>
      </c>
      <c r="G4" s="141">
        <v>55.534097227024418</v>
      </c>
      <c r="H4" s="141">
        <v>56.26138144222881</v>
      </c>
      <c r="I4" s="141">
        <v>55.207092190266629</v>
      </c>
      <c r="J4" s="141">
        <v>56.482624234173642</v>
      </c>
      <c r="K4" s="141">
        <v>57.148874337495151</v>
      </c>
      <c r="L4" s="141">
        <v>59.046884781128838</v>
      </c>
      <c r="M4" s="141">
        <v>61.763035870661554</v>
      </c>
      <c r="N4" s="141">
        <v>64.563441797441143</v>
      </c>
      <c r="O4" s="141">
        <v>66.532923990018418</v>
      </c>
      <c r="P4" s="141">
        <v>67.224599881721673</v>
      </c>
      <c r="Q4" s="141">
        <v>68.47373994787894</v>
      </c>
      <c r="R4" s="141">
        <v>69.898922309892242</v>
      </c>
      <c r="S4" s="141">
        <v>71.502364598160611</v>
      </c>
      <c r="T4" s="141">
        <v>73.270985457725828</v>
      </c>
      <c r="U4" s="141">
        <v>75.267749563303852</v>
      </c>
      <c r="V4" s="141">
        <v>77.514940374713177</v>
      </c>
      <c r="W4" s="141">
        <v>80.041645525203265</v>
      </c>
      <c r="X4" s="141">
        <v>82.825491136230156</v>
      </c>
      <c r="Y4" s="141">
        <v>85.850532447563666</v>
      </c>
      <c r="Z4" s="141">
        <v>89.08293668400627</v>
      </c>
      <c r="AA4" s="88" t="s">
        <v>1308</v>
      </c>
    </row>
    <row r="5" spans="1:27" x14ac:dyDescent="0.25">
      <c r="A5" s="88" t="s">
        <v>1300</v>
      </c>
      <c r="B5" s="141">
        <v>5.3605424373459201</v>
      </c>
      <c r="C5" s="141">
        <v>5.7291783670909453</v>
      </c>
      <c r="D5" s="141">
        <v>6.062420338699603</v>
      </c>
      <c r="E5" s="141">
        <v>4.8995505346353525</v>
      </c>
      <c r="F5" s="141">
        <v>10.080012269430554</v>
      </c>
      <c r="G5" s="141">
        <v>6.004766082767631</v>
      </c>
      <c r="H5" s="141">
        <v>5.2195973385361043</v>
      </c>
      <c r="I5" s="141">
        <v>3.3991777693165091</v>
      </c>
      <c r="J5" s="141">
        <v>2.205872744887813</v>
      </c>
      <c r="K5" s="88">
        <v>3.9999999999999929</v>
      </c>
      <c r="L5" s="88">
        <v>3.9999999999999929</v>
      </c>
      <c r="M5" s="88">
        <v>3.9999999999999858</v>
      </c>
      <c r="N5" s="88">
        <v>4</v>
      </c>
      <c r="O5" s="88">
        <v>4</v>
      </c>
      <c r="P5" s="88">
        <v>3.9999999999999858</v>
      </c>
      <c r="Q5" s="88">
        <v>4</v>
      </c>
      <c r="R5" s="88">
        <v>4</v>
      </c>
      <c r="S5" s="88">
        <v>3.9999999999999858</v>
      </c>
      <c r="T5" s="88">
        <v>4</v>
      </c>
      <c r="U5" s="88">
        <v>4</v>
      </c>
      <c r="V5" s="88">
        <v>4.0000000000000142</v>
      </c>
      <c r="W5" s="88">
        <v>4.0000000000000142</v>
      </c>
      <c r="X5" s="88">
        <v>4</v>
      </c>
      <c r="Y5" s="88">
        <v>3.9999999999999858</v>
      </c>
      <c r="Z5" s="88">
        <v>4.0000000000000142</v>
      </c>
      <c r="AA5" s="88" t="s">
        <v>1309</v>
      </c>
    </row>
    <row r="7" spans="1:27" s="280" customFormat="1" x14ac:dyDescent="0.25">
      <c r="A7" s="489" t="s">
        <v>1301</v>
      </c>
      <c r="J7" s="472"/>
      <c r="AA7" s="280" t="s">
        <v>1310</v>
      </c>
    </row>
    <row r="8" spans="1:27" s="280" customFormat="1" x14ac:dyDescent="0.25">
      <c r="A8" s="489"/>
      <c r="B8" s="489">
        <v>2016</v>
      </c>
      <c r="C8" s="489">
        <v>2017</v>
      </c>
      <c r="D8" s="489">
        <v>2018</v>
      </c>
      <c r="E8" s="489">
        <v>2019</v>
      </c>
      <c r="F8" s="489">
        <v>2020</v>
      </c>
      <c r="G8" s="489">
        <v>2021</v>
      </c>
      <c r="H8" s="489">
        <v>2022</v>
      </c>
      <c r="I8" s="489">
        <v>2023</v>
      </c>
      <c r="J8" s="489">
        <v>2024</v>
      </c>
      <c r="K8" s="489">
        <v>2025</v>
      </c>
      <c r="L8" s="489">
        <v>2026</v>
      </c>
      <c r="M8" s="489">
        <v>2027</v>
      </c>
      <c r="N8" s="489">
        <v>2028</v>
      </c>
      <c r="O8" s="489">
        <v>2029</v>
      </c>
      <c r="P8" s="489">
        <v>2030</v>
      </c>
      <c r="Q8" s="489">
        <v>2031</v>
      </c>
      <c r="R8" s="489">
        <v>2032</v>
      </c>
      <c r="S8" s="489">
        <v>2033</v>
      </c>
      <c r="T8" s="489">
        <v>2034</v>
      </c>
      <c r="U8" s="489">
        <v>2035</v>
      </c>
      <c r="V8" s="489">
        <v>2036</v>
      </c>
      <c r="W8" s="489">
        <v>2037</v>
      </c>
      <c r="X8" s="489">
        <v>2038</v>
      </c>
      <c r="Y8" s="489">
        <v>2039</v>
      </c>
      <c r="Z8" s="489">
        <v>2040</v>
      </c>
    </row>
    <row r="9" spans="1:27" s="280" customFormat="1" x14ac:dyDescent="0.25">
      <c r="A9" s="280" t="s">
        <v>1302</v>
      </c>
      <c r="B9" s="280">
        <v>60</v>
      </c>
      <c r="C9" s="280">
        <v>60</v>
      </c>
      <c r="D9" s="280">
        <f>C9-1</f>
        <v>59</v>
      </c>
      <c r="E9" s="280">
        <f t="shared" ref="E9:M9" si="0">D9-1</f>
        <v>58</v>
      </c>
      <c r="F9" s="280">
        <f t="shared" si="0"/>
        <v>57</v>
      </c>
      <c r="G9" s="280">
        <f t="shared" si="0"/>
        <v>56</v>
      </c>
      <c r="H9" s="280">
        <f t="shared" si="0"/>
        <v>55</v>
      </c>
      <c r="I9" s="280">
        <f t="shared" si="0"/>
        <v>54</v>
      </c>
      <c r="J9" s="280">
        <f t="shared" si="0"/>
        <v>53</v>
      </c>
      <c r="K9" s="280">
        <f t="shared" si="0"/>
        <v>52</v>
      </c>
      <c r="L9" s="280">
        <f t="shared" si="0"/>
        <v>51</v>
      </c>
      <c r="M9" s="280">
        <f t="shared" si="0"/>
        <v>50</v>
      </c>
      <c r="N9" s="280">
        <v>50</v>
      </c>
      <c r="O9" s="280">
        <v>50</v>
      </c>
      <c r="P9" s="280">
        <v>50</v>
      </c>
      <c r="Q9" s="280">
        <v>50</v>
      </c>
      <c r="R9" s="280">
        <v>50</v>
      </c>
      <c r="S9" s="280">
        <v>50</v>
      </c>
      <c r="T9" s="280">
        <v>50</v>
      </c>
      <c r="U9" s="280">
        <v>50</v>
      </c>
      <c r="V9" s="280">
        <v>50</v>
      </c>
      <c r="W9" s="280">
        <v>50</v>
      </c>
      <c r="X9" s="280">
        <v>50</v>
      </c>
      <c r="Y9" s="280">
        <v>50</v>
      </c>
      <c r="Z9" s="280">
        <v>50</v>
      </c>
    </row>
    <row r="10" spans="1:27" s="280" customFormat="1" x14ac:dyDescent="0.25">
      <c r="A10" s="280" t="s">
        <v>1303</v>
      </c>
      <c r="B10" s="280">
        <v>57</v>
      </c>
      <c r="C10" s="280">
        <v>57</v>
      </c>
      <c r="D10" s="280">
        <f t="shared" ref="D10:M13" si="1">C10-1</f>
        <v>56</v>
      </c>
      <c r="E10" s="280">
        <f t="shared" si="1"/>
        <v>55</v>
      </c>
      <c r="F10" s="280">
        <f t="shared" si="1"/>
        <v>54</v>
      </c>
      <c r="G10" s="280">
        <f t="shared" si="1"/>
        <v>53</v>
      </c>
      <c r="H10" s="280">
        <f t="shared" si="1"/>
        <v>52</v>
      </c>
      <c r="I10" s="280">
        <f t="shared" si="1"/>
        <v>51</v>
      </c>
      <c r="J10" s="280">
        <f t="shared" si="1"/>
        <v>50</v>
      </c>
      <c r="K10" s="280">
        <f t="shared" si="1"/>
        <v>49</v>
      </c>
      <c r="L10" s="280">
        <f t="shared" si="1"/>
        <v>48</v>
      </c>
      <c r="M10" s="280">
        <f t="shared" si="1"/>
        <v>47</v>
      </c>
      <c r="N10" s="280">
        <v>47</v>
      </c>
      <c r="O10" s="280">
        <v>47</v>
      </c>
      <c r="P10" s="280">
        <v>47</v>
      </c>
      <c r="Q10" s="280">
        <v>47</v>
      </c>
      <c r="R10" s="280">
        <v>47</v>
      </c>
      <c r="S10" s="280">
        <v>47</v>
      </c>
      <c r="T10" s="280">
        <v>47</v>
      </c>
      <c r="U10" s="280">
        <v>47</v>
      </c>
      <c r="V10" s="280">
        <v>47</v>
      </c>
      <c r="W10" s="280">
        <v>47</v>
      </c>
      <c r="X10" s="280">
        <v>47</v>
      </c>
      <c r="Y10" s="280">
        <v>47</v>
      </c>
      <c r="Z10" s="280">
        <v>47</v>
      </c>
    </row>
    <row r="11" spans="1:27" s="280" customFormat="1" x14ac:dyDescent="0.25">
      <c r="A11" s="280" t="s">
        <v>1304</v>
      </c>
      <c r="B11" s="280">
        <v>55</v>
      </c>
      <c r="C11" s="280">
        <v>55</v>
      </c>
      <c r="D11" s="280">
        <f t="shared" si="1"/>
        <v>54</v>
      </c>
      <c r="E11" s="280">
        <f t="shared" si="1"/>
        <v>53</v>
      </c>
      <c r="F11" s="280">
        <f t="shared" si="1"/>
        <v>52</v>
      </c>
      <c r="G11" s="280">
        <f t="shared" si="1"/>
        <v>51</v>
      </c>
      <c r="H11" s="280">
        <f t="shared" si="1"/>
        <v>50</v>
      </c>
      <c r="I11" s="280">
        <f t="shared" si="1"/>
        <v>49</v>
      </c>
      <c r="J11" s="280">
        <f t="shared" si="1"/>
        <v>48</v>
      </c>
      <c r="K11" s="280">
        <f t="shared" si="1"/>
        <v>47</v>
      </c>
      <c r="L11" s="280">
        <f t="shared" si="1"/>
        <v>46</v>
      </c>
      <c r="M11" s="280">
        <f t="shared" si="1"/>
        <v>45</v>
      </c>
      <c r="N11" s="280">
        <v>45</v>
      </c>
      <c r="O11" s="280">
        <v>45</v>
      </c>
      <c r="P11" s="280">
        <v>45</v>
      </c>
      <c r="Q11" s="280">
        <v>45</v>
      </c>
      <c r="R11" s="280">
        <v>45</v>
      </c>
      <c r="S11" s="280">
        <v>45</v>
      </c>
      <c r="T11" s="280">
        <v>45</v>
      </c>
      <c r="U11" s="280">
        <v>45</v>
      </c>
      <c r="V11" s="280">
        <v>45</v>
      </c>
      <c r="W11" s="280">
        <v>45</v>
      </c>
      <c r="X11" s="280">
        <v>45</v>
      </c>
      <c r="Y11" s="280">
        <v>45</v>
      </c>
      <c r="Z11" s="280">
        <v>45</v>
      </c>
    </row>
    <row r="12" spans="1:27" s="280" customFormat="1" x14ac:dyDescent="0.25">
      <c r="A12" s="280" t="s">
        <v>1305</v>
      </c>
      <c r="B12" s="280">
        <v>53</v>
      </c>
      <c r="C12" s="280">
        <v>53</v>
      </c>
      <c r="D12" s="280">
        <f t="shared" si="1"/>
        <v>52</v>
      </c>
      <c r="E12" s="280">
        <f t="shared" si="1"/>
        <v>51</v>
      </c>
      <c r="F12" s="280">
        <f t="shared" si="1"/>
        <v>50</v>
      </c>
      <c r="G12" s="280">
        <f t="shared" si="1"/>
        <v>49</v>
      </c>
      <c r="H12" s="280">
        <f t="shared" si="1"/>
        <v>48</v>
      </c>
      <c r="I12" s="280">
        <f t="shared" si="1"/>
        <v>47</v>
      </c>
      <c r="J12" s="280">
        <f t="shared" si="1"/>
        <v>46</v>
      </c>
      <c r="K12" s="280">
        <f t="shared" si="1"/>
        <v>45</v>
      </c>
      <c r="L12" s="280">
        <f t="shared" si="1"/>
        <v>44</v>
      </c>
      <c r="M12" s="280">
        <f t="shared" si="1"/>
        <v>43</v>
      </c>
      <c r="N12" s="280">
        <v>43</v>
      </c>
      <c r="O12" s="280">
        <v>43</v>
      </c>
      <c r="P12" s="280">
        <v>43</v>
      </c>
      <c r="Q12" s="280">
        <v>43</v>
      </c>
      <c r="R12" s="280">
        <v>43</v>
      </c>
      <c r="S12" s="280">
        <v>43</v>
      </c>
      <c r="T12" s="280">
        <v>43</v>
      </c>
      <c r="U12" s="280">
        <v>43</v>
      </c>
      <c r="V12" s="280">
        <v>43</v>
      </c>
      <c r="W12" s="280">
        <v>43</v>
      </c>
      <c r="X12" s="280">
        <v>43</v>
      </c>
      <c r="Y12" s="280">
        <v>43</v>
      </c>
      <c r="Z12" s="280">
        <v>43</v>
      </c>
    </row>
    <row r="13" spans="1:27" s="280" customFormat="1" x14ac:dyDescent="0.25">
      <c r="A13" s="280" t="s">
        <v>1306</v>
      </c>
      <c r="B13" s="280">
        <v>50</v>
      </c>
      <c r="C13" s="280">
        <v>50</v>
      </c>
      <c r="D13" s="280">
        <f t="shared" si="1"/>
        <v>49</v>
      </c>
      <c r="E13" s="280">
        <f t="shared" si="1"/>
        <v>48</v>
      </c>
      <c r="F13" s="280">
        <f t="shared" si="1"/>
        <v>47</v>
      </c>
      <c r="G13" s="280">
        <f t="shared" si="1"/>
        <v>46</v>
      </c>
      <c r="H13" s="280">
        <f t="shared" si="1"/>
        <v>45</v>
      </c>
      <c r="I13" s="280">
        <f t="shared" si="1"/>
        <v>44</v>
      </c>
      <c r="J13" s="280">
        <f t="shared" si="1"/>
        <v>43</v>
      </c>
      <c r="K13" s="280">
        <f t="shared" si="1"/>
        <v>42</v>
      </c>
      <c r="L13" s="280">
        <f t="shared" si="1"/>
        <v>41</v>
      </c>
      <c r="M13" s="280">
        <f t="shared" si="1"/>
        <v>40</v>
      </c>
      <c r="N13" s="280">
        <v>40</v>
      </c>
      <c r="O13" s="280">
        <v>40</v>
      </c>
      <c r="P13" s="280">
        <v>40</v>
      </c>
      <c r="Q13" s="280">
        <v>40</v>
      </c>
      <c r="R13" s="280">
        <v>40</v>
      </c>
      <c r="S13" s="280">
        <v>40</v>
      </c>
      <c r="T13" s="280">
        <v>40</v>
      </c>
      <c r="U13" s="280">
        <v>40</v>
      </c>
      <c r="V13" s="280">
        <v>40</v>
      </c>
      <c r="W13" s="280">
        <v>40</v>
      </c>
      <c r="X13" s="280">
        <v>40</v>
      </c>
      <c r="Y13" s="280">
        <v>40</v>
      </c>
      <c r="Z13" s="280">
        <v>40</v>
      </c>
    </row>
    <row r="15" spans="1:27" x14ac:dyDescent="0.25">
      <c r="A15" s="761" t="s">
        <v>1311</v>
      </c>
      <c r="N15" s="761" t="s">
        <v>1355</v>
      </c>
    </row>
    <row r="39" spans="12:26" x14ac:dyDescent="0.25">
      <c r="L39" s="781" t="s">
        <v>2</v>
      </c>
      <c r="Z39" s="781" t="s">
        <v>474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showGridLines="0" workbookViewId="0"/>
  </sheetViews>
  <sheetFormatPr defaultRowHeight="15" x14ac:dyDescent="0.25"/>
  <cols>
    <col min="2" max="2" width="23.140625" bestFit="1" customWidth="1"/>
    <col min="8" max="8" width="11" customWidth="1"/>
    <col min="20" max="20" width="10.5703125" customWidth="1"/>
  </cols>
  <sheetData>
    <row r="3" spans="1:15" x14ac:dyDescent="0.25">
      <c r="B3" s="763"/>
      <c r="C3" s="764"/>
      <c r="D3" s="765">
        <v>2005</v>
      </c>
      <c r="E3" s="765">
        <v>2009</v>
      </c>
      <c r="F3" s="765">
        <v>2014</v>
      </c>
      <c r="G3" s="765">
        <v>2016</v>
      </c>
      <c r="H3" s="765">
        <v>2017</v>
      </c>
      <c r="I3" s="766">
        <v>2019</v>
      </c>
      <c r="J3" s="765">
        <v>2020</v>
      </c>
      <c r="K3" s="765">
        <v>2021</v>
      </c>
      <c r="L3" s="765">
        <v>2024</v>
      </c>
    </row>
    <row r="4" spans="1:15" x14ac:dyDescent="0.25">
      <c r="B4" s="767" t="s">
        <v>1312</v>
      </c>
      <c r="C4" s="768"/>
      <c r="D4" s="769">
        <v>1.3</v>
      </c>
      <c r="E4" s="769">
        <v>5.7</v>
      </c>
      <c r="F4" s="769">
        <v>2.2000000000000002</v>
      </c>
      <c r="G4" s="769">
        <v>-0.7</v>
      </c>
      <c r="H4" s="769">
        <v>-2.1</v>
      </c>
      <c r="I4" s="769">
        <v>-2.6</v>
      </c>
      <c r="J4" s="769">
        <v>-2.9</v>
      </c>
      <c r="K4" s="770"/>
      <c r="L4" s="770"/>
      <c r="O4" s="774" t="s">
        <v>1318</v>
      </c>
    </row>
    <row r="5" spans="1:15" x14ac:dyDescent="0.25">
      <c r="B5" s="771" t="s">
        <v>1316</v>
      </c>
      <c r="C5" s="772"/>
      <c r="D5" s="773"/>
      <c r="E5" s="773"/>
      <c r="F5" s="773"/>
      <c r="G5" s="773"/>
      <c r="H5" s="773"/>
      <c r="I5" s="773"/>
      <c r="J5" s="770"/>
      <c r="K5" s="770">
        <v>3.8</v>
      </c>
      <c r="L5" s="770">
        <v>1.3</v>
      </c>
      <c r="O5" s="779" t="s">
        <v>1323</v>
      </c>
    </row>
    <row r="6" spans="1:15" x14ac:dyDescent="0.25">
      <c r="B6" s="771"/>
      <c r="C6" s="772"/>
      <c r="D6" s="773"/>
      <c r="E6" s="773"/>
      <c r="F6" s="773"/>
      <c r="G6" s="773"/>
      <c r="H6" s="773"/>
      <c r="I6" s="773"/>
      <c r="J6" s="770"/>
      <c r="K6" s="770">
        <v>5.7</v>
      </c>
      <c r="L6" s="770">
        <v>3.1480916295851111</v>
      </c>
      <c r="O6" s="779"/>
    </row>
    <row r="7" spans="1:15" x14ac:dyDescent="0.25">
      <c r="B7" s="774" t="s">
        <v>1317</v>
      </c>
      <c r="C7" s="775">
        <v>-6</v>
      </c>
      <c r="D7" s="769">
        <v>-6</v>
      </c>
      <c r="E7" s="769">
        <v>-6</v>
      </c>
      <c r="F7" s="769">
        <v>-6</v>
      </c>
      <c r="G7" s="769">
        <v>-6</v>
      </c>
      <c r="H7" s="769">
        <v>-6</v>
      </c>
      <c r="I7" s="769">
        <v>-6</v>
      </c>
      <c r="J7" s="769">
        <v>-6</v>
      </c>
      <c r="K7" s="769">
        <v>-6</v>
      </c>
      <c r="L7" s="769">
        <v>-6</v>
      </c>
      <c r="M7" s="775">
        <v>-6</v>
      </c>
      <c r="N7" s="775">
        <v>-6</v>
      </c>
      <c r="O7" s="774" t="s">
        <v>1319</v>
      </c>
    </row>
    <row r="8" spans="1:15" x14ac:dyDescent="0.25">
      <c r="B8" s="774" t="s">
        <v>1313</v>
      </c>
      <c r="C8" s="775">
        <v>2.5</v>
      </c>
      <c r="D8" s="769">
        <v>2.5</v>
      </c>
      <c r="E8" s="769">
        <v>2.5</v>
      </c>
      <c r="F8" s="769">
        <v>2.5</v>
      </c>
      <c r="G8" s="769">
        <v>2.5</v>
      </c>
      <c r="H8" s="769">
        <v>2.5</v>
      </c>
      <c r="I8" s="769">
        <v>2.5</v>
      </c>
      <c r="J8" s="769">
        <v>2.5</v>
      </c>
      <c r="K8" s="769">
        <f t="shared" ref="K8" si="0">J8</f>
        <v>2.5</v>
      </c>
      <c r="L8" s="769">
        <v>2.5</v>
      </c>
      <c r="M8" s="775">
        <v>2.5</v>
      </c>
      <c r="N8" s="775">
        <v>2.5</v>
      </c>
      <c r="O8" s="774" t="s">
        <v>1320</v>
      </c>
    </row>
    <row r="9" spans="1:15" x14ac:dyDescent="0.25">
      <c r="B9" s="774" t="s">
        <v>1314</v>
      </c>
      <c r="C9" s="775">
        <v>6</v>
      </c>
      <c r="D9" s="769">
        <v>6</v>
      </c>
      <c r="E9" s="769">
        <v>6</v>
      </c>
      <c r="F9" s="769">
        <v>6</v>
      </c>
      <c r="G9" s="769">
        <v>6</v>
      </c>
      <c r="H9" s="769">
        <v>6</v>
      </c>
      <c r="I9" s="769">
        <v>6</v>
      </c>
      <c r="J9" s="769">
        <v>6</v>
      </c>
      <c r="K9" s="769">
        <f>J9</f>
        <v>6</v>
      </c>
      <c r="L9" s="769">
        <v>6</v>
      </c>
      <c r="M9" s="775">
        <v>6</v>
      </c>
      <c r="N9" s="775">
        <v>6</v>
      </c>
      <c r="O9" s="774" t="s">
        <v>1321</v>
      </c>
    </row>
    <row r="10" spans="1:15" x14ac:dyDescent="0.25">
      <c r="B10" s="763" t="s">
        <v>1315</v>
      </c>
      <c r="C10" s="776">
        <v>2.5</v>
      </c>
      <c r="D10" s="777">
        <v>2.5</v>
      </c>
      <c r="E10" s="777">
        <v>2.5</v>
      </c>
      <c r="F10" s="777">
        <v>2.5</v>
      </c>
      <c r="G10" s="777">
        <v>2.5</v>
      </c>
      <c r="H10" s="777">
        <v>2.5</v>
      </c>
      <c r="I10" s="777">
        <v>2.5</v>
      </c>
      <c r="J10" s="777">
        <v>2.5</v>
      </c>
      <c r="K10" s="777">
        <f>J10</f>
        <v>2.5</v>
      </c>
      <c r="L10" s="777">
        <v>2.5</v>
      </c>
      <c r="M10" s="778">
        <v>2.5</v>
      </c>
      <c r="N10" s="778">
        <v>2.5</v>
      </c>
      <c r="O10" s="774" t="s">
        <v>1322</v>
      </c>
    </row>
    <row r="13" spans="1:15" x14ac:dyDescent="0.25">
      <c r="A13" s="761" t="s">
        <v>1265</v>
      </c>
      <c r="L13" s="761" t="s">
        <v>1356</v>
      </c>
    </row>
    <row r="35" spans="8:20" ht="27" x14ac:dyDescent="0.25">
      <c r="H35" s="781" t="s">
        <v>2</v>
      </c>
      <c r="T35" s="781" t="s">
        <v>474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4"/>
  <sheetViews>
    <sheetView showGridLines="0" workbookViewId="0"/>
  </sheetViews>
  <sheetFormatPr defaultRowHeight="15" x14ac:dyDescent="0.25"/>
  <cols>
    <col min="2" max="2" width="23.140625" bestFit="1" customWidth="1"/>
    <col min="8" max="8" width="12.140625" customWidth="1"/>
    <col min="20" max="20" width="12" customWidth="1"/>
  </cols>
  <sheetData>
    <row r="3" spans="1:15" x14ac:dyDescent="0.25">
      <c r="B3" s="763"/>
      <c r="C3" s="764"/>
      <c r="D3" s="765">
        <v>2005</v>
      </c>
      <c r="E3" s="765">
        <v>2009</v>
      </c>
      <c r="F3" s="765">
        <v>2014</v>
      </c>
      <c r="G3" s="765">
        <v>2016</v>
      </c>
      <c r="H3" s="765">
        <v>2017</v>
      </c>
      <c r="I3" s="766">
        <v>2019</v>
      </c>
      <c r="J3" s="765">
        <v>2020</v>
      </c>
      <c r="K3" s="765">
        <v>2021</v>
      </c>
      <c r="L3" s="765">
        <v>2024</v>
      </c>
    </row>
    <row r="4" spans="1:15" x14ac:dyDescent="0.25">
      <c r="B4" s="767" t="s">
        <v>1312</v>
      </c>
      <c r="C4" s="768"/>
      <c r="D4" s="769">
        <v>3</v>
      </c>
      <c r="E4" s="769">
        <v>7.4</v>
      </c>
      <c r="F4" s="769">
        <v>6.9</v>
      </c>
      <c r="G4" s="769">
        <v>3.5</v>
      </c>
      <c r="H4" s="769">
        <v>2.4</v>
      </c>
      <c r="I4" s="769">
        <v>2.4</v>
      </c>
      <c r="J4" s="769">
        <v>2.5</v>
      </c>
      <c r="K4" s="770"/>
      <c r="L4" s="770"/>
      <c r="O4" s="774" t="s">
        <v>1318</v>
      </c>
    </row>
    <row r="5" spans="1:15" x14ac:dyDescent="0.25">
      <c r="B5" s="771" t="s">
        <v>1316</v>
      </c>
      <c r="C5" s="772"/>
      <c r="D5" s="773"/>
      <c r="E5" s="773"/>
      <c r="F5" s="773"/>
      <c r="G5" s="773"/>
      <c r="H5" s="773"/>
      <c r="I5" s="773"/>
      <c r="J5" s="770"/>
      <c r="K5" s="770">
        <v>11.2</v>
      </c>
      <c r="L5" s="770">
        <v>8.6999999999999993</v>
      </c>
      <c r="O5" s="779" t="s">
        <v>1323</v>
      </c>
    </row>
    <row r="6" spans="1:15" x14ac:dyDescent="0.25">
      <c r="B6" s="771"/>
      <c r="C6" s="772"/>
      <c r="D6" s="773"/>
      <c r="E6" s="773"/>
      <c r="F6" s="773"/>
      <c r="G6" s="773"/>
      <c r="H6" s="773"/>
      <c r="I6" s="773"/>
      <c r="J6" s="770"/>
      <c r="K6" s="770">
        <v>12.5</v>
      </c>
      <c r="L6" s="770">
        <v>9.9551049474015336</v>
      </c>
      <c r="O6" s="779"/>
    </row>
    <row r="7" spans="1:15" x14ac:dyDescent="0.25">
      <c r="B7" s="774" t="s">
        <v>1317</v>
      </c>
      <c r="C7" s="775">
        <v>-2</v>
      </c>
      <c r="D7" s="769">
        <v>-2</v>
      </c>
      <c r="E7" s="769">
        <v>-2</v>
      </c>
      <c r="F7" s="769">
        <v>-2</v>
      </c>
      <c r="G7" s="769">
        <v>-2</v>
      </c>
      <c r="H7" s="769">
        <v>-2</v>
      </c>
      <c r="I7" s="769">
        <v>-2</v>
      </c>
      <c r="J7" s="769">
        <v>-2</v>
      </c>
      <c r="K7" s="769">
        <v>-2</v>
      </c>
      <c r="L7" s="769">
        <v>-2</v>
      </c>
      <c r="M7" s="775">
        <v>-2</v>
      </c>
      <c r="N7" s="775">
        <v>-2</v>
      </c>
      <c r="O7" s="774" t="s">
        <v>1319</v>
      </c>
    </row>
    <row r="8" spans="1:15" x14ac:dyDescent="0.25">
      <c r="B8" s="774" t="s">
        <v>1313</v>
      </c>
      <c r="C8" s="775">
        <v>6</v>
      </c>
      <c r="D8" s="769">
        <v>6</v>
      </c>
      <c r="E8" s="769">
        <v>6</v>
      </c>
      <c r="F8" s="769">
        <v>6</v>
      </c>
      <c r="G8" s="769">
        <v>6</v>
      </c>
      <c r="H8" s="769">
        <v>6</v>
      </c>
      <c r="I8" s="769">
        <v>6</v>
      </c>
      <c r="J8" s="769">
        <v>6</v>
      </c>
      <c r="K8" s="769">
        <f t="shared" ref="K8:K10" si="0">J8</f>
        <v>6</v>
      </c>
      <c r="L8" s="769">
        <v>6</v>
      </c>
      <c r="M8" s="775">
        <v>6</v>
      </c>
      <c r="N8" s="775">
        <v>6</v>
      </c>
      <c r="O8" s="774" t="s">
        <v>1320</v>
      </c>
    </row>
    <row r="9" spans="1:15" x14ac:dyDescent="0.25">
      <c r="B9" s="774" t="s">
        <v>1314</v>
      </c>
      <c r="C9" s="775">
        <v>14</v>
      </c>
      <c r="D9" s="769">
        <v>14</v>
      </c>
      <c r="E9" s="769">
        <v>14</v>
      </c>
      <c r="F9" s="769">
        <v>14</v>
      </c>
      <c r="G9" s="769">
        <v>14</v>
      </c>
      <c r="H9" s="769">
        <v>14</v>
      </c>
      <c r="I9" s="769">
        <v>14</v>
      </c>
      <c r="J9" s="769">
        <v>14</v>
      </c>
      <c r="K9" s="769">
        <v>14</v>
      </c>
      <c r="L9" s="769">
        <v>14</v>
      </c>
      <c r="M9" s="775">
        <v>14</v>
      </c>
      <c r="N9" s="775">
        <v>14</v>
      </c>
      <c r="O9" s="774" t="s">
        <v>1321</v>
      </c>
    </row>
    <row r="10" spans="1:15" x14ac:dyDescent="0.25">
      <c r="B10" s="763" t="s">
        <v>1315</v>
      </c>
      <c r="C10" s="776">
        <v>6</v>
      </c>
      <c r="D10" s="777">
        <v>6</v>
      </c>
      <c r="E10" s="777">
        <v>6</v>
      </c>
      <c r="F10" s="777">
        <v>6</v>
      </c>
      <c r="G10" s="777">
        <v>6</v>
      </c>
      <c r="H10" s="777">
        <v>6</v>
      </c>
      <c r="I10" s="777">
        <v>6</v>
      </c>
      <c r="J10" s="777">
        <v>6</v>
      </c>
      <c r="K10" s="777">
        <f t="shared" si="0"/>
        <v>6</v>
      </c>
      <c r="L10" s="777">
        <v>6</v>
      </c>
      <c r="M10" s="776">
        <v>6</v>
      </c>
      <c r="N10" s="776">
        <v>6</v>
      </c>
      <c r="O10" s="774" t="s">
        <v>1322</v>
      </c>
    </row>
    <row r="13" spans="1:15" x14ac:dyDescent="0.25">
      <c r="A13" s="761" t="s">
        <v>1266</v>
      </c>
      <c r="L13" s="761" t="s">
        <v>1357</v>
      </c>
    </row>
    <row r="34" spans="8:20" x14ac:dyDescent="0.25">
      <c r="H34" s="781" t="s">
        <v>2</v>
      </c>
      <c r="T34" s="781" t="s">
        <v>474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3"/>
  <sheetViews>
    <sheetView showGridLines="0" workbookViewId="0">
      <selection activeCell="A21" sqref="A21:A22"/>
    </sheetView>
  </sheetViews>
  <sheetFormatPr defaultRowHeight="15" x14ac:dyDescent="0.25"/>
  <cols>
    <col min="1" max="1" width="53.85546875" customWidth="1"/>
    <col min="2" max="2" width="32" customWidth="1"/>
  </cols>
  <sheetData>
    <row r="3" spans="1:2" x14ac:dyDescent="0.25">
      <c r="A3" s="850" t="s">
        <v>1334</v>
      </c>
      <c r="B3" s="850"/>
    </row>
    <row r="4" spans="1:2" x14ac:dyDescent="0.25">
      <c r="A4" s="855"/>
    </row>
    <row r="5" spans="1:2" ht="15.75" thickBot="1" x14ac:dyDescent="0.3">
      <c r="A5" s="855"/>
      <c r="B5" s="303" t="s">
        <v>1335</v>
      </c>
    </row>
    <row r="6" spans="1:2" ht="15.75" thickBot="1" x14ac:dyDescent="0.3">
      <c r="A6" s="440" t="s">
        <v>1324</v>
      </c>
      <c r="B6" s="780" t="s">
        <v>1325</v>
      </c>
    </row>
    <row r="7" spans="1:2" x14ac:dyDescent="0.25">
      <c r="A7" s="33" t="s">
        <v>1326</v>
      </c>
      <c r="B7" s="673"/>
    </row>
    <row r="8" spans="1:2" x14ac:dyDescent="0.25">
      <c r="A8" s="33" t="s">
        <v>1327</v>
      </c>
      <c r="B8" s="19">
        <v>1.3158986910469626</v>
      </c>
    </row>
    <row r="9" spans="1:2" x14ac:dyDescent="0.25">
      <c r="A9" s="33" t="s">
        <v>1328</v>
      </c>
      <c r="B9" s="19">
        <v>4.1345301038417261</v>
      </c>
    </row>
    <row r="10" spans="1:2" x14ac:dyDescent="0.25">
      <c r="A10" s="33" t="s">
        <v>1329</v>
      </c>
      <c r="B10" s="19">
        <v>1.583913402675309</v>
      </c>
    </row>
    <row r="11" spans="1:2" x14ac:dyDescent="0.25">
      <c r="A11" s="33" t="s">
        <v>1330</v>
      </c>
      <c r="B11" s="19">
        <v>1.648496834945389</v>
      </c>
    </row>
    <row r="12" spans="1:2" x14ac:dyDescent="0.25">
      <c r="A12" s="33" t="s">
        <v>1331</v>
      </c>
      <c r="B12" s="5">
        <v>0.4</v>
      </c>
    </row>
    <row r="13" spans="1:2" x14ac:dyDescent="0.25">
      <c r="A13" s="112" t="s">
        <v>1332</v>
      </c>
      <c r="B13" s="254">
        <v>-0.4</v>
      </c>
    </row>
    <row r="14" spans="1:2" x14ac:dyDescent="0.25">
      <c r="A14" s="783" t="s">
        <v>1336</v>
      </c>
      <c r="B14" s="784">
        <v>-2.6</v>
      </c>
    </row>
    <row r="15" spans="1:2" ht="15.75" thickBot="1" x14ac:dyDescent="0.3">
      <c r="A15" s="782" t="s">
        <v>1337</v>
      </c>
      <c r="B15" s="785" t="s">
        <v>1333</v>
      </c>
    </row>
    <row r="16" spans="1:2" x14ac:dyDescent="0.25">
      <c r="B16" s="781" t="s">
        <v>2</v>
      </c>
    </row>
    <row r="20" spans="1:2" x14ac:dyDescent="0.25">
      <c r="A20" s="850" t="s">
        <v>1358</v>
      </c>
      <c r="B20" s="850"/>
    </row>
    <row r="21" spans="1:2" x14ac:dyDescent="0.25">
      <c r="A21" s="855"/>
    </row>
    <row r="22" spans="1:2" ht="15.75" thickBot="1" x14ac:dyDescent="0.3">
      <c r="A22" s="855"/>
      <c r="B22" s="303" t="s">
        <v>1338</v>
      </c>
    </row>
    <row r="23" spans="1:2" ht="15.75" thickBot="1" x14ac:dyDescent="0.3">
      <c r="A23" s="440" t="s">
        <v>1350</v>
      </c>
      <c r="B23" s="780" t="s">
        <v>1339</v>
      </c>
    </row>
    <row r="24" spans="1:2" x14ac:dyDescent="0.25">
      <c r="A24" s="33" t="s">
        <v>1340</v>
      </c>
      <c r="B24" s="673"/>
    </row>
    <row r="25" spans="1:2" x14ac:dyDescent="0.25">
      <c r="A25" s="452" t="s">
        <v>1346</v>
      </c>
      <c r="B25" s="19">
        <v>1.3158986910469626</v>
      </c>
    </row>
    <row r="26" spans="1:2" x14ac:dyDescent="0.25">
      <c r="A26" s="452" t="s">
        <v>1341</v>
      </c>
      <c r="B26" s="19">
        <v>4.1345301038417261</v>
      </c>
    </row>
    <row r="27" spans="1:2" x14ac:dyDescent="0.25">
      <c r="A27" s="452" t="s">
        <v>1342</v>
      </c>
      <c r="B27" s="19">
        <v>1.583913402675309</v>
      </c>
    </row>
    <row r="28" spans="1:2" x14ac:dyDescent="0.25">
      <c r="A28" s="452" t="s">
        <v>1343</v>
      </c>
      <c r="B28" s="19">
        <v>1.648496834945389</v>
      </c>
    </row>
    <row r="29" spans="1:2" x14ac:dyDescent="0.25">
      <c r="A29" s="452" t="s">
        <v>1344</v>
      </c>
      <c r="B29" s="5">
        <v>0.4</v>
      </c>
    </row>
    <row r="30" spans="1:2" x14ac:dyDescent="0.25">
      <c r="A30" s="786" t="s">
        <v>1345</v>
      </c>
      <c r="B30" s="254">
        <v>-0.4</v>
      </c>
    </row>
    <row r="31" spans="1:2" ht="13.5" customHeight="1" x14ac:dyDescent="0.25">
      <c r="A31" s="783" t="s">
        <v>1347</v>
      </c>
      <c r="B31" s="784">
        <v>-2.6</v>
      </c>
    </row>
    <row r="32" spans="1:2" ht="15.75" thickBot="1" x14ac:dyDescent="0.3">
      <c r="A32" s="782" t="s">
        <v>1349</v>
      </c>
      <c r="B32" s="785" t="s">
        <v>1348</v>
      </c>
    </row>
    <row r="33" spans="2:2" x14ac:dyDescent="0.25">
      <c r="B33" s="781" t="s">
        <v>2</v>
      </c>
    </row>
  </sheetData>
  <mergeCells count="4">
    <mergeCell ref="A3:B3"/>
    <mergeCell ref="A4:A5"/>
    <mergeCell ref="A20:B20"/>
    <mergeCell ref="A21:A2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39"/>
  <sheetViews>
    <sheetView showGridLines="0" workbookViewId="0">
      <selection activeCell="P39" sqref="P39"/>
    </sheetView>
  </sheetViews>
  <sheetFormatPr defaultRowHeight="15" x14ac:dyDescent="0.25"/>
  <cols>
    <col min="1" max="1" width="20.85546875" customWidth="1"/>
    <col min="2" max="2" width="23.85546875" customWidth="1"/>
  </cols>
  <sheetData>
    <row r="4" spans="1:50" s="88" customFormat="1" ht="13.5" x14ac:dyDescent="0.25">
      <c r="A4" s="90"/>
      <c r="B4" s="90"/>
      <c r="C4" s="139">
        <v>2023</v>
      </c>
      <c r="D4" s="139">
        <v>2024</v>
      </c>
      <c r="E4" s="139">
        <v>2025</v>
      </c>
      <c r="F4" s="139">
        <v>2026</v>
      </c>
      <c r="G4" s="139">
        <v>2027</v>
      </c>
      <c r="H4" s="139">
        <v>2028</v>
      </c>
      <c r="I4" s="139">
        <v>2029</v>
      </c>
      <c r="J4" s="139">
        <v>2030</v>
      </c>
      <c r="K4" s="139">
        <v>2031</v>
      </c>
      <c r="L4" s="139">
        <v>2032</v>
      </c>
      <c r="M4" s="139">
        <v>2033</v>
      </c>
      <c r="N4" s="139">
        <v>2034</v>
      </c>
      <c r="O4" s="139">
        <v>2035</v>
      </c>
      <c r="P4" s="139">
        <v>2036</v>
      </c>
      <c r="Q4" s="139">
        <v>2037</v>
      </c>
      <c r="R4" s="139">
        <v>2038</v>
      </c>
      <c r="S4" s="139">
        <v>2039</v>
      </c>
      <c r="T4" s="139">
        <v>2040</v>
      </c>
      <c r="U4" s="139">
        <v>2041</v>
      </c>
      <c r="V4" s="139">
        <v>2042</v>
      </c>
      <c r="W4" s="139">
        <v>2043</v>
      </c>
      <c r="X4" s="139">
        <v>2044</v>
      </c>
      <c r="Y4" s="139">
        <v>2045</v>
      </c>
      <c r="Z4" s="139">
        <v>2046</v>
      </c>
      <c r="AA4" s="139">
        <v>2047</v>
      </c>
      <c r="AB4" s="139">
        <v>2048</v>
      </c>
      <c r="AC4" s="139">
        <v>2049</v>
      </c>
      <c r="AD4" s="139">
        <v>2050</v>
      </c>
      <c r="AE4" s="139">
        <v>2051</v>
      </c>
      <c r="AF4" s="139">
        <v>2052</v>
      </c>
      <c r="AG4" s="139">
        <v>2053</v>
      </c>
      <c r="AH4" s="139">
        <v>2054</v>
      </c>
      <c r="AI4" s="139">
        <v>2055</v>
      </c>
      <c r="AJ4" s="139">
        <v>2056</v>
      </c>
      <c r="AK4" s="139">
        <v>2057</v>
      </c>
      <c r="AL4" s="139">
        <v>2058</v>
      </c>
      <c r="AM4" s="139">
        <v>2059</v>
      </c>
      <c r="AN4" s="139">
        <v>2060</v>
      </c>
      <c r="AO4" s="139">
        <v>2061</v>
      </c>
      <c r="AP4" s="139">
        <v>2062</v>
      </c>
      <c r="AQ4" s="139">
        <v>2063</v>
      </c>
      <c r="AR4" s="139">
        <v>2064</v>
      </c>
      <c r="AS4" s="139">
        <v>2065</v>
      </c>
      <c r="AT4" s="139">
        <v>2066</v>
      </c>
      <c r="AU4" s="139">
        <v>2067</v>
      </c>
      <c r="AV4" s="139">
        <v>2068</v>
      </c>
      <c r="AW4" s="139">
        <v>2069</v>
      </c>
      <c r="AX4" s="139">
        <v>2070</v>
      </c>
    </row>
    <row r="5" spans="1:50" s="88" customFormat="1" ht="13.5" x14ac:dyDescent="0.25">
      <c r="A5" s="227" t="s">
        <v>1436</v>
      </c>
      <c r="B5" s="227" t="s">
        <v>1443</v>
      </c>
      <c r="C5" s="141">
        <v>4.6930050641734056E-2</v>
      </c>
      <c r="D5" s="141">
        <v>3.7686236628054814E-2</v>
      </c>
      <c r="E5" s="141">
        <v>1.5671099147201772E-2</v>
      </c>
      <c r="F5" s="141">
        <v>2.0466884370407001E-3</v>
      </c>
      <c r="G5" s="141">
        <v>-5.8836982467767029E-3</v>
      </c>
      <c r="H5" s="141">
        <v>-2.3026297187033862E-2</v>
      </c>
      <c r="I5" s="141">
        <v>-4.5948557788264566E-2</v>
      </c>
      <c r="J5" s="141">
        <v>-7.9664100489065248E-2</v>
      </c>
      <c r="K5" s="141">
        <v>-0.15420818075634912</v>
      </c>
      <c r="L5" s="141">
        <v>-0.24921385942447216</v>
      </c>
      <c r="M5" s="141">
        <v>-0.33970847909250068</v>
      </c>
      <c r="N5" s="141">
        <v>-0.40971953837171426</v>
      </c>
      <c r="O5" s="141">
        <v>-0.50541998249067177</v>
      </c>
      <c r="P5" s="141">
        <v>-0.59785037272093078</v>
      </c>
      <c r="Q5" s="141">
        <v>-0.71248807316017349</v>
      </c>
      <c r="R5" s="141">
        <v>-0.86251857343298965</v>
      </c>
      <c r="S5" s="141">
        <v>-0.98265143115754583</v>
      </c>
      <c r="T5" s="141">
        <v>-1.0620486978089261</v>
      </c>
      <c r="U5" s="141">
        <v>-1.1825985595097102</v>
      </c>
      <c r="V5" s="141">
        <v>-1.3155782198733128</v>
      </c>
      <c r="W5" s="141">
        <v>-1.4469169926635317</v>
      </c>
      <c r="X5" s="141">
        <v>-1.5408165965709735</v>
      </c>
      <c r="Y5" s="141">
        <v>-1.6223032678463092</v>
      </c>
      <c r="Z5" s="141">
        <v>-1.750585682472412</v>
      </c>
      <c r="AA5" s="141">
        <v>-1.8677535834176986</v>
      </c>
      <c r="AB5" s="141">
        <v>-1.9876199719507426</v>
      </c>
      <c r="AC5" s="141">
        <v>-2.1326189015088879</v>
      </c>
      <c r="AD5" s="141">
        <v>-2.2576615667819837</v>
      </c>
      <c r="AE5" s="141">
        <v>-2.3665247496076276</v>
      </c>
      <c r="AF5" s="141">
        <v>-2.4547625472197865</v>
      </c>
      <c r="AG5" s="141">
        <v>-2.5328943856690671</v>
      </c>
      <c r="AH5" s="141">
        <v>-2.6011696631340442</v>
      </c>
      <c r="AI5" s="141">
        <v>-2.6928807629659417</v>
      </c>
      <c r="AJ5" s="141">
        <v>-2.7972439670852651</v>
      </c>
      <c r="AK5" s="141">
        <v>-2.8521444180320046</v>
      </c>
      <c r="AL5" s="141">
        <v>-2.8433407607159076</v>
      </c>
      <c r="AM5" s="141">
        <v>-2.8329114679719538</v>
      </c>
      <c r="AN5" s="141">
        <v>-2.8137645174396937</v>
      </c>
      <c r="AO5" s="141">
        <v>-2.8073256449818125</v>
      </c>
      <c r="AP5" s="141">
        <v>-2.8095849857162172</v>
      </c>
      <c r="AQ5" s="141">
        <v>-2.8232080221166171</v>
      </c>
      <c r="AR5" s="141">
        <v>-2.8152696297600066</v>
      </c>
      <c r="AS5" s="141">
        <v>-2.8499341214132627</v>
      </c>
      <c r="AT5" s="141">
        <v>-2.8716704988429846</v>
      </c>
      <c r="AU5" s="141">
        <v>-2.8835062215660869</v>
      </c>
      <c r="AV5" s="141">
        <v>-2.9444279538598686</v>
      </c>
      <c r="AW5" s="141">
        <v>-3.0562325007234357</v>
      </c>
      <c r="AX5" s="141">
        <v>-3.1625445773730441</v>
      </c>
    </row>
    <row r="6" spans="1:50" s="88" customFormat="1" ht="13.5" x14ac:dyDescent="0.25">
      <c r="A6" s="227" t="s">
        <v>1437</v>
      </c>
      <c r="B6" s="227" t="s">
        <v>1446</v>
      </c>
      <c r="C6" s="141">
        <v>-8.0570459573436892E-3</v>
      </c>
      <c r="D6" s="141">
        <v>-1.1236221410094061E-2</v>
      </c>
      <c r="E6" s="141">
        <v>-1.4552574712482169E-2</v>
      </c>
      <c r="F6" s="141">
        <v>-1.8365261557960366E-2</v>
      </c>
      <c r="G6" s="141">
        <v>-2.3460909694847487E-2</v>
      </c>
      <c r="H6" s="141">
        <v>-2.9293880106592951E-2</v>
      </c>
      <c r="I6" s="141">
        <v>-3.4971318115701422E-2</v>
      </c>
      <c r="J6" s="141">
        <v>-4.1829320505854639E-2</v>
      </c>
      <c r="K6" s="141">
        <v>-4.8858754408332317E-2</v>
      </c>
      <c r="L6" s="141">
        <v>-5.6279535025545613E-2</v>
      </c>
      <c r="M6" s="141">
        <v>-6.4687193732659409E-2</v>
      </c>
      <c r="N6" s="141">
        <v>-7.332110992177121E-2</v>
      </c>
      <c r="O6" s="141">
        <v>-8.3001801061527658E-2</v>
      </c>
      <c r="P6" s="141">
        <v>-9.3750223927802523E-2</v>
      </c>
      <c r="Q6" s="141">
        <v>-0.104849158767788</v>
      </c>
      <c r="R6" s="141">
        <v>-0.11713985446665021</v>
      </c>
      <c r="S6" s="141">
        <v>-0.1300637765074697</v>
      </c>
      <c r="T6" s="141">
        <v>-0.14270144450090783</v>
      </c>
      <c r="U6" s="141">
        <v>-0.15646721681791576</v>
      </c>
      <c r="V6" s="141">
        <v>-0.170365646120203</v>
      </c>
      <c r="W6" s="141">
        <v>-0.18444590489568569</v>
      </c>
      <c r="X6" s="141">
        <v>-0.19880745829812341</v>
      </c>
      <c r="Y6" s="141">
        <v>-0.21363796144480318</v>
      </c>
      <c r="Z6" s="141">
        <v>-0.22799065975887345</v>
      </c>
      <c r="AA6" s="141">
        <v>-0.24343944755788627</v>
      </c>
      <c r="AB6" s="141">
        <v>-0.259256333517218</v>
      </c>
      <c r="AC6" s="141">
        <v>-0.27577152638812663</v>
      </c>
      <c r="AD6" s="141">
        <v>-0.29208292145765213</v>
      </c>
      <c r="AE6" s="141">
        <v>-0.30887676832234234</v>
      </c>
      <c r="AF6" s="141">
        <v>-0.32628130482484252</v>
      </c>
      <c r="AG6" s="141">
        <v>-0.34265217828312089</v>
      </c>
      <c r="AH6" s="141">
        <v>-0.35995331486897086</v>
      </c>
      <c r="AI6" s="141">
        <v>-0.37675392256737439</v>
      </c>
      <c r="AJ6" s="141">
        <v>-0.39314824159196604</v>
      </c>
      <c r="AK6" s="141">
        <v>-0.40880341957338828</v>
      </c>
      <c r="AL6" s="141">
        <v>-0.42362160557024353</v>
      </c>
      <c r="AM6" s="141">
        <v>-0.43681975565005615</v>
      </c>
      <c r="AN6" s="141">
        <v>-0.45013204324526157</v>
      </c>
      <c r="AO6" s="141">
        <v>-0.46187100870262299</v>
      </c>
      <c r="AP6" s="141">
        <v>-0.47374451012890972</v>
      </c>
      <c r="AQ6" s="141">
        <v>-0.48585215800998327</v>
      </c>
      <c r="AR6" s="141">
        <v>-0.49734804257754206</v>
      </c>
      <c r="AS6" s="141">
        <v>-0.50856420720303319</v>
      </c>
      <c r="AT6" s="141">
        <v>-0.5199544231290929</v>
      </c>
      <c r="AU6" s="141">
        <v>-0.53207916202237016</v>
      </c>
      <c r="AV6" s="141">
        <v>-0.54529424479967048</v>
      </c>
      <c r="AW6" s="141">
        <v>-0.55920997585861798</v>
      </c>
      <c r="AX6" s="141">
        <v>-0.57356697417864666</v>
      </c>
    </row>
    <row r="7" spans="1:50" s="88" customFormat="1" ht="13.5" x14ac:dyDescent="0.25">
      <c r="A7" s="227" t="s">
        <v>1438</v>
      </c>
      <c r="B7" s="227" t="s">
        <v>1445</v>
      </c>
      <c r="C7" s="141">
        <v>0.54408901748944061</v>
      </c>
      <c r="D7" s="141">
        <v>0.54604754196876115</v>
      </c>
      <c r="E7" s="141">
        <v>0.54882310825252745</v>
      </c>
      <c r="F7" s="141">
        <v>0.548421314832229</v>
      </c>
      <c r="G7" s="141">
        <v>0.5505867993466822</v>
      </c>
      <c r="H7" s="141">
        <v>0.55447401176912692</v>
      </c>
      <c r="I7" s="141">
        <v>0.55730634233753307</v>
      </c>
      <c r="J7" s="141">
        <v>0.56231474898541478</v>
      </c>
      <c r="K7" s="141">
        <v>0.56621275014305184</v>
      </c>
      <c r="L7" s="141">
        <v>0.57000916545499436</v>
      </c>
      <c r="M7" s="141">
        <v>0.57353120113292277</v>
      </c>
      <c r="N7" s="141">
        <v>0.57650967291592536</v>
      </c>
      <c r="O7" s="141">
        <v>0.58029170342210534</v>
      </c>
      <c r="P7" s="141">
        <v>0.58472878692205299</v>
      </c>
      <c r="Q7" s="141">
        <v>0.58978823326248531</v>
      </c>
      <c r="R7" s="141">
        <v>0.59521524748851107</v>
      </c>
      <c r="S7" s="141">
        <v>0.60070651361158056</v>
      </c>
      <c r="T7" s="141">
        <v>0.60532170015742537</v>
      </c>
      <c r="U7" s="141">
        <v>0.61069102910346373</v>
      </c>
      <c r="V7" s="141">
        <v>0.61599396323440914</v>
      </c>
      <c r="W7" s="141">
        <v>0.62093944968968984</v>
      </c>
      <c r="X7" s="141">
        <v>0.62539348767863601</v>
      </c>
      <c r="Y7" s="141">
        <v>0.62950000052687827</v>
      </c>
      <c r="Z7" s="141">
        <v>0.63346142496089897</v>
      </c>
      <c r="AA7" s="141">
        <v>0.63732702442568723</v>
      </c>
      <c r="AB7" s="141">
        <v>0.64101635315619632</v>
      </c>
      <c r="AC7" s="141">
        <v>0.64448137247606496</v>
      </c>
      <c r="AD7" s="141">
        <v>0.64756810692722055</v>
      </c>
      <c r="AE7" s="141">
        <v>0.65027621189688389</v>
      </c>
      <c r="AF7" s="141">
        <v>0.65268762907236422</v>
      </c>
      <c r="AG7" s="141">
        <v>0.65485058753323955</v>
      </c>
      <c r="AH7" s="141">
        <v>0.65682470339861965</v>
      </c>
      <c r="AI7" s="141">
        <v>0.65849469679802297</v>
      </c>
      <c r="AJ7" s="141">
        <v>0.65968338665949133</v>
      </c>
      <c r="AK7" s="141">
        <v>0.66027120308296361</v>
      </c>
      <c r="AL7" s="141">
        <v>0.66003986962167005</v>
      </c>
      <c r="AM7" s="141">
        <v>0.65909795742637911</v>
      </c>
      <c r="AN7" s="141">
        <v>0.65779699253793211</v>
      </c>
      <c r="AO7" s="141">
        <v>0.65624175089224934</v>
      </c>
      <c r="AP7" s="141">
        <v>0.6543924189380661</v>
      </c>
      <c r="AQ7" s="141">
        <v>0.65225920780392954</v>
      </c>
      <c r="AR7" s="141">
        <v>0.64976901618529581</v>
      </c>
      <c r="AS7" s="141">
        <v>0.64690792622666748</v>
      </c>
      <c r="AT7" s="141">
        <v>0.64389868956943275</v>
      </c>
      <c r="AU7" s="141">
        <v>0.64100502850905627</v>
      </c>
      <c r="AV7" s="141">
        <v>0.63832230985566696</v>
      </c>
      <c r="AW7" s="141">
        <v>0.63573839838080914</v>
      </c>
      <c r="AX7" s="141">
        <v>0.63318790180440487</v>
      </c>
    </row>
    <row r="8" spans="1:50" s="88" customFormat="1" ht="13.5" x14ac:dyDescent="0.25">
      <c r="A8" s="227" t="s">
        <v>1439</v>
      </c>
      <c r="B8" s="227" t="s">
        <v>1444</v>
      </c>
      <c r="C8" s="141">
        <v>3.7691361051400918E-2</v>
      </c>
      <c r="D8" s="141">
        <v>3.6741381884354496E-2</v>
      </c>
      <c r="E8" s="141">
        <v>3.3721669440673452E-2</v>
      </c>
      <c r="F8" s="141">
        <v>3.1696009772108624E-2</v>
      </c>
      <c r="G8" s="141">
        <v>4.2379130858819281E-2</v>
      </c>
      <c r="H8" s="141">
        <v>4.4589313868549141E-2</v>
      </c>
      <c r="I8" s="141">
        <v>4.3218620883987313E-2</v>
      </c>
      <c r="J8" s="141">
        <v>4.6402904876238438E-2</v>
      </c>
      <c r="K8" s="141">
        <v>4.8912776167792771E-2</v>
      </c>
      <c r="L8" s="141">
        <v>5.1537862867370166E-2</v>
      </c>
      <c r="M8" s="141">
        <v>5.4649660112048082E-2</v>
      </c>
      <c r="N8" s="141">
        <v>5.5957314307867989E-2</v>
      </c>
      <c r="O8" s="141">
        <v>6.289761775319036E-2</v>
      </c>
      <c r="P8" s="141">
        <v>6.876710129455077E-2</v>
      </c>
      <c r="Q8" s="141">
        <v>7.5827195500725253E-2</v>
      </c>
      <c r="R8" s="141">
        <v>8.1090962550877776E-2</v>
      </c>
      <c r="S8" s="141">
        <v>8.5284618587667893E-2</v>
      </c>
      <c r="T8" s="141">
        <v>8.380847920986767E-2</v>
      </c>
      <c r="U8" s="141">
        <v>9.3775459657184257E-2</v>
      </c>
      <c r="V8" s="141">
        <v>9.7676286799799783E-2</v>
      </c>
      <c r="W8" s="141">
        <v>0.10048048709533575</v>
      </c>
      <c r="X8" s="141">
        <v>0.102591780458134</v>
      </c>
      <c r="Y8" s="141">
        <v>0.10523370971948154</v>
      </c>
      <c r="Z8" s="141">
        <v>0.10839945235471049</v>
      </c>
      <c r="AA8" s="141">
        <v>0.11201022826056217</v>
      </c>
      <c r="AB8" s="141">
        <v>0.11537681005943767</v>
      </c>
      <c r="AC8" s="141">
        <v>0.11896776051953495</v>
      </c>
      <c r="AD8" s="141">
        <v>0.12052305445669731</v>
      </c>
      <c r="AE8" s="141">
        <v>0.12197487376500149</v>
      </c>
      <c r="AF8" s="141">
        <v>0.12453144538677208</v>
      </c>
      <c r="AG8" s="141">
        <v>0.12676153705733384</v>
      </c>
      <c r="AH8" s="141">
        <v>0.12984255990094695</v>
      </c>
      <c r="AI8" s="141">
        <v>0.1311546937201058</v>
      </c>
      <c r="AJ8" s="141">
        <v>0.13109986430930576</v>
      </c>
      <c r="AK8" s="141">
        <v>0.12904444345355515</v>
      </c>
      <c r="AL8" s="141">
        <v>0.12466890266203023</v>
      </c>
      <c r="AM8" s="141">
        <v>0.12102695206419156</v>
      </c>
      <c r="AN8" s="141">
        <v>0.12148386009396717</v>
      </c>
      <c r="AO8" s="141">
        <v>0.12169435278665475</v>
      </c>
      <c r="AP8" s="141">
        <v>0.1217792307631953</v>
      </c>
      <c r="AQ8" s="141">
        <v>0.12154287857347867</v>
      </c>
      <c r="AR8" s="141">
        <v>0.12025031681605469</v>
      </c>
      <c r="AS8" s="141">
        <v>0.11918068407202753</v>
      </c>
      <c r="AT8" s="141">
        <v>0.12001656778651082</v>
      </c>
      <c r="AU8" s="141">
        <v>0.12383679669954972</v>
      </c>
      <c r="AV8" s="141">
        <v>0.12825239615262873</v>
      </c>
      <c r="AW8" s="141">
        <v>0.13106582995436966</v>
      </c>
      <c r="AX8" s="141">
        <v>0.1337721627116828</v>
      </c>
    </row>
    <row r="9" spans="1:50" s="88" customFormat="1" ht="13.5" x14ac:dyDescent="0.25">
      <c r="A9" s="227" t="s">
        <v>1440</v>
      </c>
      <c r="B9" s="227" t="s">
        <v>1447</v>
      </c>
      <c r="C9" s="141">
        <v>-0.1030348914756587</v>
      </c>
      <c r="D9" s="141">
        <v>-0.13246953181208099</v>
      </c>
      <c r="E9" s="141">
        <v>-0.13143440489217184</v>
      </c>
      <c r="F9" s="141">
        <v>-0.13050796649492113</v>
      </c>
      <c r="G9" s="141">
        <v>-0.12904040795501004</v>
      </c>
      <c r="H9" s="141">
        <v>-0.12906941929314897</v>
      </c>
      <c r="I9" s="141">
        <v>-0.12910293875582823</v>
      </c>
      <c r="J9" s="141">
        <v>-0.12913825369237486</v>
      </c>
      <c r="K9" s="141">
        <v>-0.12917332697143991</v>
      </c>
      <c r="L9" s="141">
        <v>-0.12920828486249647</v>
      </c>
      <c r="M9" s="141">
        <v>-0.12924329190526862</v>
      </c>
      <c r="N9" s="141">
        <v>-0.12927900484525878</v>
      </c>
      <c r="O9" s="141">
        <v>-0.1293199725148213</v>
      </c>
      <c r="P9" s="141">
        <v>-0.12936563465896711</v>
      </c>
      <c r="Q9" s="141">
        <v>-0.12941598356612971</v>
      </c>
      <c r="R9" s="141">
        <v>-0.12946895643010237</v>
      </c>
      <c r="S9" s="141">
        <v>-0.12952276942252894</v>
      </c>
      <c r="T9" s="141">
        <v>-0.12956920810670525</v>
      </c>
      <c r="U9" s="141">
        <v>-0.12961958136919094</v>
      </c>
      <c r="V9" s="141">
        <v>-0.12967002858028565</v>
      </c>
      <c r="W9" s="141">
        <v>-0.1297180516437777</v>
      </c>
      <c r="X9" s="141">
        <v>-0.12976336262124732</v>
      </c>
      <c r="Y9" s="141">
        <v>-0.12980679145230312</v>
      </c>
      <c r="Z9" s="141">
        <v>-0.12985084799502999</v>
      </c>
      <c r="AA9" s="141">
        <v>-0.12989495608945134</v>
      </c>
      <c r="AB9" s="141">
        <v>-0.12993836032111261</v>
      </c>
      <c r="AC9" s="141">
        <v>-0.12997906313995244</v>
      </c>
      <c r="AD9" s="141">
        <v>-0.13001593237629194</v>
      </c>
      <c r="AE9" s="141">
        <v>-0.1300495894855338</v>
      </c>
      <c r="AF9" s="141">
        <v>-0.13008010026971562</v>
      </c>
      <c r="AG9" s="141">
        <v>-0.13010649895161208</v>
      </c>
      <c r="AH9" s="141">
        <v>-0.13013153878551975</v>
      </c>
      <c r="AI9" s="141">
        <v>-0.13015424558167865</v>
      </c>
      <c r="AJ9" s="141">
        <v>-0.13017297282009821</v>
      </c>
      <c r="AK9" s="141">
        <v>-0.13018554432265006</v>
      </c>
      <c r="AL9" s="141">
        <v>-0.13019296156672766</v>
      </c>
      <c r="AM9" s="141">
        <v>-0.13020012508315659</v>
      </c>
      <c r="AN9" s="141">
        <v>-0.13020821578610509</v>
      </c>
      <c r="AO9" s="141">
        <v>-0.13021477484135602</v>
      </c>
      <c r="AP9" s="141">
        <v>-0.13021896782571218</v>
      </c>
      <c r="AQ9" s="141">
        <v>-0.13022259321641627</v>
      </c>
      <c r="AR9" s="141">
        <v>-0.13022558507545767</v>
      </c>
      <c r="AS9" s="141">
        <v>-0.130227170381783</v>
      </c>
      <c r="AT9" s="141">
        <v>-0.13022912165671485</v>
      </c>
      <c r="AU9" s="141">
        <v>-0.13023215646155961</v>
      </c>
      <c r="AV9" s="141">
        <v>-0.13023601054026557</v>
      </c>
      <c r="AW9" s="141">
        <v>-0.13024028271775023</v>
      </c>
      <c r="AX9" s="141">
        <v>-0.13024486002466773</v>
      </c>
    </row>
    <row r="10" spans="1:50" s="88" customFormat="1" ht="13.5" x14ac:dyDescent="0.25">
      <c r="A10" s="227" t="s">
        <v>1441</v>
      </c>
      <c r="B10" s="227" t="s">
        <v>1449</v>
      </c>
      <c r="C10" s="141">
        <v>0.51682578424201253</v>
      </c>
      <c r="D10" s="141">
        <v>0.46823756308720021</v>
      </c>
      <c r="E10" s="141">
        <v>0.43822868755953337</v>
      </c>
      <c r="F10" s="141">
        <v>0.41359973573882058</v>
      </c>
      <c r="G10" s="141">
        <v>0.4115684548326719</v>
      </c>
      <c r="H10" s="141">
        <v>0.39419617481393132</v>
      </c>
      <c r="I10" s="141">
        <v>0.36602823594871126</v>
      </c>
      <c r="J10" s="141">
        <v>0.33030157661250925</v>
      </c>
      <c r="K10" s="141">
        <v>0.25296386893459299</v>
      </c>
      <c r="L10" s="141">
        <v>0.15422722134927014</v>
      </c>
      <c r="M10" s="141">
        <v>5.7436147618819433E-2</v>
      </c>
      <c r="N10" s="141">
        <v>-1.7931198358599687E-2</v>
      </c>
      <c r="O10" s="141">
        <v>-0.11481609095138268</v>
      </c>
      <c r="P10" s="141">
        <v>-0.20749688636810504</v>
      </c>
      <c r="Q10" s="141">
        <v>-0.32195870712942565</v>
      </c>
      <c r="R10" s="141">
        <v>-0.47354068462697541</v>
      </c>
      <c r="S10" s="141">
        <v>-0.59735097397314973</v>
      </c>
      <c r="T10" s="141">
        <v>-0.68691870113614684</v>
      </c>
      <c r="U10" s="141">
        <v>-0.80952845796063144</v>
      </c>
      <c r="V10" s="141">
        <v>-0.94700033551345086</v>
      </c>
      <c r="W10" s="141">
        <v>-1.0878308132851693</v>
      </c>
      <c r="X10" s="141">
        <v>-1.1891586062761306</v>
      </c>
      <c r="Y10" s="141">
        <v>-1.2789220476368115</v>
      </c>
      <c r="Z10" s="141">
        <v>-1.4143801014049373</v>
      </c>
      <c r="AA10" s="141">
        <v>-1.5392223722704514</v>
      </c>
      <c r="AB10" s="141">
        <v>-1.6678176515968133</v>
      </c>
      <c r="AC10" s="141">
        <v>-1.8240064670040468</v>
      </c>
      <c r="AD10" s="141">
        <v>-1.9591345966355433</v>
      </c>
      <c r="AE10" s="141">
        <v>-2.0797363704431824</v>
      </c>
      <c r="AF10" s="141">
        <v>-2.183410521848959</v>
      </c>
      <c r="AG10" s="141">
        <v>-2.273655690975982</v>
      </c>
      <c r="AH10" s="141">
        <v>-2.353594850111822</v>
      </c>
      <c r="AI10" s="141">
        <v>-2.4587447256840598</v>
      </c>
      <c r="AJ10" s="141">
        <v>-2.577414498029146</v>
      </c>
      <c r="AK10" s="141">
        <v>-2.6500779818599334</v>
      </c>
      <c r="AL10" s="141">
        <v>-2.6628274185522365</v>
      </c>
      <c r="AM10" s="141">
        <v>-2.6754459527002297</v>
      </c>
      <c r="AN10" s="141">
        <v>-2.6719242967036827</v>
      </c>
      <c r="AO10" s="141">
        <v>-2.6807244138239525</v>
      </c>
      <c r="AP10" s="141">
        <v>-2.7010939250335326</v>
      </c>
      <c r="AQ10" s="141">
        <v>-2.7286298479883619</v>
      </c>
      <c r="AR10" s="141">
        <v>-2.7371293660243374</v>
      </c>
      <c r="AS10" s="141">
        <v>-2.7853049481566501</v>
      </c>
      <c r="AT10" s="141">
        <v>-2.8197076706335338</v>
      </c>
      <c r="AU10" s="141">
        <v>-2.8425198721236242</v>
      </c>
      <c r="AV10" s="141">
        <v>-2.9126623927356903</v>
      </c>
      <c r="AW10" s="141">
        <v>-3.0357884098216701</v>
      </c>
      <c r="AX10" s="141">
        <v>-3.1515314122237434</v>
      </c>
    </row>
    <row r="11" spans="1:50" s="88" customFormat="1" ht="13.5" x14ac:dyDescent="0.25"/>
    <row r="12" spans="1:50" s="88" customFormat="1" ht="13.5" x14ac:dyDescent="0.25">
      <c r="A12" s="90"/>
      <c r="B12" s="90"/>
      <c r="C12" s="139" t="s">
        <v>1452</v>
      </c>
    </row>
    <row r="13" spans="1:50" s="88" customFormat="1" ht="13.5" x14ac:dyDescent="0.25">
      <c r="A13" s="227" t="s">
        <v>1436</v>
      </c>
      <c r="B13" s="227" t="s">
        <v>1443</v>
      </c>
      <c r="C13" s="141">
        <v>-2.6497789068267465</v>
      </c>
    </row>
    <row r="14" spans="1:50" s="88" customFormat="1" ht="13.5" x14ac:dyDescent="0.25">
      <c r="A14" s="227" t="s">
        <v>1439</v>
      </c>
      <c r="B14" s="227" t="s">
        <v>1444</v>
      </c>
      <c r="C14" s="141">
        <v>0.1274449379640874</v>
      </c>
    </row>
    <row r="15" spans="1:50" s="88" customFormat="1" ht="13.5" x14ac:dyDescent="0.25">
      <c r="A15" s="227" t="s">
        <v>1438</v>
      </c>
      <c r="B15" s="227" t="s">
        <v>1445</v>
      </c>
      <c r="C15" s="141">
        <v>0.63791110800300643</v>
      </c>
    </row>
    <row r="16" spans="1:50" s="88" customFormat="1" ht="13.5" x14ac:dyDescent="0.25">
      <c r="A16" s="227" t="s">
        <v>1437</v>
      </c>
      <c r="B16" s="227" t="s">
        <v>1446</v>
      </c>
      <c r="C16" s="141">
        <v>-0.47477543694295576</v>
      </c>
    </row>
    <row r="17" spans="1:7" s="88" customFormat="1" ht="13.5" x14ac:dyDescent="0.25">
      <c r="A17" s="227" t="s">
        <v>1440</v>
      </c>
      <c r="B17" s="227" t="s">
        <v>1447</v>
      </c>
      <c r="C17" s="141">
        <v>-0.12952706611562803</v>
      </c>
    </row>
    <row r="18" spans="1:7" s="88" customFormat="1" ht="13.5" x14ac:dyDescent="0.25">
      <c r="A18" s="227" t="s">
        <v>1442</v>
      </c>
      <c r="B18" s="227" t="s">
        <v>1448</v>
      </c>
      <c r="C18" s="141">
        <v>-9.7251818671603374E-2</v>
      </c>
    </row>
    <row r="19" spans="1:7" s="88" customFormat="1" ht="13.5" x14ac:dyDescent="0.25">
      <c r="A19" s="227" t="s">
        <v>1441</v>
      </c>
      <c r="B19" s="227" t="s">
        <v>1449</v>
      </c>
      <c r="C19" s="141">
        <v>-2.5859771825898399</v>
      </c>
    </row>
    <row r="22" spans="1:7" x14ac:dyDescent="0.25">
      <c r="A22" s="761" t="s">
        <v>1267</v>
      </c>
      <c r="G22" s="761" t="s">
        <v>1454</v>
      </c>
    </row>
    <row r="39" spans="1:7" x14ac:dyDescent="0.25">
      <c r="A39" s="761" t="s">
        <v>1268</v>
      </c>
      <c r="G39" s="761" t="s">
        <v>1453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Y53"/>
  <sheetViews>
    <sheetView showGridLines="0" zoomScaleNormal="100" workbookViewId="0"/>
  </sheetViews>
  <sheetFormatPr defaultColWidth="9.140625" defaultRowHeight="13.5" x14ac:dyDescent="0.25"/>
  <cols>
    <col min="1" max="1" width="14.140625" style="358" bestFit="1" customWidth="1"/>
    <col min="2" max="8" width="9.140625" style="358"/>
    <col min="9" max="10" width="24.42578125" style="358" customWidth="1"/>
    <col min="11" max="26" width="7" style="358" customWidth="1"/>
    <col min="27" max="27" width="6.5703125" style="358" bestFit="1" customWidth="1"/>
    <col min="28" max="16384" width="9.140625" style="358"/>
  </cols>
  <sheetData>
    <row r="1" spans="1:25" ht="15" x14ac:dyDescent="0.25">
      <c r="A1" s="480"/>
    </row>
    <row r="2" spans="1:25" x14ac:dyDescent="0.25">
      <c r="B2" s="88"/>
      <c r="I2" s="359" t="s">
        <v>127</v>
      </c>
      <c r="J2" s="359" t="s">
        <v>370</v>
      </c>
    </row>
    <row r="3" spans="1:25" x14ac:dyDescent="0.25">
      <c r="B3" s="88"/>
      <c r="C3" s="360"/>
    </row>
    <row r="4" spans="1:25" ht="14.25" thickBot="1" x14ac:dyDescent="0.3">
      <c r="B4" s="361" t="s">
        <v>1083</v>
      </c>
      <c r="I4" s="362" t="s">
        <v>810</v>
      </c>
      <c r="J4" s="362" t="s">
        <v>444</v>
      </c>
    </row>
    <row r="5" spans="1:25" x14ac:dyDescent="0.25">
      <c r="I5" s="363"/>
      <c r="J5" s="363"/>
      <c r="K5" s="363"/>
      <c r="L5" s="363"/>
      <c r="M5" s="363"/>
      <c r="N5" s="363"/>
      <c r="O5" s="363"/>
    </row>
    <row r="6" spans="1:25" x14ac:dyDescent="0.25">
      <c r="I6" s="364"/>
      <c r="J6" s="364"/>
      <c r="K6" s="540">
        <v>2018</v>
      </c>
      <c r="L6" s="541">
        <v>2019</v>
      </c>
      <c r="M6" s="541">
        <v>2020</v>
      </c>
      <c r="N6" s="541">
        <v>2021</v>
      </c>
      <c r="O6" s="541">
        <v>2022</v>
      </c>
      <c r="P6" s="541">
        <v>2023</v>
      </c>
      <c r="Q6" s="541">
        <v>2024</v>
      </c>
    </row>
    <row r="7" spans="1:25" x14ac:dyDescent="0.25">
      <c r="I7" s="365" t="s">
        <v>802</v>
      </c>
      <c r="J7" s="365" t="s">
        <v>803</v>
      </c>
      <c r="K7" s="532">
        <v>27511.748258790023</v>
      </c>
      <c r="L7" s="532">
        <v>29120.16038851998</v>
      </c>
      <c r="M7" s="532">
        <v>29078.210068891625</v>
      </c>
      <c r="N7" s="532">
        <v>30605.039000000001</v>
      </c>
      <c r="O7" s="532">
        <v>32831.135000000002</v>
      </c>
      <c r="P7" s="532">
        <v>35129.997000000003</v>
      </c>
      <c r="Q7" s="532">
        <v>36275.675999999999</v>
      </c>
    </row>
    <row r="8" spans="1:25" x14ac:dyDescent="0.25">
      <c r="I8" s="365" t="s">
        <v>804</v>
      </c>
      <c r="J8" s="365" t="s">
        <v>805</v>
      </c>
      <c r="K8" s="366">
        <v>89430</v>
      </c>
      <c r="L8" s="366">
        <v>94048</v>
      </c>
      <c r="M8" s="366">
        <v>92079</v>
      </c>
      <c r="N8" s="366">
        <v>97440</v>
      </c>
      <c r="O8" s="366">
        <v>105535</v>
      </c>
      <c r="P8" s="366">
        <v>113889</v>
      </c>
      <c r="Q8" s="366">
        <v>117191</v>
      </c>
    </row>
    <row r="9" spans="1:25" x14ac:dyDescent="0.25">
      <c r="I9" s="365" t="s">
        <v>806</v>
      </c>
      <c r="J9" s="365" t="s">
        <v>807</v>
      </c>
      <c r="K9" s="368"/>
      <c r="L9" s="533">
        <f>L7/K7-1</f>
        <v>5.846273797653212E-2</v>
      </c>
      <c r="M9" s="533">
        <f t="shared" ref="M9:Q9" si="0">M7/L7-1</f>
        <v>-1.4405937010186776E-3</v>
      </c>
      <c r="N9" s="533">
        <f t="shared" si="0"/>
        <v>5.2507665619411892E-2</v>
      </c>
      <c r="O9" s="533">
        <f t="shared" si="0"/>
        <v>7.2736257581635488E-2</v>
      </c>
      <c r="P9" s="533">
        <f t="shared" si="0"/>
        <v>7.0020789716834342E-2</v>
      </c>
      <c r="Q9" s="533">
        <f t="shared" si="0"/>
        <v>3.261255615820291E-2</v>
      </c>
    </row>
    <row r="10" spans="1:25" x14ac:dyDescent="0.25">
      <c r="I10" s="364" t="s">
        <v>809</v>
      </c>
      <c r="J10" s="364" t="s">
        <v>808</v>
      </c>
      <c r="K10" s="369"/>
      <c r="L10" s="537">
        <f>L8/K8-1</f>
        <v>5.1638152745163923E-2</v>
      </c>
      <c r="M10" s="537">
        <f t="shared" ref="M10:Q10" si="1">M8/L8-1</f>
        <v>-2.093611772711812E-2</v>
      </c>
      <c r="N10" s="561">
        <f t="shared" si="1"/>
        <v>5.8221744371680817E-2</v>
      </c>
      <c r="O10" s="561">
        <f t="shared" si="1"/>
        <v>8.3076765188834223E-2</v>
      </c>
      <c r="P10" s="561">
        <f t="shared" si="1"/>
        <v>7.9158572985265518E-2</v>
      </c>
      <c r="Q10" s="561">
        <f t="shared" si="1"/>
        <v>2.8993142445714604E-2</v>
      </c>
      <c r="R10" s="562"/>
    </row>
    <row r="11" spans="1:25" x14ac:dyDescent="0.25">
      <c r="I11" s="534"/>
      <c r="J11" s="534"/>
      <c r="K11" s="534"/>
      <c r="L11" s="367"/>
      <c r="M11" s="367"/>
      <c r="N11" s="367"/>
      <c r="O11" s="367"/>
      <c r="P11" s="367"/>
      <c r="Q11" s="535"/>
    </row>
    <row r="12" spans="1:25" x14ac:dyDescent="0.25">
      <c r="I12" s="535"/>
      <c r="J12" s="535"/>
      <c r="K12" s="536"/>
      <c r="L12" s="536"/>
      <c r="M12" s="536"/>
      <c r="N12" s="535"/>
      <c r="O12" s="535"/>
      <c r="P12" s="535"/>
      <c r="Q12" s="535"/>
    </row>
    <row r="14" spans="1:25" ht="14.25" thickBot="1" x14ac:dyDescent="0.3">
      <c r="I14" s="362" t="s">
        <v>811</v>
      </c>
      <c r="J14" s="362" t="s">
        <v>444</v>
      </c>
    </row>
    <row r="15" spans="1:25" x14ac:dyDescent="0.25">
      <c r="I15" s="363"/>
      <c r="J15" s="363"/>
      <c r="K15" s="363"/>
      <c r="L15" s="363"/>
      <c r="M15" s="363"/>
      <c r="N15" s="363"/>
      <c r="O15" s="363"/>
    </row>
    <row r="16" spans="1:25" x14ac:dyDescent="0.25">
      <c r="I16" s="364"/>
      <c r="J16" s="364"/>
      <c r="K16" s="364"/>
      <c r="L16" s="541">
        <v>2007</v>
      </c>
      <c r="M16" s="541">
        <v>2008</v>
      </c>
      <c r="N16" s="541">
        <v>2009</v>
      </c>
      <c r="O16" s="541">
        <v>2010</v>
      </c>
      <c r="P16" s="541">
        <v>2011</v>
      </c>
      <c r="Q16" s="541">
        <v>2012</v>
      </c>
      <c r="R16" s="541">
        <v>2013</v>
      </c>
      <c r="S16" s="541">
        <v>2014</v>
      </c>
      <c r="T16" s="541">
        <v>2015</v>
      </c>
      <c r="U16" s="541">
        <v>2016</v>
      </c>
      <c r="V16" s="541">
        <v>2017</v>
      </c>
      <c r="W16" s="541">
        <v>2018</v>
      </c>
      <c r="X16" s="541">
        <v>2019</v>
      </c>
      <c r="Y16" s="541">
        <v>2020</v>
      </c>
    </row>
    <row r="17" spans="2:25" x14ac:dyDescent="0.25">
      <c r="I17" s="365" t="s">
        <v>812</v>
      </c>
      <c r="J17" s="365" t="s">
        <v>814</v>
      </c>
      <c r="K17" s="365"/>
      <c r="L17" s="365">
        <v>1987.63701575</v>
      </c>
      <c r="M17" s="365">
        <v>1986.6044159327664</v>
      </c>
      <c r="N17" s="365">
        <v>1489.1659942740209</v>
      </c>
      <c r="O17" s="365">
        <v>1751.1419700262879</v>
      </c>
      <c r="P17" s="365">
        <v>1723.224944592489</v>
      </c>
      <c r="Q17" s="365">
        <v>1733.9663885031428</v>
      </c>
      <c r="R17" s="365">
        <v>1820.2839041554648</v>
      </c>
      <c r="S17" s="365">
        <v>2020.6723448633527</v>
      </c>
      <c r="T17" s="365">
        <v>2130.2804138706024</v>
      </c>
      <c r="U17" s="365">
        <v>2091.7099890933328</v>
      </c>
      <c r="V17" s="365">
        <v>2308.7442670668229</v>
      </c>
      <c r="W17" s="532">
        <v>2435.2094963548134</v>
      </c>
      <c r="X17" s="532">
        <v>2431.2265378558732</v>
      </c>
      <c r="Y17" s="532">
        <v>2455.5388032344317</v>
      </c>
    </row>
    <row r="18" spans="2:25" x14ac:dyDescent="0.25">
      <c r="I18" s="365" t="s">
        <v>804</v>
      </c>
      <c r="J18" s="365" t="s">
        <v>805</v>
      </c>
      <c r="K18" s="365"/>
      <c r="L18" s="366">
        <v>63163.351999999999</v>
      </c>
      <c r="M18" s="366">
        <f>'[70]Hrubý domáci produkt'!C28*1000</f>
        <v>68590.534</v>
      </c>
      <c r="N18" s="366">
        <f>'[70]Hrubý domáci produkt'!D28*1000</f>
        <v>64095.518999999993</v>
      </c>
      <c r="O18" s="366">
        <f>'[70]Hrubý domáci produkt'!E28*1000</f>
        <v>68188.652000000002</v>
      </c>
      <c r="P18" s="366">
        <f>'[70]Hrubý domáci produkt'!F28*1000</f>
        <v>71304.509000000005</v>
      </c>
      <c r="Q18" s="366">
        <f>'[70]Hrubý domáci produkt'!G28*1000</f>
        <v>73575.775999999998</v>
      </c>
      <c r="R18" s="366">
        <f>'[70]Hrubý domáci produkt'!H28*1000</f>
        <v>74448.761999999988</v>
      </c>
      <c r="S18" s="366">
        <f>'[70]Hrubý domáci produkt'!I28*1000</f>
        <v>76269.798999999999</v>
      </c>
      <c r="T18" s="366">
        <f>'[70]Hrubý domáci produkt'!J28*1000</f>
        <v>79767.564000000013</v>
      </c>
      <c r="U18" s="366">
        <f>'[70]Hrubý domáci produkt'!K28*1000</f>
        <v>81051.498999999996</v>
      </c>
      <c r="V18" s="366">
        <v>84443</v>
      </c>
      <c r="W18" s="366">
        <v>89430</v>
      </c>
      <c r="X18" s="366">
        <v>94048</v>
      </c>
      <c r="Y18" s="366">
        <v>92079</v>
      </c>
    </row>
    <row r="19" spans="2:25" x14ac:dyDescent="0.25">
      <c r="I19" s="365" t="s">
        <v>813</v>
      </c>
      <c r="J19" s="365" t="s">
        <v>815</v>
      </c>
      <c r="K19" s="365"/>
      <c r="L19" s="365"/>
      <c r="M19" s="533">
        <f t="shared" ref="M19:W19" si="2">M17/L17-1</f>
        <v>-5.195112634003296E-4</v>
      </c>
      <c r="N19" s="533">
        <f t="shared" si="2"/>
        <v>-0.25039631326158318</v>
      </c>
      <c r="O19" s="533">
        <f t="shared" si="2"/>
        <v>0.17592127187942008</v>
      </c>
      <c r="P19" s="533">
        <f t="shared" si="2"/>
        <v>-1.5942182822207052E-2</v>
      </c>
      <c r="Q19" s="533">
        <f t="shared" si="2"/>
        <v>6.2333382210839616E-3</v>
      </c>
      <c r="R19" s="533">
        <f t="shared" si="2"/>
        <v>4.9780385724106369E-2</v>
      </c>
      <c r="S19" s="533">
        <f t="shared" si="2"/>
        <v>0.1100863663357281</v>
      </c>
      <c r="T19" s="533">
        <f t="shared" si="2"/>
        <v>5.4243365722245196E-2</v>
      </c>
      <c r="U19" s="533">
        <f>U17/T17-1</f>
        <v>-1.8105797023777348E-2</v>
      </c>
      <c r="V19" s="533">
        <f t="shared" si="2"/>
        <v>0.10375925874292213</v>
      </c>
      <c r="W19" s="533">
        <f t="shared" si="2"/>
        <v>5.4776629482943928E-2</v>
      </c>
      <c r="X19" s="533">
        <f>X17/W17-1</f>
        <v>-1.6355711920893468E-3</v>
      </c>
      <c r="Y19" s="533">
        <f t="shared" ref="Y19" si="3">Y17/X17-1</f>
        <v>1.0000000000000009E-2</v>
      </c>
    </row>
    <row r="20" spans="2:25" x14ac:dyDescent="0.25">
      <c r="B20" s="361" t="s">
        <v>1084</v>
      </c>
      <c r="I20" s="364" t="s">
        <v>809</v>
      </c>
      <c r="J20" s="364" t="s">
        <v>808</v>
      </c>
      <c r="K20" s="364"/>
      <c r="L20" s="364"/>
      <c r="M20" s="537">
        <f t="shared" ref="M20:V20" si="4">M18/L18-1</f>
        <v>8.5922957350331952E-2</v>
      </c>
      <c r="N20" s="537">
        <f t="shared" si="4"/>
        <v>-6.5534042933679593E-2</v>
      </c>
      <c r="O20" s="537">
        <f t="shared" si="4"/>
        <v>6.3859893232161902E-2</v>
      </c>
      <c r="P20" s="537">
        <f t="shared" si="4"/>
        <v>4.5694656055086824E-2</v>
      </c>
      <c r="Q20" s="537">
        <f t="shared" si="4"/>
        <v>3.185306275652211E-2</v>
      </c>
      <c r="R20" s="537">
        <f t="shared" si="4"/>
        <v>1.1865128000824399E-2</v>
      </c>
      <c r="S20" s="537">
        <f t="shared" si="4"/>
        <v>2.4460272421991558E-2</v>
      </c>
      <c r="T20" s="537">
        <f t="shared" si="4"/>
        <v>4.5860419797356666E-2</v>
      </c>
      <c r="U20" s="537">
        <f t="shared" si="4"/>
        <v>1.6095953488061587E-2</v>
      </c>
      <c r="V20" s="537">
        <f t="shared" si="4"/>
        <v>4.1843778854725455E-2</v>
      </c>
      <c r="W20" s="537">
        <f>W18/V18-1</f>
        <v>5.90575891429721E-2</v>
      </c>
      <c r="X20" s="537">
        <f>X18/W18-1</f>
        <v>5.1638152745163923E-2</v>
      </c>
      <c r="Y20" s="537">
        <f>Y18/X18-1</f>
        <v>-2.093611772711812E-2</v>
      </c>
    </row>
    <row r="21" spans="2:25" x14ac:dyDescent="0.25">
      <c r="I21" s="535"/>
      <c r="J21" s="535"/>
      <c r="K21" s="535"/>
      <c r="L21" s="535"/>
      <c r="M21" s="535"/>
      <c r="N21" s="535"/>
      <c r="O21" s="535"/>
      <c r="P21" s="535"/>
    </row>
    <row r="22" spans="2:25" x14ac:dyDescent="0.25">
      <c r="I22" s="535"/>
      <c r="J22" s="535"/>
      <c r="K22" s="535"/>
      <c r="L22" s="535"/>
      <c r="M22" s="535"/>
      <c r="N22" s="535"/>
      <c r="O22" s="535"/>
      <c r="P22" s="535"/>
    </row>
    <row r="23" spans="2:25" x14ac:dyDescent="0.25">
      <c r="I23" s="538"/>
      <c r="J23" s="538"/>
      <c r="K23" s="535"/>
      <c r="L23" s="535"/>
      <c r="M23" s="535"/>
      <c r="N23" s="535"/>
      <c r="O23" s="535"/>
      <c r="P23" s="535"/>
    </row>
    <row r="24" spans="2:25" x14ac:dyDescent="0.25">
      <c r="I24" s="535"/>
      <c r="J24" s="535"/>
      <c r="K24" s="535"/>
      <c r="L24" s="535"/>
      <c r="M24" s="535"/>
      <c r="N24" s="535"/>
      <c r="O24" s="535"/>
      <c r="P24" s="535"/>
    </row>
    <row r="25" spans="2:25" x14ac:dyDescent="0.25">
      <c r="I25" s="535"/>
      <c r="J25" s="535"/>
      <c r="K25" s="539"/>
      <c r="L25" s="539"/>
      <c r="M25" s="539"/>
      <c r="N25" s="539"/>
      <c r="O25" s="539"/>
      <c r="P25" s="539"/>
      <c r="R25" s="370"/>
    </row>
    <row r="26" spans="2:25" x14ac:dyDescent="0.25">
      <c r="I26" s="535"/>
      <c r="J26" s="535"/>
      <c r="K26" s="539"/>
      <c r="L26" s="539"/>
      <c r="M26" s="539"/>
      <c r="N26" s="539"/>
      <c r="O26" s="539"/>
      <c r="P26" s="539"/>
      <c r="R26" s="370"/>
    </row>
    <row r="27" spans="2:25" x14ac:dyDescent="0.25">
      <c r="I27" s="535"/>
      <c r="J27" s="535"/>
      <c r="K27" s="539"/>
      <c r="L27" s="539"/>
      <c r="M27" s="539"/>
      <c r="N27" s="539"/>
      <c r="O27" s="539"/>
      <c r="P27" s="539"/>
      <c r="R27" s="370"/>
    </row>
    <row r="28" spans="2:25" x14ac:dyDescent="0.25">
      <c r="I28" s="535"/>
      <c r="J28" s="535"/>
      <c r="K28" s="539"/>
      <c r="L28" s="539"/>
      <c r="M28" s="539"/>
      <c r="N28" s="539"/>
      <c r="O28" s="539"/>
      <c r="P28" s="539"/>
      <c r="R28" s="370"/>
    </row>
    <row r="29" spans="2:25" x14ac:dyDescent="0.25">
      <c r="I29" s="535"/>
      <c r="J29" s="535"/>
      <c r="K29" s="539"/>
      <c r="L29" s="539"/>
      <c r="M29" s="539"/>
      <c r="N29" s="539"/>
      <c r="O29" s="539"/>
      <c r="P29" s="539"/>
      <c r="R29" s="370"/>
    </row>
    <row r="30" spans="2:25" x14ac:dyDescent="0.25">
      <c r="I30" s="535"/>
      <c r="J30" s="535"/>
      <c r="K30" s="539"/>
      <c r="L30" s="539"/>
      <c r="M30" s="539"/>
      <c r="N30" s="539"/>
      <c r="O30" s="539"/>
      <c r="P30" s="539"/>
      <c r="R30" s="370"/>
    </row>
    <row r="37" spans="2:2" x14ac:dyDescent="0.25">
      <c r="B37" s="361" t="s">
        <v>1085</v>
      </c>
    </row>
    <row r="53" spans="2:2" x14ac:dyDescent="0.25">
      <c r="B53" s="361" t="s">
        <v>1086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3:BI96"/>
  <sheetViews>
    <sheetView showGridLines="0" zoomScaleNormal="100" workbookViewId="0">
      <selection activeCell="B5" sqref="B5"/>
    </sheetView>
  </sheetViews>
  <sheetFormatPr defaultColWidth="9.140625" defaultRowHeight="13.5" x14ac:dyDescent="0.25"/>
  <cols>
    <col min="1" max="1" width="14.140625" style="88" bestFit="1" customWidth="1"/>
    <col min="2" max="3" width="28.140625" style="88" customWidth="1"/>
    <col min="4" max="5" width="6.42578125" style="88" customWidth="1"/>
    <col min="6" max="21" width="5.140625" style="88" customWidth="1"/>
    <col min="22" max="22" width="4.42578125" style="88" bestFit="1" customWidth="1"/>
    <col min="23" max="23" width="5" style="88" customWidth="1"/>
    <col min="24" max="16384" width="9.140625" style="88"/>
  </cols>
  <sheetData>
    <row r="3" spans="1:40" ht="15" x14ac:dyDescent="0.25">
      <c r="A3" s="1"/>
    </row>
    <row r="4" spans="1:40" ht="15.75" customHeight="1" x14ac:dyDescent="0.25">
      <c r="B4" s="371" t="s">
        <v>1089</v>
      </c>
      <c r="C4" s="371"/>
      <c r="D4" s="371"/>
      <c r="E4" s="371"/>
      <c r="G4" s="371"/>
      <c r="H4" s="371"/>
      <c r="I4" s="371" t="s">
        <v>1087</v>
      </c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W4" s="856"/>
      <c r="X4" s="856"/>
      <c r="Y4" s="856"/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56"/>
      <c r="AK4" s="856"/>
      <c r="AL4" s="856"/>
      <c r="AM4" s="371"/>
      <c r="AN4" s="371"/>
    </row>
    <row r="5" spans="1:40" x14ac:dyDescent="0.25">
      <c r="B5" s="371" t="s">
        <v>1090</v>
      </c>
      <c r="I5" s="371" t="s">
        <v>1088</v>
      </c>
    </row>
    <row r="23" spans="2:61" x14ac:dyDescent="0.25">
      <c r="B23" s="88" t="s">
        <v>127</v>
      </c>
      <c r="C23" s="88" t="s">
        <v>370</v>
      </c>
    </row>
    <row r="24" spans="2:61" ht="14.25" thickBot="1" x14ac:dyDescent="0.3"/>
    <row r="25" spans="2:61" x14ac:dyDescent="0.25">
      <c r="B25" s="375"/>
      <c r="C25" s="375"/>
      <c r="D25" s="544" t="s">
        <v>818</v>
      </c>
      <c r="E25" s="544" t="s">
        <v>819</v>
      </c>
      <c r="F25" s="544" t="s">
        <v>820</v>
      </c>
      <c r="G25" s="544" t="s">
        <v>821</v>
      </c>
      <c r="H25" s="544" t="s">
        <v>822</v>
      </c>
      <c r="I25" s="544" t="s">
        <v>823</v>
      </c>
      <c r="J25" s="544" t="s">
        <v>824</v>
      </c>
      <c r="K25" s="544" t="s">
        <v>825</v>
      </c>
      <c r="L25" s="544" t="s">
        <v>826</v>
      </c>
      <c r="M25" s="544" t="s">
        <v>827</v>
      </c>
      <c r="N25" s="544" t="s">
        <v>828</v>
      </c>
      <c r="O25" s="544" t="s">
        <v>829</v>
      </c>
      <c r="P25" s="544" t="s">
        <v>830</v>
      </c>
      <c r="Q25" s="544" t="s">
        <v>831</v>
      </c>
      <c r="R25" s="544" t="s">
        <v>832</v>
      </c>
      <c r="S25" s="544" t="s">
        <v>833</v>
      </c>
      <c r="T25" s="544" t="s">
        <v>834</v>
      </c>
      <c r="U25" s="544" t="s">
        <v>835</v>
      </c>
      <c r="V25" s="544" t="s">
        <v>836</v>
      </c>
      <c r="W25" s="544" t="s">
        <v>837</v>
      </c>
      <c r="X25" s="544" t="s">
        <v>838</v>
      </c>
      <c r="Y25" s="544" t="s">
        <v>839</v>
      </c>
      <c r="Z25" s="544" t="s">
        <v>840</v>
      </c>
      <c r="AA25" s="544" t="s">
        <v>841</v>
      </c>
      <c r="AB25" s="544" t="s">
        <v>842</v>
      </c>
      <c r="AC25" s="544" t="s">
        <v>843</v>
      </c>
      <c r="AD25" s="544" t="s">
        <v>844</v>
      </c>
      <c r="AE25" s="544" t="s">
        <v>845</v>
      </c>
      <c r="AF25" s="544" t="s">
        <v>846</v>
      </c>
      <c r="AG25" s="544" t="s">
        <v>847</v>
      </c>
      <c r="AH25" s="544" t="s">
        <v>848</v>
      </c>
      <c r="AI25" s="544" t="s">
        <v>849</v>
      </c>
      <c r="AJ25" s="544" t="s">
        <v>850</v>
      </c>
      <c r="AK25" s="544" t="s">
        <v>851</v>
      </c>
      <c r="AL25" s="544" t="s">
        <v>852</v>
      </c>
      <c r="AM25" s="544" t="s">
        <v>853</v>
      </c>
      <c r="AN25" s="544" t="s">
        <v>854</v>
      </c>
      <c r="AO25" s="544" t="s">
        <v>855</v>
      </c>
      <c r="AP25" s="544" t="s">
        <v>856</v>
      </c>
      <c r="AQ25" s="544" t="s">
        <v>857</v>
      </c>
      <c r="AR25" s="544" t="s">
        <v>858</v>
      </c>
      <c r="AS25" s="544" t="s">
        <v>859</v>
      </c>
      <c r="AT25" s="544" t="s">
        <v>860</v>
      </c>
      <c r="AU25" s="544" t="s">
        <v>861</v>
      </c>
      <c r="AV25" s="544" t="s">
        <v>862</v>
      </c>
      <c r="AW25" s="544" t="s">
        <v>863</v>
      </c>
      <c r="AX25" s="544" t="s">
        <v>864</v>
      </c>
      <c r="AY25" s="544" t="s">
        <v>865</v>
      </c>
      <c r="AZ25" s="544" t="s">
        <v>866</v>
      </c>
      <c r="BA25" s="544" t="s">
        <v>867</v>
      </c>
      <c r="BB25" s="544" t="s">
        <v>868</v>
      </c>
      <c r="BC25" s="544" t="s">
        <v>869</v>
      </c>
      <c r="BD25" s="544" t="s">
        <v>870</v>
      </c>
      <c r="BE25" s="544" t="s">
        <v>871</v>
      </c>
      <c r="BF25" s="544" t="s">
        <v>872</v>
      </c>
      <c r="BG25" s="544" t="s">
        <v>873</v>
      </c>
      <c r="BH25" s="544" t="s">
        <v>874</v>
      </c>
      <c r="BI25" s="544" t="s">
        <v>875</v>
      </c>
    </row>
    <row r="26" spans="2:61" x14ac:dyDescent="0.25">
      <c r="B26" s="378" t="s">
        <v>877</v>
      </c>
      <c r="C26" s="378" t="s">
        <v>876</v>
      </c>
      <c r="D26" s="545">
        <v>0.15454908792892164</v>
      </c>
      <c r="E26" s="545">
        <v>0.15783771900490529</v>
      </c>
      <c r="F26" s="545">
        <v>0.15510699229705158</v>
      </c>
      <c r="G26" s="545">
        <v>0.15613030464805988</v>
      </c>
      <c r="H26" s="545">
        <v>0.15263156790172888</v>
      </c>
      <c r="I26" s="545">
        <v>0.14921957360304161</v>
      </c>
      <c r="J26" s="545">
        <v>0.1533808750502616</v>
      </c>
      <c r="K26" s="545">
        <v>0.15453200732972397</v>
      </c>
      <c r="L26" s="545">
        <v>0.13944426864012341</v>
      </c>
      <c r="M26" s="545">
        <v>0.13739909019676555</v>
      </c>
      <c r="N26" s="545">
        <v>0.14063297141624931</v>
      </c>
      <c r="O26" s="545">
        <v>0.1440852126146146</v>
      </c>
      <c r="P26" s="545">
        <v>0.13790152332841399</v>
      </c>
      <c r="Q26" s="545">
        <v>0.14045398315860563</v>
      </c>
      <c r="R26" s="545">
        <v>0.14045243233080373</v>
      </c>
      <c r="S26" s="545">
        <v>0.13340562127577815</v>
      </c>
      <c r="T26" s="545">
        <v>0.13930127614553225</v>
      </c>
      <c r="U26" s="545">
        <v>0.13342995700127472</v>
      </c>
      <c r="V26" s="545">
        <v>0.13538261703324653</v>
      </c>
      <c r="W26" s="545">
        <v>0.1304939972395037</v>
      </c>
      <c r="X26" s="545">
        <v>0.13061137633390371</v>
      </c>
      <c r="Y26" s="545">
        <v>0.12620488297813642</v>
      </c>
      <c r="Z26" s="545">
        <v>0.12355789300646708</v>
      </c>
      <c r="AA26" s="545">
        <v>0.12683103955032912</v>
      </c>
      <c r="AB26" s="545">
        <v>0.12849182240334153</v>
      </c>
      <c r="AC26" s="545">
        <v>0.13615709374982862</v>
      </c>
      <c r="AD26" s="545">
        <v>0.13569281862576266</v>
      </c>
      <c r="AE26" s="545">
        <v>0.13519687549927412</v>
      </c>
      <c r="AF26" s="545">
        <v>0.14540558586577654</v>
      </c>
      <c r="AG26" s="545">
        <v>0.1441345552815104</v>
      </c>
      <c r="AH26" s="545">
        <v>0.14246037416740329</v>
      </c>
      <c r="AI26" s="545">
        <v>0.14589037861413351</v>
      </c>
      <c r="AJ26" s="545">
        <v>0.14809673938945336</v>
      </c>
      <c r="AK26" s="545">
        <v>0.14625585215628412</v>
      </c>
      <c r="AL26" s="545">
        <v>0.14725440903014211</v>
      </c>
      <c r="AM26" s="545">
        <v>0.14283419216020882</v>
      </c>
      <c r="AN26" s="545">
        <v>0.14849697075397211</v>
      </c>
      <c r="AO26" s="545">
        <v>0.152138940648297</v>
      </c>
      <c r="AP26" s="545">
        <v>0.15188222483241887</v>
      </c>
      <c r="AQ26" s="545">
        <v>0.15437805435882404</v>
      </c>
      <c r="AR26" s="545">
        <v>0.15198122442014445</v>
      </c>
      <c r="AS26" s="545">
        <v>0.15032499221409046</v>
      </c>
      <c r="AT26" s="545">
        <v>0.15255658307967213</v>
      </c>
      <c r="AU26" s="545">
        <v>0.16154564390202208</v>
      </c>
      <c r="AV26" s="545">
        <v>0.15211778270083401</v>
      </c>
      <c r="AW26" s="545">
        <v>0.15575568673627357</v>
      </c>
      <c r="AX26" s="545">
        <v>0.15234989266053597</v>
      </c>
      <c r="AY26" s="545">
        <v>0.15383418389895603</v>
      </c>
      <c r="AZ26" s="545">
        <v>0.15714526446585636</v>
      </c>
      <c r="BA26" s="545">
        <v>0.15560121172544406</v>
      </c>
      <c r="BB26" s="545">
        <v>0.15907312346336649</v>
      </c>
      <c r="BC26" s="545">
        <v>0.1587062410406419</v>
      </c>
      <c r="BD26" s="545">
        <v>0.15450266501610163</v>
      </c>
      <c r="BE26" s="545">
        <v>0.14944864882487555</v>
      </c>
      <c r="BF26" s="545">
        <v>0.15776609244255638</v>
      </c>
      <c r="BG26" s="545">
        <v>0.1586278527992083</v>
      </c>
      <c r="BH26" s="545">
        <v>0.15931729397116906</v>
      </c>
      <c r="BI26" s="545">
        <v>0.16247410366036921</v>
      </c>
    </row>
    <row r="30" spans="2:61" ht="15.75" customHeight="1" thickBot="1" x14ac:dyDescent="0.3">
      <c r="B30" s="372" t="s">
        <v>816</v>
      </c>
      <c r="C30" s="372" t="s">
        <v>817</v>
      </c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4"/>
      <c r="W30" s="856"/>
      <c r="X30" s="856"/>
      <c r="Y30" s="856"/>
      <c r="Z30" s="856"/>
      <c r="AA30" s="856"/>
      <c r="AB30" s="856"/>
      <c r="AC30" s="856"/>
      <c r="AD30" s="856"/>
      <c r="AE30" s="856"/>
      <c r="AF30" s="856"/>
      <c r="AG30" s="856"/>
      <c r="AH30" s="856"/>
      <c r="AI30" s="856"/>
      <c r="AJ30" s="856"/>
      <c r="AK30" s="856"/>
      <c r="AL30" s="856"/>
      <c r="AM30" s="371"/>
      <c r="AN30" s="371"/>
    </row>
    <row r="31" spans="2:61" x14ac:dyDescent="0.25">
      <c r="B31" s="375"/>
      <c r="C31" s="375"/>
      <c r="D31" s="376">
        <v>2000</v>
      </c>
      <c r="E31" s="376">
        <v>2001</v>
      </c>
      <c r="F31" s="376">
        <v>2002</v>
      </c>
      <c r="G31" s="376">
        <v>2003</v>
      </c>
      <c r="H31" s="376">
        <v>2004</v>
      </c>
      <c r="I31" s="376">
        <v>2005</v>
      </c>
      <c r="J31" s="376">
        <v>2006</v>
      </c>
      <c r="K31" s="376">
        <v>2007</v>
      </c>
      <c r="L31" s="376">
        <v>2008</v>
      </c>
      <c r="M31" s="376">
        <v>2009</v>
      </c>
      <c r="N31" s="376">
        <v>2010</v>
      </c>
      <c r="O31" s="376">
        <v>2011</v>
      </c>
      <c r="P31" s="376">
        <v>2012</v>
      </c>
      <c r="Q31" s="376">
        <v>2013</v>
      </c>
      <c r="R31" s="376">
        <v>2014</v>
      </c>
      <c r="S31" s="376">
        <v>2015</v>
      </c>
      <c r="T31" s="376">
        <v>2016</v>
      </c>
      <c r="U31" s="376">
        <v>2017</v>
      </c>
      <c r="V31" s="376">
        <v>2018</v>
      </c>
      <c r="W31" s="376">
        <v>2019</v>
      </c>
      <c r="X31" s="376">
        <v>2020</v>
      </c>
      <c r="Y31" s="377"/>
      <c r="Z31" s="377"/>
      <c r="AA31" s="377"/>
      <c r="AB31" s="377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</row>
    <row r="32" spans="2:61" x14ac:dyDescent="0.25">
      <c r="B32" s="378" t="s">
        <v>315</v>
      </c>
      <c r="C32" s="378" t="s">
        <v>445</v>
      </c>
      <c r="D32" s="379">
        <v>14.201650990176262</v>
      </c>
      <c r="E32" s="379">
        <v>12.085520434564669</v>
      </c>
      <c r="F32" s="379">
        <v>14.117555192084996</v>
      </c>
      <c r="G32" s="379">
        <v>7.1763258197170554</v>
      </c>
      <c r="H32" s="379">
        <v>17.076638613269019</v>
      </c>
      <c r="I32" s="379">
        <v>13.929338744767838</v>
      </c>
      <c r="J32" s="379">
        <v>19.552952038486826</v>
      </c>
      <c r="K32" s="379">
        <v>25.054960881193605</v>
      </c>
      <c r="L32" s="379">
        <v>25.486754657056409</v>
      </c>
      <c r="M32" s="379">
        <v>28.680593125243036</v>
      </c>
      <c r="N32" s="379">
        <v>29.416538341070304</v>
      </c>
      <c r="O32" s="379">
        <v>29.940692342018068</v>
      </c>
      <c r="P32" s="379">
        <v>35.168830205623557</v>
      </c>
      <c r="Q32" s="379">
        <v>30.800197828792236</v>
      </c>
      <c r="R32" s="379">
        <v>26.716157581540838</v>
      </c>
      <c r="S32" s="379">
        <v>25.994105892252122</v>
      </c>
      <c r="T32" s="379">
        <v>22.481820402936535</v>
      </c>
      <c r="U32" s="379">
        <v>21.323971633291087</v>
      </c>
      <c r="V32" s="379">
        <v>20.071957131815868</v>
      </c>
      <c r="W32" s="379">
        <v>16.872834522091281</v>
      </c>
      <c r="X32" s="542">
        <v>16.631187751258683</v>
      </c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94"/>
    </row>
    <row r="33" spans="2:40" x14ac:dyDescent="0.25">
      <c r="B33" s="378" t="s">
        <v>314</v>
      </c>
      <c r="C33" s="378" t="s">
        <v>578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>
        <v>36.700000000000003</v>
      </c>
      <c r="Q33" s="379">
        <v>31.4</v>
      </c>
      <c r="R33" s="379">
        <v>29.599999999999998</v>
      </c>
      <c r="S33" s="379">
        <v>25.003832578659058</v>
      </c>
      <c r="T33" s="379">
        <v>20.046278834342957</v>
      </c>
      <c r="U33" s="379">
        <v>16.930367052555084</v>
      </c>
      <c r="V33" s="379">
        <v>18.29</v>
      </c>
      <c r="W33" s="379">
        <v>16.12</v>
      </c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94"/>
    </row>
    <row r="34" spans="2:40" ht="14.25" thickBot="1" x14ac:dyDescent="0.3">
      <c r="B34" s="93" t="s">
        <v>577</v>
      </c>
      <c r="C34" s="93" t="s">
        <v>579</v>
      </c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2"/>
      <c r="Q34" s="382">
        <v>15</v>
      </c>
      <c r="R34" s="382">
        <v>14.3</v>
      </c>
      <c r="S34" s="382">
        <v>13.02</v>
      </c>
      <c r="T34" s="382">
        <v>12.3</v>
      </c>
      <c r="U34" s="382">
        <v>12</v>
      </c>
      <c r="V34" s="382">
        <v>11.3</v>
      </c>
      <c r="W34" s="382">
        <v>10.6</v>
      </c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94"/>
    </row>
    <row r="35" spans="2:40" x14ac:dyDescent="0.25">
      <c r="W35" s="94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94"/>
    </row>
    <row r="36" spans="2:40" x14ac:dyDescent="0.25">
      <c r="AD36" s="380"/>
    </row>
    <row r="37" spans="2:40" x14ac:dyDescent="0.25">
      <c r="AD37" s="380"/>
    </row>
    <row r="38" spans="2:40" x14ac:dyDescent="0.25">
      <c r="AD38" s="380"/>
    </row>
    <row r="39" spans="2:40" x14ac:dyDescent="0.25">
      <c r="M39" s="543"/>
      <c r="AD39" s="380"/>
    </row>
    <row r="40" spans="2:40" x14ac:dyDescent="0.25">
      <c r="M40" s="543"/>
      <c r="AD40" s="380"/>
    </row>
    <row r="41" spans="2:40" x14ac:dyDescent="0.25">
      <c r="M41" s="543"/>
      <c r="AD41" s="380"/>
    </row>
    <row r="42" spans="2:40" x14ac:dyDescent="0.25">
      <c r="M42" s="543"/>
      <c r="AD42" s="380"/>
    </row>
    <row r="43" spans="2:40" x14ac:dyDescent="0.25">
      <c r="M43" s="543"/>
    </row>
    <row r="44" spans="2:40" x14ac:dyDescent="0.25">
      <c r="M44" s="543"/>
    </row>
    <row r="45" spans="2:40" x14ac:dyDescent="0.25">
      <c r="M45" s="543"/>
    </row>
    <row r="46" spans="2:40" x14ac:dyDescent="0.25">
      <c r="M46" s="543"/>
    </row>
    <row r="47" spans="2:40" x14ac:dyDescent="0.25">
      <c r="M47" s="543"/>
    </row>
    <row r="48" spans="2:40" x14ac:dyDescent="0.25">
      <c r="M48" s="543"/>
    </row>
    <row r="49" spans="13:13" x14ac:dyDescent="0.25">
      <c r="M49" s="543"/>
    </row>
    <row r="50" spans="13:13" x14ac:dyDescent="0.25">
      <c r="M50" s="543"/>
    </row>
    <row r="51" spans="13:13" x14ac:dyDescent="0.25">
      <c r="M51" s="543"/>
    </row>
    <row r="52" spans="13:13" x14ac:dyDescent="0.25">
      <c r="M52" s="543"/>
    </row>
    <row r="53" spans="13:13" x14ac:dyDescent="0.25">
      <c r="M53" s="543"/>
    </row>
    <row r="54" spans="13:13" x14ac:dyDescent="0.25">
      <c r="M54" s="543"/>
    </row>
    <row r="55" spans="13:13" x14ac:dyDescent="0.25">
      <c r="M55" s="543"/>
    </row>
    <row r="56" spans="13:13" x14ac:dyDescent="0.25">
      <c r="M56" s="543"/>
    </row>
    <row r="57" spans="13:13" x14ac:dyDescent="0.25">
      <c r="M57" s="543"/>
    </row>
    <row r="58" spans="13:13" x14ac:dyDescent="0.25">
      <c r="M58" s="543"/>
    </row>
    <row r="59" spans="13:13" x14ac:dyDescent="0.25">
      <c r="M59" s="543"/>
    </row>
    <row r="60" spans="13:13" x14ac:dyDescent="0.25">
      <c r="M60" s="543"/>
    </row>
    <row r="61" spans="13:13" x14ac:dyDescent="0.25">
      <c r="M61" s="543"/>
    </row>
    <row r="62" spans="13:13" x14ac:dyDescent="0.25">
      <c r="M62" s="543"/>
    </row>
    <row r="63" spans="13:13" x14ac:dyDescent="0.25">
      <c r="M63" s="543"/>
    </row>
    <row r="64" spans="13:13" x14ac:dyDescent="0.25">
      <c r="M64" s="543"/>
    </row>
    <row r="65" spans="13:13" x14ac:dyDescent="0.25">
      <c r="M65" s="543"/>
    </row>
    <row r="66" spans="13:13" x14ac:dyDescent="0.25">
      <c r="M66" s="543"/>
    </row>
    <row r="67" spans="13:13" x14ac:dyDescent="0.25">
      <c r="M67" s="543"/>
    </row>
    <row r="68" spans="13:13" x14ac:dyDescent="0.25">
      <c r="M68" s="543"/>
    </row>
    <row r="69" spans="13:13" x14ac:dyDescent="0.25">
      <c r="M69" s="543"/>
    </row>
    <row r="70" spans="13:13" x14ac:dyDescent="0.25">
      <c r="M70" s="543"/>
    </row>
    <row r="71" spans="13:13" x14ac:dyDescent="0.25">
      <c r="M71" s="543"/>
    </row>
    <row r="72" spans="13:13" x14ac:dyDescent="0.25">
      <c r="M72" s="543"/>
    </row>
    <row r="73" spans="13:13" x14ac:dyDescent="0.25">
      <c r="M73" s="543"/>
    </row>
    <row r="74" spans="13:13" x14ac:dyDescent="0.25">
      <c r="M74" s="543"/>
    </row>
    <row r="75" spans="13:13" x14ac:dyDescent="0.25">
      <c r="M75" s="543"/>
    </row>
    <row r="76" spans="13:13" x14ac:dyDescent="0.25">
      <c r="M76" s="543"/>
    </row>
    <row r="77" spans="13:13" x14ac:dyDescent="0.25">
      <c r="M77" s="543"/>
    </row>
    <row r="78" spans="13:13" x14ac:dyDescent="0.25">
      <c r="M78" s="543"/>
    </row>
    <row r="79" spans="13:13" x14ac:dyDescent="0.25">
      <c r="M79" s="543"/>
    </row>
    <row r="80" spans="13:13" x14ac:dyDescent="0.25">
      <c r="M80" s="543"/>
    </row>
    <row r="81" spans="13:13" x14ac:dyDescent="0.25">
      <c r="M81" s="543"/>
    </row>
    <row r="82" spans="13:13" x14ac:dyDescent="0.25">
      <c r="M82" s="543"/>
    </row>
    <row r="83" spans="13:13" x14ac:dyDescent="0.25">
      <c r="M83" s="543"/>
    </row>
    <row r="84" spans="13:13" x14ac:dyDescent="0.25">
      <c r="M84" s="543"/>
    </row>
    <row r="85" spans="13:13" x14ac:dyDescent="0.25">
      <c r="M85" s="543"/>
    </row>
    <row r="86" spans="13:13" x14ac:dyDescent="0.25">
      <c r="M86" s="543"/>
    </row>
    <row r="87" spans="13:13" x14ac:dyDescent="0.25">
      <c r="M87" s="543"/>
    </row>
    <row r="88" spans="13:13" x14ac:dyDescent="0.25">
      <c r="M88" s="543"/>
    </row>
    <row r="89" spans="13:13" x14ac:dyDescent="0.25">
      <c r="M89" s="543"/>
    </row>
    <row r="90" spans="13:13" x14ac:dyDescent="0.25">
      <c r="M90" s="543"/>
    </row>
    <row r="91" spans="13:13" x14ac:dyDescent="0.25">
      <c r="M91" s="543"/>
    </row>
    <row r="92" spans="13:13" x14ac:dyDescent="0.25">
      <c r="M92" s="543"/>
    </row>
    <row r="93" spans="13:13" x14ac:dyDescent="0.25">
      <c r="M93" s="543"/>
    </row>
    <row r="94" spans="13:13" x14ac:dyDescent="0.25">
      <c r="M94" s="543"/>
    </row>
    <row r="95" spans="13:13" x14ac:dyDescent="0.25">
      <c r="M95" s="543"/>
    </row>
    <row r="96" spans="13:13" x14ac:dyDescent="0.25">
      <c r="M96" s="543"/>
    </row>
  </sheetData>
  <mergeCells count="2">
    <mergeCell ref="W4:AL4"/>
    <mergeCell ref="W30:AL30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Z31"/>
  <sheetViews>
    <sheetView showGridLines="0" zoomScaleNormal="100" workbookViewId="0">
      <selection activeCell="K22" sqref="K22"/>
    </sheetView>
  </sheetViews>
  <sheetFormatPr defaultColWidth="9.140625" defaultRowHeight="13.5" x14ac:dyDescent="0.25"/>
  <cols>
    <col min="1" max="1" width="14.140625" style="358" bestFit="1" customWidth="1"/>
    <col min="2" max="9" width="9.140625" style="358"/>
    <col min="10" max="10" width="12.140625" style="358" customWidth="1"/>
    <col min="11" max="11" width="10.140625" style="358" customWidth="1"/>
    <col min="12" max="25" width="8.85546875" style="358" customWidth="1"/>
    <col min="26" max="16384" width="9.140625" style="358"/>
  </cols>
  <sheetData>
    <row r="1" spans="1:26" ht="15" x14ac:dyDescent="0.25">
      <c r="A1" s="1"/>
    </row>
    <row r="2" spans="1:26" x14ac:dyDescent="0.25">
      <c r="B2" s="88"/>
    </row>
    <row r="3" spans="1:26" x14ac:dyDescent="0.25">
      <c r="B3" s="88"/>
    </row>
    <row r="4" spans="1:26" ht="14.25" thickBot="1" x14ac:dyDescent="0.3">
      <c r="B4" s="361" t="s">
        <v>880</v>
      </c>
      <c r="J4" s="383" t="s">
        <v>127</v>
      </c>
      <c r="K4" s="383" t="s">
        <v>370</v>
      </c>
      <c r="L4" s="362"/>
      <c r="M4" s="362"/>
      <c r="N4" s="362"/>
      <c r="O4" s="362"/>
      <c r="P4" s="362"/>
      <c r="Q4" s="362"/>
    </row>
    <row r="6" spans="1:26" x14ac:dyDescent="0.25">
      <c r="J6" s="384" t="s">
        <v>882</v>
      </c>
      <c r="K6" s="384" t="s">
        <v>883</v>
      </c>
      <c r="L6" s="386"/>
      <c r="M6" s="386"/>
      <c r="N6" s="386"/>
      <c r="O6" s="386"/>
      <c r="P6" s="386"/>
      <c r="Q6" s="386"/>
    </row>
    <row r="8" spans="1:26" x14ac:dyDescent="0.25">
      <c r="J8" s="387" t="s">
        <v>116</v>
      </c>
      <c r="K8" s="387" t="s">
        <v>116</v>
      </c>
      <c r="L8" s="388" t="s">
        <v>117</v>
      </c>
      <c r="M8" s="388" t="s">
        <v>118</v>
      </c>
      <c r="N8" s="388" t="s">
        <v>119</v>
      </c>
      <c r="O8" s="388" t="s">
        <v>120</v>
      </c>
      <c r="P8" s="388" t="s">
        <v>121</v>
      </c>
      <c r="Q8" s="388" t="s">
        <v>122</v>
      </c>
      <c r="R8" s="388" t="s">
        <v>145</v>
      </c>
      <c r="S8" s="388" t="s">
        <v>146</v>
      </c>
      <c r="T8" s="388" t="s">
        <v>147</v>
      </c>
      <c r="U8" s="388" t="s">
        <v>148</v>
      </c>
      <c r="V8" s="388" t="s">
        <v>149</v>
      </c>
      <c r="W8" s="388" t="s">
        <v>799</v>
      </c>
      <c r="X8" s="388" t="s">
        <v>884</v>
      </c>
      <c r="Y8" s="572" t="s">
        <v>885</v>
      </c>
      <c r="Z8" s="572" t="s">
        <v>886</v>
      </c>
    </row>
    <row r="9" spans="1:26" x14ac:dyDescent="0.25">
      <c r="J9" s="385" t="s">
        <v>887</v>
      </c>
      <c r="K9" s="385" t="s">
        <v>890</v>
      </c>
      <c r="L9" s="569">
        <v>50.9</v>
      </c>
      <c r="M9" s="569">
        <v>49.4</v>
      </c>
      <c r="N9" s="569">
        <v>50</v>
      </c>
      <c r="O9" s="569">
        <v>49.9</v>
      </c>
      <c r="P9" s="569">
        <v>49.3</v>
      </c>
      <c r="Q9" s="569">
        <v>48.4</v>
      </c>
      <c r="R9" s="569">
        <v>47.7</v>
      </c>
      <c r="S9" s="569">
        <v>47.1</v>
      </c>
      <c r="T9" s="569">
        <v>46.9</v>
      </c>
      <c r="U9" s="569">
        <v>47</v>
      </c>
      <c r="V9" s="569">
        <v>54.1</v>
      </c>
      <c r="W9" s="569"/>
      <c r="X9" s="570"/>
      <c r="Y9" s="571"/>
      <c r="Z9" s="571"/>
    </row>
    <row r="10" spans="1:26" x14ac:dyDescent="0.25">
      <c r="J10" s="385" t="s">
        <v>888</v>
      </c>
      <c r="K10" s="385" t="s">
        <v>889</v>
      </c>
      <c r="L10" s="569">
        <v>42.5</v>
      </c>
      <c r="M10" s="569">
        <v>41.6</v>
      </c>
      <c r="N10" s="569">
        <v>41.1</v>
      </c>
      <c r="O10" s="569">
        <v>42.5</v>
      </c>
      <c r="P10" s="569">
        <v>43.3</v>
      </c>
      <c r="Q10" s="569">
        <v>45.8</v>
      </c>
      <c r="R10" s="569">
        <v>42.7</v>
      </c>
      <c r="S10" s="569">
        <v>41.3</v>
      </c>
      <c r="T10" s="569">
        <v>41.7</v>
      </c>
      <c r="U10" s="569">
        <v>42.7</v>
      </c>
      <c r="V10" s="569">
        <v>48</v>
      </c>
      <c r="W10" s="569">
        <v>49.805881314288854</v>
      </c>
      <c r="X10" s="573">
        <v>46.796933849445502</v>
      </c>
      <c r="Y10" s="574">
        <v>45.267416465684491</v>
      </c>
      <c r="Z10" s="574">
        <v>43.937578240420017</v>
      </c>
    </row>
    <row r="11" spans="1:26" x14ac:dyDescent="0.25">
      <c r="J11" s="385" t="s">
        <v>123</v>
      </c>
      <c r="K11" s="385" t="s">
        <v>123</v>
      </c>
      <c r="L11" s="569">
        <v>46.1</v>
      </c>
      <c r="M11" s="569">
        <v>45.466666666666669</v>
      </c>
      <c r="N11" s="569">
        <v>45.666666666666664</v>
      </c>
      <c r="O11" s="569">
        <v>45.300000000000004</v>
      </c>
      <c r="P11" s="569">
        <v>45.1</v>
      </c>
      <c r="Q11" s="569">
        <v>44.666666666666664</v>
      </c>
      <c r="R11" s="569">
        <v>42.566666666666663</v>
      </c>
      <c r="S11" s="569">
        <v>42.266666666666666</v>
      </c>
      <c r="T11" s="569">
        <v>42.666666666666664</v>
      </c>
      <c r="U11" s="569">
        <v>42.966666666666661</v>
      </c>
      <c r="V11" s="569">
        <v>49.266666666666673</v>
      </c>
      <c r="W11" s="569"/>
      <c r="X11" s="570"/>
      <c r="Y11" s="571"/>
      <c r="Z11" s="571"/>
    </row>
    <row r="12" spans="1:26" x14ac:dyDescent="0.25">
      <c r="J12" s="385"/>
      <c r="K12" s="385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1"/>
    </row>
    <row r="13" spans="1:26" x14ac:dyDescent="0.25">
      <c r="J13" s="385"/>
      <c r="K13" s="385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1"/>
    </row>
    <row r="14" spans="1:26" x14ac:dyDescent="0.25">
      <c r="J14" s="385"/>
      <c r="K14" s="385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1"/>
    </row>
    <row r="15" spans="1:26" x14ac:dyDescent="0.25">
      <c r="J15" s="385"/>
      <c r="K15" s="385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1"/>
    </row>
    <row r="16" spans="1:26" x14ac:dyDescent="0.25">
      <c r="J16" s="385"/>
      <c r="K16" s="385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</row>
    <row r="17" spans="2:25" x14ac:dyDescent="0.25">
      <c r="J17" s="393"/>
      <c r="K17" s="393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spans="2:25" x14ac:dyDescent="0.25">
      <c r="J18" s="384"/>
      <c r="K18" s="384"/>
      <c r="L18" s="395"/>
      <c r="M18" s="395"/>
      <c r="N18" s="395"/>
      <c r="O18" s="395"/>
      <c r="P18" s="395"/>
      <c r="Q18" s="395"/>
      <c r="R18" s="395"/>
      <c r="S18" s="393"/>
      <c r="T18" s="393"/>
      <c r="U18" s="393"/>
      <c r="V18" s="393"/>
      <c r="W18" s="535"/>
      <c r="X18" s="535"/>
      <c r="Y18" s="535"/>
    </row>
    <row r="19" spans="2:25" x14ac:dyDescent="0.25">
      <c r="B19" s="361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535"/>
      <c r="X19" s="535"/>
      <c r="Y19" s="535"/>
    </row>
    <row r="20" spans="2:25" x14ac:dyDescent="0.25">
      <c r="J20" s="385"/>
      <c r="K20" s="385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535"/>
    </row>
    <row r="21" spans="2:25" x14ac:dyDescent="0.25">
      <c r="J21" s="385"/>
      <c r="K21" s="385"/>
      <c r="L21" s="390"/>
      <c r="M21" s="390"/>
      <c r="N21" s="390"/>
      <c r="O21" s="390"/>
      <c r="P21" s="390"/>
      <c r="Q21" s="390"/>
      <c r="R21" s="394"/>
      <c r="S21" s="389"/>
      <c r="T21" s="389"/>
      <c r="U21" s="389"/>
      <c r="V21" s="389"/>
      <c r="W21" s="539"/>
      <c r="X21" s="539"/>
      <c r="Y21" s="535"/>
    </row>
    <row r="22" spans="2:25" x14ac:dyDescent="0.25">
      <c r="J22" s="385"/>
      <c r="K22" s="385"/>
      <c r="L22" s="390"/>
      <c r="M22" s="390"/>
      <c r="N22" s="390"/>
      <c r="O22" s="390"/>
      <c r="P22" s="390"/>
      <c r="Q22" s="390"/>
      <c r="R22" s="394"/>
      <c r="S22" s="389"/>
      <c r="T22" s="389"/>
      <c r="U22" s="389"/>
      <c r="V22" s="389"/>
      <c r="W22" s="539"/>
      <c r="X22" s="539"/>
      <c r="Y22" s="535"/>
    </row>
    <row r="23" spans="2:25" x14ac:dyDescent="0.25">
      <c r="B23" s="361" t="s">
        <v>881</v>
      </c>
      <c r="J23" s="385"/>
      <c r="K23" s="385"/>
      <c r="L23" s="390"/>
      <c r="M23" s="390"/>
      <c r="N23" s="390"/>
      <c r="O23" s="390"/>
      <c r="P23" s="390"/>
      <c r="Q23" s="390"/>
      <c r="R23" s="394"/>
      <c r="S23" s="389"/>
      <c r="T23" s="389"/>
      <c r="U23" s="389"/>
      <c r="V23" s="389"/>
      <c r="W23" s="539"/>
      <c r="X23" s="539"/>
      <c r="Y23" s="535"/>
    </row>
    <row r="24" spans="2:25" x14ac:dyDescent="0.25">
      <c r="B24" s="385"/>
      <c r="C24" s="385"/>
      <c r="D24" s="385"/>
      <c r="J24" s="385"/>
      <c r="K24" s="385"/>
      <c r="L24" s="390"/>
      <c r="M24" s="390"/>
      <c r="N24" s="390"/>
      <c r="O24" s="390"/>
      <c r="P24" s="390"/>
      <c r="Q24" s="390"/>
      <c r="R24" s="394"/>
      <c r="S24" s="389"/>
      <c r="T24" s="389"/>
      <c r="U24" s="389"/>
      <c r="V24" s="389"/>
      <c r="W24" s="539"/>
      <c r="X24" s="539"/>
      <c r="Y24" s="535"/>
    </row>
    <row r="25" spans="2:25" x14ac:dyDescent="0.25">
      <c r="B25" s="385"/>
      <c r="C25" s="385"/>
      <c r="D25" s="385"/>
      <c r="J25" s="385"/>
      <c r="K25" s="385"/>
      <c r="L25" s="390"/>
      <c r="M25" s="390"/>
      <c r="N25" s="390"/>
      <c r="O25" s="390"/>
      <c r="P25" s="390"/>
      <c r="Q25" s="390"/>
      <c r="R25" s="389"/>
      <c r="S25" s="389"/>
      <c r="T25" s="389"/>
      <c r="U25" s="389"/>
      <c r="V25" s="389"/>
      <c r="W25" s="539"/>
      <c r="X25" s="539"/>
      <c r="Y25" s="535"/>
    </row>
    <row r="26" spans="2:25" x14ac:dyDescent="0.25">
      <c r="J26" s="385"/>
      <c r="K26" s="385"/>
      <c r="L26" s="390"/>
      <c r="M26" s="390"/>
      <c r="N26" s="390"/>
      <c r="O26" s="390"/>
      <c r="P26" s="390"/>
      <c r="Q26" s="390"/>
      <c r="R26" s="390"/>
      <c r="S26" s="389"/>
      <c r="T26" s="389"/>
      <c r="U26" s="389"/>
      <c r="V26" s="389"/>
      <c r="W26" s="539"/>
      <c r="X26" s="539"/>
      <c r="Y26" s="535"/>
    </row>
    <row r="27" spans="2:25" x14ac:dyDescent="0.25"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</row>
    <row r="28" spans="2:25" x14ac:dyDescent="0.25"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</row>
    <row r="31" spans="2:25" x14ac:dyDescent="0.25">
      <c r="M31" s="361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AH53"/>
  <sheetViews>
    <sheetView showGridLines="0" zoomScaleNormal="100" workbookViewId="0">
      <selection activeCell="B5" sqref="B5"/>
    </sheetView>
  </sheetViews>
  <sheetFormatPr defaultColWidth="9.140625" defaultRowHeight="13.5" x14ac:dyDescent="0.25"/>
  <cols>
    <col min="1" max="1" width="14.140625" style="396" bestFit="1" customWidth="1"/>
    <col min="2" max="3" width="37.42578125" style="396" customWidth="1"/>
    <col min="4" max="4" width="9.140625" style="396"/>
    <col min="5" max="5" width="8" style="396" customWidth="1"/>
    <col min="6" max="6" width="13.140625" style="396" bestFit="1" customWidth="1"/>
    <col min="7" max="7" width="13.140625" style="396" customWidth="1"/>
    <col min="8" max="8" width="12.85546875" style="396" bestFit="1" customWidth="1"/>
    <col min="9" max="19" width="9.140625" style="396"/>
    <col min="20" max="20" width="29.42578125" style="397" customWidth="1"/>
    <col min="21" max="21" width="11.42578125" style="397" customWidth="1"/>
    <col min="22" max="22" width="12.140625" style="397" customWidth="1"/>
    <col min="23" max="23" width="11.85546875" style="397" customWidth="1"/>
    <col min="24" max="24" width="12.42578125" style="397" customWidth="1"/>
    <col min="25" max="25" width="12.85546875" style="397" customWidth="1"/>
    <col min="26" max="26" width="5.140625" style="397" customWidth="1"/>
    <col min="27" max="32" width="9.85546875" style="397" customWidth="1"/>
    <col min="33" max="33" width="14.140625" style="396" bestFit="1" customWidth="1"/>
    <col min="34" max="34" width="11.42578125" style="396" bestFit="1" customWidth="1"/>
    <col min="35" max="35" width="17.140625" style="396" customWidth="1"/>
    <col min="36" max="36" width="13.42578125" style="396" customWidth="1"/>
    <col min="37" max="16384" width="9.140625" style="396"/>
  </cols>
  <sheetData>
    <row r="1" spans="1:33" ht="15" x14ac:dyDescent="0.25">
      <c r="A1" s="1"/>
    </row>
    <row r="2" spans="1:33" x14ac:dyDescent="0.25">
      <c r="B2" s="88"/>
      <c r="C2" s="88"/>
    </row>
    <row r="3" spans="1:33" ht="16.5" customHeight="1" x14ac:dyDescent="0.25">
      <c r="B3" s="88"/>
      <c r="C3" s="88"/>
    </row>
    <row r="4" spans="1:33" ht="16.5" customHeight="1" x14ac:dyDescent="0.25">
      <c r="B4" s="361"/>
      <c r="C4" s="361"/>
      <c r="T4" s="398"/>
    </row>
    <row r="5" spans="1:33" ht="16.5" customHeight="1" x14ac:dyDescent="0.25">
      <c r="B5" s="399" t="s">
        <v>897</v>
      </c>
      <c r="T5" s="400"/>
      <c r="U5" s="401"/>
      <c r="V5" s="402"/>
      <c r="W5" s="402"/>
      <c r="X5" s="402"/>
      <c r="Y5" s="402"/>
      <c r="AA5" s="402"/>
      <c r="AB5" s="402"/>
      <c r="AC5" s="402"/>
      <c r="AD5" s="403"/>
      <c r="AE5" s="403"/>
      <c r="AF5" s="404"/>
    </row>
    <row r="6" spans="1:33" ht="16.5" customHeight="1" thickBot="1" x14ac:dyDescent="0.3">
      <c r="B6" s="405" t="s">
        <v>898</v>
      </c>
      <c r="C6" s="405"/>
      <c r="D6" s="406"/>
      <c r="E6" s="407"/>
      <c r="F6" s="407"/>
      <c r="G6" s="407"/>
      <c r="H6" s="407"/>
      <c r="I6" s="407"/>
      <c r="J6" s="407"/>
      <c r="K6" s="407"/>
      <c r="L6" s="407"/>
      <c r="T6" s="408"/>
      <c r="U6" s="401"/>
      <c r="V6" s="402"/>
      <c r="W6" s="402"/>
      <c r="X6" s="402"/>
      <c r="Y6" s="402"/>
      <c r="Z6" s="409"/>
      <c r="AA6" s="402"/>
      <c r="AB6" s="402"/>
      <c r="AC6" s="402"/>
      <c r="AG6" s="88"/>
    </row>
    <row r="7" spans="1:33" s="413" customFormat="1" ht="33" customHeight="1" thickBot="1" x14ac:dyDescent="0.3">
      <c r="B7" s="410" t="s">
        <v>16</v>
      </c>
      <c r="C7" s="410"/>
      <c r="D7" s="411" t="s">
        <v>134</v>
      </c>
      <c r="E7" s="566" t="s">
        <v>891</v>
      </c>
      <c r="F7" s="567" t="s">
        <v>892</v>
      </c>
      <c r="G7" s="567" t="s">
        <v>893</v>
      </c>
      <c r="H7" s="568" t="s">
        <v>894</v>
      </c>
      <c r="I7" s="13" t="s">
        <v>895</v>
      </c>
      <c r="J7" s="111" t="s">
        <v>896</v>
      </c>
      <c r="K7" s="412"/>
      <c r="T7" s="414"/>
      <c r="U7" s="415"/>
      <c r="V7" s="415"/>
      <c r="W7" s="416"/>
      <c r="X7" s="415"/>
      <c r="Y7" s="417"/>
      <c r="Z7" s="415"/>
      <c r="AA7" s="415"/>
      <c r="AB7" s="415"/>
      <c r="AC7" s="415"/>
      <c r="AD7" s="415"/>
      <c r="AE7" s="415"/>
      <c r="AF7" s="415"/>
      <c r="AG7" s="92"/>
    </row>
    <row r="8" spans="1:33" ht="16.5" customHeight="1" thickBot="1" x14ac:dyDescent="0.3">
      <c r="B8" s="418"/>
      <c r="C8" s="418"/>
      <c r="D8" s="419"/>
      <c r="E8" s="7" t="s">
        <v>0</v>
      </c>
      <c r="F8" s="107" t="s">
        <v>0</v>
      </c>
      <c r="G8" s="107" t="s">
        <v>0</v>
      </c>
      <c r="H8" s="8" t="s">
        <v>0</v>
      </c>
      <c r="I8" s="8" t="s">
        <v>0</v>
      </c>
      <c r="J8" s="107" t="s">
        <v>0</v>
      </c>
      <c r="K8" s="420"/>
      <c r="AA8" s="291"/>
      <c r="AB8" s="291"/>
      <c r="AC8" s="291"/>
      <c r="AD8" s="291"/>
      <c r="AG8" s="88"/>
    </row>
    <row r="9" spans="1:33" ht="16.5" customHeight="1" x14ac:dyDescent="0.25">
      <c r="B9" s="421" t="s">
        <v>17</v>
      </c>
      <c r="C9" s="421" t="s">
        <v>446</v>
      </c>
      <c r="D9" s="422">
        <v>1</v>
      </c>
      <c r="E9" s="99">
        <v>5.4</v>
      </c>
      <c r="F9" s="19">
        <v>8.1953717223207736</v>
      </c>
      <c r="G9" s="19">
        <v>7.5547004339374597</v>
      </c>
      <c r="H9" s="20">
        <v>7.8421556151155647</v>
      </c>
      <c r="I9" s="10">
        <v>5.6</v>
      </c>
      <c r="J9" s="5">
        <v>5.8</v>
      </c>
      <c r="K9" s="420"/>
      <c r="T9" s="423"/>
      <c r="AA9" s="291"/>
      <c r="AB9" s="291"/>
      <c r="AC9" s="291"/>
      <c r="AD9" s="291"/>
      <c r="AG9" s="88"/>
    </row>
    <row r="10" spans="1:33" ht="16.5" customHeight="1" x14ac:dyDescent="0.25">
      <c r="B10" s="421" t="s">
        <v>18</v>
      </c>
      <c r="C10" s="421" t="s">
        <v>447</v>
      </c>
      <c r="D10" s="422">
        <v>2</v>
      </c>
      <c r="E10" s="99">
        <v>1.1000000000000001</v>
      </c>
      <c r="F10" s="19">
        <v>1.2011925053776003</v>
      </c>
      <c r="G10" s="19">
        <v>1.7579380243401468</v>
      </c>
      <c r="H10" s="20">
        <v>1.9195412543460619</v>
      </c>
      <c r="I10" s="10">
        <v>1.2</v>
      </c>
      <c r="J10" s="5">
        <v>1.2</v>
      </c>
      <c r="K10" s="420"/>
      <c r="T10" s="424"/>
      <c r="U10" s="424"/>
      <c r="V10" s="858"/>
      <c r="W10" s="858"/>
      <c r="X10" s="858"/>
      <c r="Y10" s="858"/>
      <c r="AA10" s="291"/>
      <c r="AB10" s="291"/>
      <c r="AC10" s="291"/>
      <c r="AD10" s="291"/>
      <c r="AG10" s="88"/>
    </row>
    <row r="11" spans="1:33" ht="16.5" customHeight="1" x14ac:dyDescent="0.25">
      <c r="B11" s="421" t="s">
        <v>19</v>
      </c>
      <c r="C11" s="421" t="s">
        <v>448</v>
      </c>
      <c r="D11" s="422">
        <v>3</v>
      </c>
      <c r="E11" s="9">
        <v>2.2999999999999998</v>
      </c>
      <c r="F11" s="19">
        <v>2.3768438317370437</v>
      </c>
      <c r="G11" s="19">
        <v>2.2386875455447135</v>
      </c>
      <c r="H11" s="20">
        <v>2.1104477725290276</v>
      </c>
      <c r="I11" s="10">
        <v>2</v>
      </c>
      <c r="J11" s="5">
        <v>1.7</v>
      </c>
      <c r="K11" s="420"/>
      <c r="T11" s="424"/>
      <c r="U11" s="424"/>
      <c r="Y11" s="425"/>
      <c r="AG11" s="88"/>
    </row>
    <row r="12" spans="1:33" ht="16.5" customHeight="1" x14ac:dyDescent="0.25">
      <c r="B12" s="421" t="s">
        <v>20</v>
      </c>
      <c r="C12" s="421" t="s">
        <v>449</v>
      </c>
      <c r="D12" s="422">
        <v>4</v>
      </c>
      <c r="E12" s="9">
        <v>5.0999999999999996</v>
      </c>
      <c r="F12" s="19">
        <v>5.2462955649114216</v>
      </c>
      <c r="G12" s="19">
        <v>4.9897245533350665</v>
      </c>
      <c r="H12" s="20">
        <v>3.5608628710096131</v>
      </c>
      <c r="I12" s="10">
        <v>6.3</v>
      </c>
      <c r="J12" s="5">
        <v>4.3</v>
      </c>
      <c r="K12" s="420"/>
      <c r="T12" s="425"/>
      <c r="U12" s="424"/>
      <c r="V12" s="426"/>
      <c r="W12" s="427"/>
      <c r="X12" s="428"/>
      <c r="Y12" s="428"/>
      <c r="AG12" s="88"/>
    </row>
    <row r="13" spans="1:33" ht="16.5" customHeight="1" x14ac:dyDescent="0.25">
      <c r="B13" s="421" t="s">
        <v>21</v>
      </c>
      <c r="C13" s="421" t="s">
        <v>450</v>
      </c>
      <c r="D13" s="422">
        <v>5</v>
      </c>
      <c r="E13" s="9">
        <v>0.8</v>
      </c>
      <c r="F13" s="19">
        <v>0.83813158642976271</v>
      </c>
      <c r="G13" s="19">
        <v>0.74058394151739415</v>
      </c>
      <c r="H13" s="20">
        <v>0.72142909773726815</v>
      </c>
      <c r="I13" s="10">
        <v>0.6</v>
      </c>
      <c r="J13" s="5">
        <v>0.8</v>
      </c>
      <c r="K13" s="420"/>
      <c r="T13" s="425"/>
      <c r="U13" s="424"/>
      <c r="V13" s="426"/>
      <c r="W13" s="427"/>
      <c r="X13" s="428"/>
      <c r="Y13" s="428"/>
      <c r="AG13" s="88"/>
    </row>
    <row r="14" spans="1:33" ht="16.5" customHeight="1" x14ac:dyDescent="0.25">
      <c r="B14" s="421" t="s">
        <v>22</v>
      </c>
      <c r="C14" s="421" t="s">
        <v>451</v>
      </c>
      <c r="D14" s="422">
        <v>6</v>
      </c>
      <c r="E14" s="9">
        <v>0.5</v>
      </c>
      <c r="F14" s="19">
        <v>0.46371050442317224</v>
      </c>
      <c r="G14" s="19">
        <v>0.48154941968155734</v>
      </c>
      <c r="H14" s="20">
        <v>0.41806330211830078</v>
      </c>
      <c r="I14" s="10">
        <v>0.7</v>
      </c>
      <c r="J14" s="5">
        <v>0.6</v>
      </c>
      <c r="K14" s="420"/>
      <c r="T14" s="425"/>
      <c r="U14" s="424"/>
      <c r="V14" s="426"/>
      <c r="W14" s="427"/>
      <c r="X14" s="428"/>
      <c r="Y14" s="428"/>
      <c r="AG14" s="88"/>
    </row>
    <row r="15" spans="1:33" ht="16.5" customHeight="1" x14ac:dyDescent="0.25">
      <c r="B15" s="421" t="s">
        <v>23</v>
      </c>
      <c r="C15" s="421" t="s">
        <v>452</v>
      </c>
      <c r="D15" s="422">
        <v>7</v>
      </c>
      <c r="E15" s="9">
        <v>7.7</v>
      </c>
      <c r="F15" s="19">
        <v>7.9527480513018469</v>
      </c>
      <c r="G15" s="19">
        <v>7.8644630947520664</v>
      </c>
      <c r="H15" s="20">
        <v>7.9274293265093654</v>
      </c>
      <c r="I15" s="10">
        <v>5.7</v>
      </c>
      <c r="J15" s="5">
        <v>7.2</v>
      </c>
      <c r="K15" s="420"/>
      <c r="T15" s="425"/>
      <c r="U15" s="424"/>
      <c r="V15" s="426"/>
      <c r="W15" s="427"/>
      <c r="X15" s="428"/>
      <c r="Y15" s="428"/>
      <c r="AG15" s="88"/>
    </row>
    <row r="16" spans="1:33" ht="16.5" customHeight="1" x14ac:dyDescent="0.25">
      <c r="B16" s="421" t="s">
        <v>24</v>
      </c>
      <c r="C16" s="421" t="s">
        <v>453</v>
      </c>
      <c r="D16" s="422">
        <v>8</v>
      </c>
      <c r="E16" s="9">
        <v>1.2</v>
      </c>
      <c r="F16" s="19">
        <v>1.0606748024031392</v>
      </c>
      <c r="G16" s="19">
        <v>0.9637064461096323</v>
      </c>
      <c r="H16" s="20">
        <v>0.97847899663510463</v>
      </c>
      <c r="I16" s="20">
        <v>1.9</v>
      </c>
      <c r="J16" s="5">
        <v>1.1000000000000001</v>
      </c>
      <c r="K16" s="420"/>
      <c r="T16" s="425"/>
      <c r="U16" s="424"/>
      <c r="V16" s="426"/>
      <c r="W16" s="427"/>
      <c r="X16" s="428"/>
      <c r="Y16" s="428"/>
      <c r="AG16" s="88"/>
    </row>
    <row r="17" spans="2:33" ht="16.5" customHeight="1" x14ac:dyDescent="0.25">
      <c r="B17" s="421" t="s">
        <v>25</v>
      </c>
      <c r="C17" s="421" t="s">
        <v>454</v>
      </c>
      <c r="D17" s="422">
        <v>9</v>
      </c>
      <c r="E17" s="99">
        <v>4.2</v>
      </c>
      <c r="F17" s="19">
        <v>4.452199415784972</v>
      </c>
      <c r="G17" s="19">
        <v>4.1294728143088015</v>
      </c>
      <c r="H17" s="20">
        <v>3.7457612417145305</v>
      </c>
      <c r="I17" s="10">
        <v>4.9000000000000004</v>
      </c>
      <c r="J17" s="5">
        <v>4.5999999999999996</v>
      </c>
      <c r="K17" s="420"/>
      <c r="T17" s="425"/>
      <c r="U17" s="424"/>
      <c r="V17" s="426"/>
      <c r="W17" s="427"/>
      <c r="X17" s="428"/>
      <c r="Y17" s="428"/>
      <c r="AB17" s="291"/>
      <c r="AC17" s="291"/>
      <c r="AD17" s="291"/>
      <c r="AE17" s="291"/>
      <c r="AG17" s="88"/>
    </row>
    <row r="18" spans="2:33" ht="16.5" customHeight="1" thickBot="1" x14ac:dyDescent="0.3">
      <c r="B18" s="429" t="s">
        <v>26</v>
      </c>
      <c r="C18" s="429" t="s">
        <v>455</v>
      </c>
      <c r="D18" s="419">
        <v>10</v>
      </c>
      <c r="E18" s="11">
        <v>14.4</v>
      </c>
      <c r="F18" s="256">
        <v>15.009765864755767</v>
      </c>
      <c r="G18" s="256">
        <v>14.546590192157652</v>
      </c>
      <c r="H18" s="445">
        <v>14.713408762705182</v>
      </c>
      <c r="I18" s="12">
        <v>14</v>
      </c>
      <c r="J18" s="6">
        <v>19.8</v>
      </c>
      <c r="K18" s="420"/>
      <c r="T18" s="425"/>
      <c r="U18" s="424"/>
      <c r="V18" s="426"/>
      <c r="W18" s="427"/>
      <c r="X18" s="428"/>
      <c r="Y18" s="428"/>
      <c r="AB18" s="291"/>
      <c r="AC18" s="291"/>
      <c r="AD18" s="291"/>
      <c r="AE18" s="291"/>
      <c r="AG18" s="88"/>
    </row>
    <row r="19" spans="2:33" ht="16.5" customHeight="1" thickBot="1" x14ac:dyDescent="0.3">
      <c r="B19" s="14" t="s">
        <v>27</v>
      </c>
      <c r="C19" s="14" t="s">
        <v>403</v>
      </c>
      <c r="D19" s="15" t="s">
        <v>28</v>
      </c>
      <c r="E19" s="16">
        <v>42.7</v>
      </c>
      <c r="F19" s="18">
        <v>46.796933849445495</v>
      </c>
      <c r="G19" s="18">
        <v>45.267416465684491</v>
      </c>
      <c r="H19" s="100">
        <v>43.937578240420024</v>
      </c>
      <c r="I19" s="100">
        <v>42.9</v>
      </c>
      <c r="J19" s="18">
        <v>47</v>
      </c>
      <c r="L19" s="430"/>
      <c r="M19" s="430"/>
      <c r="T19" s="425"/>
      <c r="U19" s="424"/>
      <c r="V19" s="426"/>
      <c r="W19" s="427"/>
      <c r="X19" s="428"/>
      <c r="Y19" s="428"/>
      <c r="AB19" s="291"/>
      <c r="AC19" s="291"/>
      <c r="AD19" s="291"/>
      <c r="AE19" s="291"/>
      <c r="AG19" s="88"/>
    </row>
    <row r="20" spans="2:33" x14ac:dyDescent="0.25">
      <c r="B20" s="857" t="s">
        <v>899</v>
      </c>
      <c r="C20" s="857"/>
      <c r="D20" s="857"/>
      <c r="E20" s="857"/>
      <c r="F20" s="857"/>
      <c r="G20" s="857"/>
      <c r="H20" s="857"/>
      <c r="I20" s="857"/>
      <c r="J20" s="857"/>
      <c r="K20" s="431"/>
      <c r="T20" s="432"/>
      <c r="U20" s="433"/>
      <c r="V20" s="426"/>
      <c r="W20" s="427"/>
      <c r="X20" s="428"/>
      <c r="Y20" s="428"/>
      <c r="AB20" s="291"/>
      <c r="AC20" s="291"/>
      <c r="AD20" s="291"/>
      <c r="AE20" s="291"/>
    </row>
    <row r="21" spans="2:33" x14ac:dyDescent="0.25">
      <c r="B21" s="857"/>
      <c r="C21" s="857"/>
      <c r="D21" s="857"/>
      <c r="E21" s="857"/>
      <c r="F21" s="857"/>
      <c r="G21" s="857"/>
      <c r="H21" s="857"/>
      <c r="I21" s="857"/>
      <c r="J21" s="857"/>
      <c r="K21" s="431"/>
      <c r="AB21" s="291"/>
      <c r="AC21" s="291"/>
      <c r="AD21" s="291"/>
      <c r="AE21" s="291"/>
    </row>
    <row r="22" spans="2:33" x14ac:dyDescent="0.25">
      <c r="B22" s="857"/>
      <c r="C22" s="857"/>
      <c r="D22" s="857"/>
      <c r="E22" s="857"/>
      <c r="F22" s="857"/>
      <c r="G22" s="857"/>
      <c r="H22" s="857"/>
      <c r="I22" s="857"/>
      <c r="J22" s="857"/>
      <c r="T22" s="432"/>
      <c r="U22" s="434"/>
      <c r="W22" s="434"/>
      <c r="AB22" s="291"/>
      <c r="AC22" s="291"/>
      <c r="AD22" s="291"/>
      <c r="AE22" s="291"/>
    </row>
    <row r="23" spans="2:33" x14ac:dyDescent="0.25">
      <c r="B23" s="857"/>
      <c r="C23" s="857"/>
      <c r="D23" s="857"/>
      <c r="E23" s="857"/>
      <c r="F23" s="857"/>
      <c r="G23" s="857"/>
      <c r="H23" s="857"/>
      <c r="I23" s="857"/>
      <c r="J23" s="857"/>
      <c r="T23" s="398"/>
      <c r="U23" s="435"/>
      <c r="AB23" s="291"/>
      <c r="AC23" s="291"/>
      <c r="AD23" s="291"/>
      <c r="AE23" s="291"/>
    </row>
    <row r="24" spans="2:33" x14ac:dyDescent="0.25">
      <c r="B24" s="857"/>
      <c r="C24" s="857"/>
      <c r="D24" s="857"/>
      <c r="E24" s="857"/>
      <c r="F24" s="857"/>
      <c r="G24" s="857"/>
      <c r="H24" s="857"/>
      <c r="I24" s="857"/>
      <c r="J24" s="857"/>
      <c r="T24" s="436"/>
      <c r="U24" s="427"/>
      <c r="V24" s="437"/>
      <c r="AB24" s="291"/>
      <c r="AC24" s="291"/>
      <c r="AD24" s="291"/>
      <c r="AE24" s="291"/>
    </row>
    <row r="25" spans="2:33" x14ac:dyDescent="0.25">
      <c r="B25" s="857"/>
      <c r="C25" s="857"/>
      <c r="D25" s="857"/>
      <c r="E25" s="857"/>
      <c r="F25" s="857"/>
      <c r="G25" s="857"/>
      <c r="H25" s="857"/>
      <c r="I25" s="857"/>
      <c r="J25" s="857"/>
      <c r="T25" s="436"/>
      <c r="U25" s="427"/>
      <c r="V25" s="437"/>
    </row>
    <row r="26" spans="2:33" x14ac:dyDescent="0.25">
      <c r="B26" s="430" t="s">
        <v>133</v>
      </c>
      <c r="C26" s="430"/>
      <c r="T26" s="436"/>
      <c r="U26" s="427"/>
      <c r="V26" s="437"/>
    </row>
    <row r="27" spans="2:33" x14ac:dyDescent="0.25">
      <c r="T27" s="436"/>
      <c r="U27" s="427"/>
      <c r="V27" s="437"/>
    </row>
    <row r="28" spans="2:33" x14ac:dyDescent="0.25">
      <c r="T28" s="436"/>
      <c r="U28" s="427"/>
      <c r="V28" s="437"/>
    </row>
    <row r="29" spans="2:33" x14ac:dyDescent="0.25">
      <c r="T29" s="436"/>
      <c r="U29" s="427"/>
      <c r="V29" s="437"/>
    </row>
    <row r="30" spans="2:33" x14ac:dyDescent="0.25">
      <c r="T30" s="436"/>
      <c r="U30" s="427"/>
      <c r="V30" s="437"/>
    </row>
    <row r="31" spans="2:33" x14ac:dyDescent="0.25">
      <c r="T31" s="436"/>
      <c r="U31" s="427"/>
      <c r="V31" s="437"/>
    </row>
    <row r="32" spans="2:33" x14ac:dyDescent="0.25">
      <c r="T32" s="436"/>
      <c r="U32" s="427"/>
      <c r="V32" s="437"/>
    </row>
    <row r="33" spans="19:34" x14ac:dyDescent="0.25">
      <c r="T33" s="436"/>
      <c r="U33" s="427"/>
      <c r="V33" s="437"/>
    </row>
    <row r="34" spans="19:34" x14ac:dyDescent="0.25">
      <c r="T34" s="291"/>
      <c r="U34" s="291"/>
    </row>
    <row r="35" spans="19:34" x14ac:dyDescent="0.25">
      <c r="T35" s="291"/>
      <c r="U35" s="291"/>
    </row>
    <row r="36" spans="19:34" x14ac:dyDescent="0.25">
      <c r="T36" s="291"/>
      <c r="U36" s="291"/>
    </row>
    <row r="37" spans="19:34" x14ac:dyDescent="0.25">
      <c r="T37" s="291"/>
      <c r="U37" s="291"/>
    </row>
    <row r="38" spans="19:34" x14ac:dyDescent="0.25">
      <c r="T38" s="291"/>
      <c r="U38" s="291"/>
    </row>
    <row r="39" spans="19:34" x14ac:dyDescent="0.25">
      <c r="T39" s="291"/>
      <c r="U39" s="291"/>
    </row>
    <row r="43" spans="19:34" x14ac:dyDescent="0.25">
      <c r="S43" s="88"/>
      <c r="AG43" s="438"/>
      <c r="AH43" s="438"/>
    </row>
    <row r="44" spans="19:34" x14ac:dyDescent="0.25">
      <c r="S44" s="88"/>
    </row>
    <row r="45" spans="19:34" x14ac:dyDescent="0.25">
      <c r="S45" s="88"/>
    </row>
    <row r="46" spans="19:34" x14ac:dyDescent="0.25">
      <c r="S46" s="88"/>
    </row>
    <row r="47" spans="19:34" x14ac:dyDescent="0.25">
      <c r="S47" s="88"/>
    </row>
    <row r="48" spans="19:34" x14ac:dyDescent="0.25">
      <c r="S48" s="88"/>
    </row>
    <row r="49" spans="19:19" x14ac:dyDescent="0.25">
      <c r="S49" s="88"/>
    </row>
    <row r="50" spans="19:19" x14ac:dyDescent="0.25">
      <c r="S50" s="88"/>
    </row>
    <row r="51" spans="19:19" x14ac:dyDescent="0.25">
      <c r="S51" s="88"/>
    </row>
    <row r="52" spans="19:19" x14ac:dyDescent="0.25">
      <c r="S52" s="88"/>
    </row>
    <row r="53" spans="19:19" x14ac:dyDescent="0.25">
      <c r="S53" s="88"/>
    </row>
  </sheetData>
  <mergeCells count="3">
    <mergeCell ref="B20:J25"/>
    <mergeCell ref="X10:Y10"/>
    <mergeCell ref="V10:W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8"/>
  <sheetViews>
    <sheetView showGridLines="0" workbookViewId="0">
      <selection activeCell="A3" sqref="A3"/>
    </sheetView>
  </sheetViews>
  <sheetFormatPr defaultColWidth="9.140625" defaultRowHeight="13.5" x14ac:dyDescent="0.25"/>
  <cols>
    <col min="1" max="1" width="34.85546875" style="88" customWidth="1"/>
    <col min="2" max="7" width="7.5703125" style="88" customWidth="1"/>
    <col min="8" max="8" width="2" style="88" customWidth="1"/>
    <col min="9" max="9" width="2.5703125" style="88" customWidth="1"/>
    <col min="10" max="10" width="28.85546875" style="88" customWidth="1"/>
    <col min="11" max="16" width="8.140625" style="88" customWidth="1"/>
    <col min="17" max="16384" width="9.140625" style="88"/>
  </cols>
  <sheetData>
    <row r="3" spans="1:16" x14ac:dyDescent="0.25">
      <c r="A3" s="227"/>
    </row>
    <row r="4" spans="1:16" ht="14.25" thickBot="1" x14ac:dyDescent="0.3">
      <c r="A4" s="596" t="s">
        <v>963</v>
      </c>
      <c r="B4" s="491"/>
      <c r="C4" s="491"/>
      <c r="D4" s="491"/>
      <c r="E4" s="491"/>
      <c r="H4" s="94"/>
      <c r="I4" s="94"/>
      <c r="J4" s="596" t="s">
        <v>964</v>
      </c>
      <c r="K4" s="491"/>
      <c r="L4" s="491"/>
      <c r="M4" s="491"/>
      <c r="N4" s="491"/>
      <c r="O4" s="491"/>
      <c r="P4" s="491"/>
    </row>
    <row r="19" spans="1:16" ht="14.25" thickBot="1" x14ac:dyDescent="0.3">
      <c r="A19" s="804" t="s">
        <v>965</v>
      </c>
      <c r="B19" s="804"/>
      <c r="C19" s="804"/>
      <c r="D19" s="804"/>
      <c r="E19" s="804"/>
      <c r="F19" s="804"/>
      <c r="G19" s="804"/>
      <c r="J19" s="805" t="s">
        <v>966</v>
      </c>
      <c r="K19" s="805"/>
      <c r="L19" s="805"/>
      <c r="M19" s="805"/>
      <c r="N19" s="805"/>
      <c r="O19" s="805"/>
      <c r="P19" s="805"/>
    </row>
    <row r="20" spans="1:16" ht="14.25" thickBot="1" x14ac:dyDescent="0.3">
      <c r="A20" s="597"/>
      <c r="B20" s="598">
        <v>2019</v>
      </c>
      <c r="C20" s="598">
        <v>2020</v>
      </c>
      <c r="D20" s="598">
        <v>2021</v>
      </c>
      <c r="E20" s="598">
        <v>2022</v>
      </c>
      <c r="F20" s="598">
        <v>2023</v>
      </c>
      <c r="G20" s="598">
        <v>2024</v>
      </c>
      <c r="J20" s="599"/>
      <c r="K20" s="600">
        <f t="shared" ref="K20:P20" si="0">B20</f>
        <v>2019</v>
      </c>
      <c r="L20" s="600">
        <f t="shared" si="0"/>
        <v>2020</v>
      </c>
      <c r="M20" s="600">
        <f t="shared" si="0"/>
        <v>2021</v>
      </c>
      <c r="N20" s="600">
        <f t="shared" si="0"/>
        <v>2022</v>
      </c>
      <c r="O20" s="600">
        <f t="shared" si="0"/>
        <v>2023</v>
      </c>
      <c r="P20" s="600">
        <f t="shared" si="0"/>
        <v>2024</v>
      </c>
    </row>
    <row r="21" spans="1:16" x14ac:dyDescent="0.25">
      <c r="A21" s="601" t="s">
        <v>310</v>
      </c>
      <c r="B21" s="332">
        <v>-1.331659961458199</v>
      </c>
      <c r="C21" s="332">
        <v>-5.4972654915000234</v>
      </c>
      <c r="D21" s="332">
        <v>-7.92</v>
      </c>
      <c r="E21" s="332">
        <v>-4.9400000000000004</v>
      </c>
      <c r="F21" s="332">
        <v>-2.6760906917588114</v>
      </c>
      <c r="G21" s="332">
        <v>-2.5997988270923895</v>
      </c>
      <c r="J21" s="81" t="s">
        <v>368</v>
      </c>
      <c r="K21" s="628">
        <v>48.142443340627871</v>
      </c>
      <c r="L21" s="628">
        <v>59.741737913534124</v>
      </c>
      <c r="M21" s="628">
        <v>61.538863309792049</v>
      </c>
      <c r="N21" s="628">
        <v>61.480978780764936</v>
      </c>
      <c r="O21" s="628">
        <v>58.606269959583145</v>
      </c>
      <c r="P21" s="628">
        <v>58.688496979061455</v>
      </c>
    </row>
    <row r="22" spans="1:16" ht="14.25" thickBot="1" x14ac:dyDescent="0.3">
      <c r="A22" s="602" t="s">
        <v>4</v>
      </c>
      <c r="B22" s="603">
        <v>-2.034494137395904</v>
      </c>
      <c r="C22" s="603">
        <v>-2.4356621546077144</v>
      </c>
      <c r="D22" s="603">
        <v>-4.2757747817135785</v>
      </c>
      <c r="E22" s="603">
        <v>-4.0771795915916851</v>
      </c>
      <c r="F22" s="603">
        <v>-3.0767713629137114</v>
      </c>
      <c r="G22" s="603">
        <v>-2.0767713629137114</v>
      </c>
      <c r="H22" s="604"/>
      <c r="J22" s="88" t="s">
        <v>293</v>
      </c>
      <c r="K22" s="472">
        <f t="shared" ref="K22:P22" si="1">K21-K23</f>
        <v>4.8918620126802637</v>
      </c>
      <c r="L22" s="472">
        <f t="shared" si="1"/>
        <v>10.080012269430554</v>
      </c>
      <c r="M22" s="472">
        <f t="shared" si="1"/>
        <v>6.004766082767631</v>
      </c>
      <c r="N22" s="472">
        <f t="shared" si="1"/>
        <v>5.8595971012867025</v>
      </c>
      <c r="O22" s="472">
        <f t="shared" si="1"/>
        <v>4.5852871293209461</v>
      </c>
      <c r="P22" s="472">
        <f t="shared" si="1"/>
        <v>3.9349158204018835</v>
      </c>
    </row>
    <row r="23" spans="1:16" ht="14.25" thickBot="1" x14ac:dyDescent="0.3">
      <c r="A23" s="605" t="s">
        <v>7</v>
      </c>
      <c r="B23" s="604">
        <v>-0.42022344974479364</v>
      </c>
      <c r="C23" s="604">
        <v>-0.40116801721181039</v>
      </c>
      <c r="D23" s="604">
        <v>-1.8401126271058641</v>
      </c>
      <c r="E23" s="604">
        <v>0.19859519012189342</v>
      </c>
      <c r="F23" s="604">
        <v>1.0004082286779736</v>
      </c>
      <c r="G23" s="604">
        <v>1</v>
      </c>
      <c r="J23" s="606" t="s">
        <v>967</v>
      </c>
      <c r="K23" s="629">
        <v>43.250581327947607</v>
      </c>
      <c r="L23" s="629">
        <v>49.661725644103569</v>
      </c>
      <c r="M23" s="629">
        <v>55.534097227024418</v>
      </c>
      <c r="N23" s="629">
        <v>55.621381679478233</v>
      </c>
      <c r="O23" s="629">
        <v>54.020982830262199</v>
      </c>
      <c r="P23" s="629">
        <v>54.753581158659571</v>
      </c>
    </row>
    <row r="24" spans="1:16" ht="14.25" thickBot="1" x14ac:dyDescent="0.3">
      <c r="A24" s="607"/>
      <c r="B24" s="603"/>
      <c r="C24" s="603"/>
      <c r="D24" s="608"/>
      <c r="E24" s="603"/>
      <c r="F24" s="603"/>
      <c r="G24" s="603"/>
      <c r="J24" s="609" t="s">
        <v>968</v>
      </c>
      <c r="K24" s="610">
        <v>58</v>
      </c>
      <c r="L24" s="610">
        <v>57</v>
      </c>
      <c r="M24" s="610">
        <f t="shared" ref="M24:P28" si="2">L24-1</f>
        <v>56</v>
      </c>
      <c r="N24" s="610">
        <f t="shared" si="2"/>
        <v>55</v>
      </c>
      <c r="O24" s="610">
        <f t="shared" si="2"/>
        <v>54</v>
      </c>
      <c r="P24" s="610">
        <f t="shared" si="2"/>
        <v>53</v>
      </c>
    </row>
    <row r="25" spans="1:16" x14ac:dyDescent="0.25">
      <c r="A25" s="112"/>
      <c r="B25" s="255"/>
      <c r="C25" s="255"/>
      <c r="D25" s="611"/>
      <c r="E25" s="255"/>
      <c r="F25" s="255"/>
      <c r="G25" s="255"/>
      <c r="J25" s="88" t="s">
        <v>969</v>
      </c>
      <c r="K25" s="249">
        <v>55</v>
      </c>
      <c r="L25" s="249">
        <v>54</v>
      </c>
      <c r="M25" s="610">
        <f t="shared" si="2"/>
        <v>53</v>
      </c>
      <c r="N25" s="610">
        <f t="shared" si="2"/>
        <v>52</v>
      </c>
      <c r="O25" s="610">
        <f t="shared" si="2"/>
        <v>51</v>
      </c>
      <c r="P25" s="610">
        <f t="shared" si="2"/>
        <v>50</v>
      </c>
    </row>
    <row r="26" spans="1:16" x14ac:dyDescent="0.25">
      <c r="A26" s="612"/>
      <c r="B26" s="613"/>
      <c r="C26" s="613"/>
      <c r="D26" s="614"/>
      <c r="E26" s="613"/>
      <c r="F26" s="613"/>
      <c r="G26" s="613"/>
      <c r="J26" s="88" t="s">
        <v>970</v>
      </c>
      <c r="K26" s="249">
        <v>53</v>
      </c>
      <c r="L26" s="249">
        <v>52</v>
      </c>
      <c r="M26" s="610">
        <f t="shared" si="2"/>
        <v>51</v>
      </c>
      <c r="N26" s="610">
        <f t="shared" si="2"/>
        <v>50</v>
      </c>
      <c r="O26" s="610">
        <f t="shared" si="2"/>
        <v>49</v>
      </c>
      <c r="P26" s="610">
        <f t="shared" si="2"/>
        <v>48</v>
      </c>
    </row>
    <row r="27" spans="1:16" x14ac:dyDescent="0.25">
      <c r="A27" s="546"/>
      <c r="B27" s="615"/>
      <c r="C27" s="615"/>
      <c r="D27" s="616"/>
      <c r="E27" s="615"/>
      <c r="F27" s="806" t="s">
        <v>971</v>
      </c>
      <c r="G27" s="806"/>
      <c r="J27" s="88" t="s">
        <v>972</v>
      </c>
      <c r="K27" s="249">
        <v>51</v>
      </c>
      <c r="L27" s="249">
        <v>50</v>
      </c>
      <c r="M27" s="610">
        <f t="shared" si="2"/>
        <v>49</v>
      </c>
      <c r="N27" s="610">
        <f t="shared" si="2"/>
        <v>48</v>
      </c>
      <c r="O27" s="610">
        <f t="shared" si="2"/>
        <v>47</v>
      </c>
      <c r="P27" s="610">
        <f t="shared" si="2"/>
        <v>46</v>
      </c>
    </row>
    <row r="28" spans="1:16" x14ac:dyDescent="0.25">
      <c r="A28" s="546"/>
      <c r="B28" s="615"/>
      <c r="C28" s="615"/>
      <c r="D28" s="616"/>
      <c r="E28" s="615"/>
      <c r="F28" s="615"/>
      <c r="G28" s="615"/>
      <c r="J28" s="617" t="s">
        <v>973</v>
      </c>
      <c r="K28" s="618">
        <v>48</v>
      </c>
      <c r="L28" s="618">
        <v>47</v>
      </c>
      <c r="M28" s="618">
        <f t="shared" si="2"/>
        <v>46</v>
      </c>
      <c r="N28" s="618">
        <f t="shared" si="2"/>
        <v>45</v>
      </c>
      <c r="O28" s="618">
        <f t="shared" si="2"/>
        <v>44</v>
      </c>
      <c r="P28" s="618">
        <f t="shared" si="2"/>
        <v>43</v>
      </c>
    </row>
    <row r="29" spans="1:16" x14ac:dyDescent="0.25">
      <c r="J29" s="619"/>
      <c r="K29" s="620"/>
      <c r="L29" s="620"/>
      <c r="M29" s="620"/>
      <c r="N29" s="620"/>
      <c r="O29" s="621" t="s">
        <v>971</v>
      </c>
      <c r="P29" s="621"/>
    </row>
    <row r="31" spans="1:16" ht="14.25" thickBot="1" x14ac:dyDescent="0.3">
      <c r="A31" s="596" t="s">
        <v>974</v>
      </c>
      <c r="B31" s="491"/>
      <c r="C31" s="491"/>
      <c r="D31" s="491"/>
      <c r="E31" s="491"/>
      <c r="F31" s="615"/>
      <c r="G31" s="615"/>
      <c r="J31" s="596" t="s">
        <v>975</v>
      </c>
      <c r="K31" s="491"/>
      <c r="L31" s="491"/>
      <c r="M31" s="491"/>
      <c r="N31" s="491"/>
      <c r="O31" s="491"/>
      <c r="P31" s="491"/>
    </row>
    <row r="32" spans="1:16" x14ac:dyDescent="0.25">
      <c r="A32" s="546"/>
      <c r="B32" s="615"/>
      <c r="C32" s="615"/>
      <c r="D32" s="616"/>
      <c r="E32" s="615"/>
      <c r="F32" s="615"/>
      <c r="G32" s="615"/>
      <c r="J32" s="619"/>
      <c r="K32" s="620"/>
      <c r="L32" s="620"/>
      <c r="M32" s="620"/>
      <c r="N32" s="620"/>
      <c r="O32" s="620"/>
      <c r="P32" s="620"/>
    </row>
    <row r="33" spans="1:16" x14ac:dyDescent="0.25">
      <c r="A33" s="546"/>
      <c r="B33" s="615"/>
      <c r="C33" s="615"/>
      <c r="D33" s="616"/>
      <c r="E33" s="615"/>
      <c r="F33" s="615"/>
      <c r="G33" s="615"/>
      <c r="J33" s="619"/>
      <c r="K33" s="620"/>
      <c r="L33" s="620"/>
      <c r="M33" s="620"/>
      <c r="N33" s="620"/>
      <c r="O33" s="620"/>
      <c r="P33" s="620"/>
    </row>
    <row r="34" spans="1:16" x14ac:dyDescent="0.25">
      <c r="A34" s="546"/>
      <c r="B34" s="615"/>
      <c r="C34" s="615"/>
      <c r="D34" s="616"/>
      <c r="E34" s="615"/>
      <c r="F34" s="615"/>
      <c r="G34" s="615"/>
      <c r="J34" s="619"/>
      <c r="K34" s="620"/>
      <c r="L34" s="620"/>
      <c r="M34" s="620"/>
      <c r="N34" s="620"/>
      <c r="O34" s="620"/>
      <c r="P34" s="620"/>
    </row>
    <row r="35" spans="1:16" x14ac:dyDescent="0.25">
      <c r="A35" s="546"/>
      <c r="B35" s="615"/>
      <c r="C35" s="615"/>
      <c r="D35" s="616"/>
      <c r="E35" s="615"/>
      <c r="F35" s="615"/>
      <c r="G35" s="615"/>
      <c r="J35" s="619"/>
      <c r="K35" s="620"/>
      <c r="L35" s="620"/>
      <c r="M35" s="620"/>
      <c r="N35" s="620"/>
      <c r="O35" s="620"/>
      <c r="P35" s="620"/>
    </row>
    <row r="36" spans="1:16" x14ac:dyDescent="0.25">
      <c r="A36" s="546"/>
      <c r="B36" s="615"/>
      <c r="C36" s="615"/>
      <c r="D36" s="616"/>
      <c r="E36" s="615"/>
      <c r="F36" s="615"/>
      <c r="G36" s="615"/>
      <c r="J36" s="619"/>
      <c r="K36" s="620"/>
      <c r="L36" s="620"/>
      <c r="M36" s="620"/>
      <c r="N36" s="620"/>
      <c r="O36" s="620"/>
      <c r="P36" s="620"/>
    </row>
    <row r="37" spans="1:16" x14ac:dyDescent="0.25">
      <c r="A37" s="546"/>
      <c r="B37" s="615"/>
      <c r="C37" s="615"/>
      <c r="D37" s="616"/>
      <c r="E37" s="615"/>
      <c r="F37" s="615"/>
      <c r="G37" s="615"/>
      <c r="J37" s="619"/>
      <c r="K37" s="620"/>
      <c r="L37" s="620"/>
      <c r="M37" s="620"/>
      <c r="N37" s="620"/>
      <c r="O37" s="620"/>
      <c r="P37" s="620"/>
    </row>
    <row r="38" spans="1:16" x14ac:dyDescent="0.25">
      <c r="A38" s="546"/>
      <c r="B38" s="615"/>
      <c r="C38" s="615"/>
      <c r="D38" s="616"/>
      <c r="E38" s="615"/>
      <c r="F38" s="615"/>
      <c r="G38" s="615"/>
      <c r="J38" s="619"/>
      <c r="K38" s="620"/>
      <c r="L38" s="620"/>
      <c r="M38" s="620"/>
      <c r="N38" s="620"/>
      <c r="O38" s="620"/>
      <c r="P38" s="620"/>
    </row>
    <row r="39" spans="1:16" x14ac:dyDescent="0.25">
      <c r="A39" s="546"/>
      <c r="B39" s="615"/>
      <c r="C39" s="615"/>
      <c r="D39" s="616"/>
      <c r="E39" s="615"/>
      <c r="F39" s="615"/>
      <c r="G39" s="615"/>
      <c r="J39" s="619"/>
      <c r="K39" s="620"/>
      <c r="L39" s="620"/>
      <c r="M39" s="620"/>
      <c r="N39" s="620"/>
      <c r="O39" s="620"/>
      <c r="P39" s="620"/>
    </row>
    <row r="40" spans="1:16" x14ac:dyDescent="0.25">
      <c r="A40" s="546"/>
      <c r="B40" s="615"/>
      <c r="C40" s="615"/>
      <c r="D40" s="616"/>
      <c r="E40" s="615"/>
      <c r="F40" s="615"/>
      <c r="G40" s="615"/>
      <c r="J40" s="619"/>
      <c r="K40" s="620"/>
      <c r="L40" s="620"/>
      <c r="M40" s="620"/>
      <c r="N40" s="620"/>
      <c r="O40" s="620"/>
      <c r="P40" s="620"/>
    </row>
    <row r="41" spans="1:16" x14ac:dyDescent="0.25">
      <c r="A41" s="546"/>
      <c r="B41" s="615"/>
      <c r="C41" s="615"/>
      <c r="D41" s="616"/>
      <c r="E41" s="615"/>
      <c r="F41" s="615"/>
      <c r="G41" s="615"/>
      <c r="J41" s="619"/>
      <c r="K41" s="620"/>
      <c r="L41" s="620"/>
      <c r="M41" s="620"/>
      <c r="N41" s="620"/>
      <c r="O41" s="620"/>
      <c r="P41" s="620"/>
    </row>
    <row r="42" spans="1:16" x14ac:dyDescent="0.25">
      <c r="A42" s="546"/>
      <c r="B42" s="615"/>
      <c r="C42" s="615"/>
      <c r="D42" s="616"/>
      <c r="E42" s="615"/>
      <c r="F42" s="615"/>
      <c r="G42" s="615"/>
      <c r="J42" s="619"/>
      <c r="K42" s="620"/>
      <c r="L42" s="620"/>
      <c r="M42" s="620"/>
      <c r="N42" s="620"/>
      <c r="O42" s="620"/>
      <c r="P42" s="620"/>
    </row>
    <row r="43" spans="1:16" x14ac:dyDescent="0.25">
      <c r="A43" s="546"/>
      <c r="B43" s="615"/>
      <c r="C43" s="615"/>
      <c r="D43" s="616"/>
      <c r="E43" s="615"/>
      <c r="F43" s="615"/>
      <c r="G43" s="615"/>
      <c r="J43" s="619"/>
      <c r="K43" s="620"/>
      <c r="L43" s="620"/>
      <c r="M43" s="620"/>
      <c r="N43" s="620"/>
      <c r="O43" s="620"/>
      <c r="P43" s="620"/>
    </row>
    <row r="44" spans="1:16" x14ac:dyDescent="0.25">
      <c r="A44" s="546"/>
      <c r="B44" s="615"/>
      <c r="C44" s="615"/>
      <c r="D44" s="615"/>
      <c r="E44" s="615"/>
      <c r="F44" s="615"/>
      <c r="G44" s="615"/>
      <c r="J44" s="619"/>
      <c r="K44" s="620"/>
      <c r="L44" s="620"/>
      <c r="M44" s="620"/>
      <c r="N44" s="620"/>
      <c r="O44" s="620"/>
      <c r="P44" s="620"/>
    </row>
    <row r="45" spans="1:16" ht="14.25" customHeight="1" x14ac:dyDescent="0.25">
      <c r="A45" s="546"/>
      <c r="B45" s="615"/>
      <c r="C45" s="615"/>
      <c r="D45" s="615"/>
      <c r="E45" s="615"/>
      <c r="F45" s="615"/>
      <c r="G45" s="615"/>
      <c r="J45" s="619"/>
      <c r="K45" s="620"/>
      <c r="L45" s="620"/>
      <c r="M45" s="620"/>
      <c r="N45" s="620"/>
      <c r="O45" s="620"/>
      <c r="P45" s="620"/>
    </row>
    <row r="46" spans="1:16" ht="15.75" customHeight="1" x14ac:dyDescent="0.25">
      <c r="A46" s="546"/>
      <c r="B46" s="615"/>
      <c r="C46" s="615"/>
      <c r="D46" s="615"/>
      <c r="E46" s="615"/>
      <c r="F46" s="615"/>
      <c r="G46" s="615"/>
      <c r="J46" s="619"/>
      <c r="K46" s="620"/>
      <c r="L46" s="620"/>
      <c r="M46" s="620"/>
      <c r="N46" s="620"/>
      <c r="O46" s="620"/>
      <c r="P46" s="620"/>
    </row>
    <row r="47" spans="1:16" ht="27.75" thickBot="1" x14ac:dyDescent="0.3">
      <c r="A47" s="622" t="s">
        <v>976</v>
      </c>
      <c r="B47" s="622"/>
      <c r="C47" s="622"/>
      <c r="D47" s="622"/>
      <c r="E47" s="622"/>
      <c r="F47" s="622"/>
      <c r="G47" s="622"/>
      <c r="J47" s="623" t="s">
        <v>977</v>
      </c>
      <c r="K47" s="623"/>
      <c r="L47" s="623"/>
      <c r="M47" s="623"/>
      <c r="N47" s="623"/>
      <c r="O47" s="623"/>
      <c r="P47" s="623"/>
    </row>
    <row r="48" spans="1:16" ht="14.25" thickBot="1" x14ac:dyDescent="0.3">
      <c r="A48" s="597"/>
      <c r="B48" s="624">
        <f t="shared" ref="B48:G51" si="3">B20</f>
        <v>2019</v>
      </c>
      <c r="C48" s="624">
        <f t="shared" si="3"/>
        <v>2020</v>
      </c>
      <c r="D48" s="624">
        <f t="shared" si="3"/>
        <v>2021</v>
      </c>
      <c r="E48" s="624">
        <f t="shared" si="3"/>
        <v>2022</v>
      </c>
      <c r="F48" s="624">
        <f t="shared" si="3"/>
        <v>2023</v>
      </c>
      <c r="G48" s="624">
        <f t="shared" si="3"/>
        <v>2024</v>
      </c>
      <c r="J48" s="490"/>
      <c r="K48" s="625">
        <f t="shared" ref="K48:P49" si="4">K20</f>
        <v>2019</v>
      </c>
      <c r="L48" s="625">
        <f t="shared" si="4"/>
        <v>2020</v>
      </c>
      <c r="M48" s="625">
        <f t="shared" si="4"/>
        <v>2021</v>
      </c>
      <c r="N48" s="625">
        <f t="shared" si="4"/>
        <v>2022</v>
      </c>
      <c r="O48" s="625">
        <f t="shared" si="4"/>
        <v>2023</v>
      </c>
      <c r="P48" s="625">
        <f t="shared" si="4"/>
        <v>2024</v>
      </c>
    </row>
    <row r="49" spans="1:16" x14ac:dyDescent="0.25">
      <c r="A49" s="601" t="s">
        <v>978</v>
      </c>
      <c r="B49" s="330">
        <f t="shared" si="3"/>
        <v>-1.331659961458199</v>
      </c>
      <c r="C49" s="330">
        <f t="shared" si="3"/>
        <v>-5.4972654915000234</v>
      </c>
      <c r="D49" s="330">
        <f t="shared" si="3"/>
        <v>-7.92</v>
      </c>
      <c r="E49" s="330">
        <f t="shared" si="3"/>
        <v>-4.9400000000000004</v>
      </c>
      <c r="F49" s="330">
        <f t="shared" si="3"/>
        <v>-2.6760906917588114</v>
      </c>
      <c r="G49" s="330">
        <f t="shared" si="3"/>
        <v>-2.5997988270923895</v>
      </c>
      <c r="H49" s="94"/>
      <c r="I49" s="94"/>
      <c r="J49" s="81" t="s">
        <v>979</v>
      </c>
      <c r="K49" s="461">
        <f t="shared" si="4"/>
        <v>48.142443340627871</v>
      </c>
      <c r="L49" s="461">
        <f t="shared" si="4"/>
        <v>59.741737913534124</v>
      </c>
      <c r="M49" s="461">
        <f t="shared" si="4"/>
        <v>61.538863309792049</v>
      </c>
      <c r="N49" s="461">
        <f t="shared" si="4"/>
        <v>61.480978780764936</v>
      </c>
      <c r="O49" s="461">
        <f t="shared" si="4"/>
        <v>58.606269959583145</v>
      </c>
      <c r="P49" s="461">
        <f t="shared" si="4"/>
        <v>58.688496979061455</v>
      </c>
    </row>
    <row r="50" spans="1:16" ht="14.25" thickBot="1" x14ac:dyDescent="0.3">
      <c r="A50" s="602" t="s">
        <v>980</v>
      </c>
      <c r="B50" s="603">
        <f t="shared" si="3"/>
        <v>-2.034494137395904</v>
      </c>
      <c r="C50" s="603">
        <f t="shared" si="3"/>
        <v>-2.4356621546077144</v>
      </c>
      <c r="D50" s="603">
        <f t="shared" si="3"/>
        <v>-4.2757747817135785</v>
      </c>
      <c r="E50" s="603">
        <f t="shared" si="3"/>
        <v>-4.0771795915916851</v>
      </c>
      <c r="F50" s="603">
        <f t="shared" si="3"/>
        <v>-3.0767713629137114</v>
      </c>
      <c r="G50" s="603">
        <f t="shared" si="3"/>
        <v>-2.0767713629137114</v>
      </c>
      <c r="H50" s="94"/>
      <c r="I50" s="94"/>
      <c r="J50" s="81" t="s">
        <v>981</v>
      </c>
      <c r="K50" s="461">
        <f t="shared" ref="K50:P50" si="5">K49-K51</f>
        <v>4.8918620126802637</v>
      </c>
      <c r="L50" s="461">
        <f t="shared" si="5"/>
        <v>10.080012269430554</v>
      </c>
      <c r="M50" s="461">
        <f t="shared" si="5"/>
        <v>6.004766082767631</v>
      </c>
      <c r="N50" s="461">
        <f t="shared" si="5"/>
        <v>5.8595971012867025</v>
      </c>
      <c r="O50" s="461">
        <f t="shared" si="5"/>
        <v>4.5852871293209461</v>
      </c>
      <c r="P50" s="461">
        <f t="shared" si="5"/>
        <v>3.9349158204018835</v>
      </c>
    </row>
    <row r="51" spans="1:16" ht="14.25" thickBot="1" x14ac:dyDescent="0.3">
      <c r="A51" s="605" t="s">
        <v>982</v>
      </c>
      <c r="B51" s="604">
        <f t="shared" si="3"/>
        <v>-0.42022344974479364</v>
      </c>
      <c r="C51" s="604">
        <f t="shared" si="3"/>
        <v>-0.40116801721181039</v>
      </c>
      <c r="D51" s="604">
        <f t="shared" si="3"/>
        <v>-1.8401126271058641</v>
      </c>
      <c r="E51" s="604">
        <f t="shared" si="3"/>
        <v>0.19859519012189342</v>
      </c>
      <c r="F51" s="604">
        <f t="shared" si="3"/>
        <v>1.0004082286779736</v>
      </c>
      <c r="G51" s="604">
        <f t="shared" si="3"/>
        <v>1</v>
      </c>
      <c r="H51" s="94"/>
      <c r="I51" s="94"/>
      <c r="J51" s="617" t="s">
        <v>423</v>
      </c>
      <c r="K51" s="626">
        <f t="shared" ref="K51:P51" si="6">K23</f>
        <v>43.250581327947607</v>
      </c>
      <c r="L51" s="626">
        <f t="shared" si="6"/>
        <v>49.661725644103569</v>
      </c>
      <c r="M51" s="626">
        <f t="shared" si="6"/>
        <v>55.534097227024418</v>
      </c>
      <c r="N51" s="626">
        <f t="shared" si="6"/>
        <v>55.621381679478233</v>
      </c>
      <c r="O51" s="626">
        <f t="shared" si="6"/>
        <v>54.020982830262199</v>
      </c>
      <c r="P51" s="626">
        <f t="shared" si="6"/>
        <v>54.753581158659571</v>
      </c>
    </row>
    <row r="52" spans="1:16" x14ac:dyDescent="0.25">
      <c r="A52" s="612"/>
      <c r="B52" s="613"/>
      <c r="C52" s="613"/>
      <c r="D52" s="614"/>
      <c r="E52" s="613"/>
      <c r="F52" s="613"/>
      <c r="G52" s="613"/>
      <c r="H52" s="94"/>
      <c r="I52" s="94"/>
    </row>
    <row r="53" spans="1:16" x14ac:dyDescent="0.25">
      <c r="A53" s="112"/>
      <c r="B53" s="255"/>
      <c r="C53" s="255"/>
      <c r="D53" s="611"/>
      <c r="E53" s="255"/>
      <c r="F53" s="627" t="s">
        <v>983</v>
      </c>
      <c r="G53" s="627"/>
      <c r="H53" s="94"/>
      <c r="I53" s="94"/>
      <c r="J53" s="88" t="s">
        <v>984</v>
      </c>
      <c r="K53" s="610">
        <f t="shared" ref="K53:P57" si="7">K24</f>
        <v>58</v>
      </c>
      <c r="L53" s="610">
        <f t="shared" si="7"/>
        <v>57</v>
      </c>
      <c r="M53" s="610">
        <f t="shared" si="7"/>
        <v>56</v>
      </c>
      <c r="N53" s="610">
        <f t="shared" si="7"/>
        <v>55</v>
      </c>
      <c r="O53" s="610">
        <f t="shared" si="7"/>
        <v>54</v>
      </c>
      <c r="P53" s="610">
        <f t="shared" si="7"/>
        <v>53</v>
      </c>
    </row>
    <row r="54" spans="1:16" x14ac:dyDescent="0.25">
      <c r="H54" s="94"/>
      <c r="I54" s="94"/>
      <c r="J54" s="88" t="s">
        <v>985</v>
      </c>
      <c r="K54" s="610">
        <f t="shared" si="7"/>
        <v>55</v>
      </c>
      <c r="L54" s="610">
        <f t="shared" si="7"/>
        <v>54</v>
      </c>
      <c r="M54" s="610">
        <f t="shared" si="7"/>
        <v>53</v>
      </c>
      <c r="N54" s="610">
        <f t="shared" si="7"/>
        <v>52</v>
      </c>
      <c r="O54" s="610">
        <f t="shared" si="7"/>
        <v>51</v>
      </c>
      <c r="P54" s="610">
        <f t="shared" si="7"/>
        <v>50</v>
      </c>
    </row>
    <row r="55" spans="1:16" x14ac:dyDescent="0.25">
      <c r="H55" s="94"/>
      <c r="I55" s="94"/>
      <c r="J55" s="88" t="s">
        <v>986</v>
      </c>
      <c r="K55" s="610">
        <f t="shared" si="7"/>
        <v>53</v>
      </c>
      <c r="L55" s="610">
        <f t="shared" si="7"/>
        <v>52</v>
      </c>
      <c r="M55" s="610">
        <f t="shared" si="7"/>
        <v>51</v>
      </c>
      <c r="N55" s="610">
        <f t="shared" si="7"/>
        <v>50</v>
      </c>
      <c r="O55" s="610">
        <f t="shared" si="7"/>
        <v>49</v>
      </c>
      <c r="P55" s="610">
        <f t="shared" si="7"/>
        <v>48</v>
      </c>
    </row>
    <row r="56" spans="1:16" x14ac:dyDescent="0.25">
      <c r="J56" s="88" t="s">
        <v>987</v>
      </c>
      <c r="K56" s="610">
        <f t="shared" si="7"/>
        <v>51</v>
      </c>
      <c r="L56" s="610">
        <f t="shared" si="7"/>
        <v>50</v>
      </c>
      <c r="M56" s="610">
        <f t="shared" si="7"/>
        <v>49</v>
      </c>
      <c r="N56" s="610">
        <f t="shared" si="7"/>
        <v>48</v>
      </c>
      <c r="O56" s="610">
        <f t="shared" si="7"/>
        <v>47</v>
      </c>
      <c r="P56" s="610">
        <f t="shared" si="7"/>
        <v>46</v>
      </c>
    </row>
    <row r="57" spans="1:16" x14ac:dyDescent="0.25">
      <c r="J57" s="90" t="s">
        <v>988</v>
      </c>
      <c r="K57" s="618">
        <f t="shared" si="7"/>
        <v>48</v>
      </c>
      <c r="L57" s="618">
        <f t="shared" si="7"/>
        <v>47</v>
      </c>
      <c r="M57" s="618">
        <f t="shared" si="7"/>
        <v>46</v>
      </c>
      <c r="N57" s="618">
        <f t="shared" si="7"/>
        <v>45</v>
      </c>
      <c r="O57" s="618">
        <f t="shared" si="7"/>
        <v>44</v>
      </c>
      <c r="P57" s="618">
        <f t="shared" si="7"/>
        <v>43</v>
      </c>
    </row>
    <row r="58" spans="1:16" x14ac:dyDescent="0.25">
      <c r="O58" s="621" t="s">
        <v>983</v>
      </c>
      <c r="P58" s="621"/>
    </row>
  </sheetData>
  <mergeCells count="4">
    <mergeCell ref="A19:D19"/>
    <mergeCell ref="E19:G19"/>
    <mergeCell ref="J19:P19"/>
    <mergeCell ref="F27:G27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S32"/>
  <sheetViews>
    <sheetView showGridLines="0" zoomScaleNormal="100" workbookViewId="0">
      <selection activeCell="M7" sqref="M7"/>
    </sheetView>
  </sheetViews>
  <sheetFormatPr defaultColWidth="9.140625" defaultRowHeight="13.5" x14ac:dyDescent="0.25"/>
  <cols>
    <col min="1" max="1" width="15.85546875" style="88" bestFit="1" customWidth="1"/>
    <col min="2" max="3" width="43.140625" style="88" customWidth="1"/>
    <col min="4" max="6" width="6.5703125" style="88" customWidth="1"/>
    <col min="7" max="15" width="5.85546875" style="88" customWidth="1"/>
    <col min="16" max="16384" width="9.140625" style="88"/>
  </cols>
  <sheetData>
    <row r="1" spans="1:19" ht="15" x14ac:dyDescent="0.25">
      <c r="A1" s="1"/>
    </row>
    <row r="4" spans="1:19" ht="14.45" customHeight="1" x14ac:dyDescent="0.25">
      <c r="B4" s="860" t="s">
        <v>923</v>
      </c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1:19" ht="15" customHeight="1" thickBot="1" x14ac:dyDescent="0.3">
      <c r="B5" s="859" t="s">
        <v>924</v>
      </c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</row>
    <row r="6" spans="1:19" ht="13.5" customHeight="1" thickBot="1" x14ac:dyDescent="0.3">
      <c r="B6" s="31"/>
      <c r="C6" s="31"/>
      <c r="D6" s="314"/>
      <c r="E6" s="315" t="s">
        <v>576</v>
      </c>
      <c r="F6" s="315" t="s">
        <v>170</v>
      </c>
      <c r="G6" s="861" t="s">
        <v>306</v>
      </c>
      <c r="H6" s="862"/>
      <c r="I6" s="863"/>
      <c r="J6" s="864" t="s">
        <v>5</v>
      </c>
      <c r="K6" s="865"/>
      <c r="L6" s="866"/>
      <c r="M6" s="864" t="s">
        <v>1457</v>
      </c>
      <c r="N6" s="865"/>
      <c r="O6" s="865"/>
      <c r="P6" s="94"/>
    </row>
    <row r="7" spans="1:19" ht="14.25" thickBot="1" x14ac:dyDescent="0.3">
      <c r="B7" s="316"/>
      <c r="C7" s="316"/>
      <c r="D7" s="317" t="s">
        <v>29</v>
      </c>
      <c r="E7" s="318">
        <v>2020</v>
      </c>
      <c r="F7" s="318">
        <v>2021</v>
      </c>
      <c r="G7" s="289">
        <v>2022</v>
      </c>
      <c r="H7" s="284">
        <v>2023</v>
      </c>
      <c r="I7" s="319">
        <v>2024</v>
      </c>
      <c r="J7" s="289">
        <f>G7</f>
        <v>2022</v>
      </c>
      <c r="K7" s="284">
        <f t="shared" ref="K7:O7" si="0">H7</f>
        <v>2023</v>
      </c>
      <c r="L7" s="319">
        <f t="shared" si="0"/>
        <v>2024</v>
      </c>
      <c r="M7" s="289">
        <f t="shared" si="0"/>
        <v>2022</v>
      </c>
      <c r="N7" s="284">
        <f t="shared" si="0"/>
        <v>2023</v>
      </c>
      <c r="O7" s="289">
        <f t="shared" si="0"/>
        <v>2024</v>
      </c>
      <c r="P7" s="94"/>
    </row>
    <row r="8" spans="1:19" ht="14.25" thickBot="1" x14ac:dyDescent="0.3">
      <c r="B8" s="320" t="s">
        <v>30</v>
      </c>
      <c r="C8" s="320" t="s">
        <v>427</v>
      </c>
      <c r="D8" s="318" t="s">
        <v>31</v>
      </c>
      <c r="E8" s="321">
        <f>MMF_TABULKA!O6/MMF_TABULKA!O95*100</f>
        <v>42.087427664079776</v>
      </c>
      <c r="F8" s="321">
        <f>MMF_TABULKA!P6/MMF_TABULKA!P95*100</f>
        <v>41.884986922413432</v>
      </c>
      <c r="G8" s="322">
        <f>MMF_TABULKA!Q6/MMF_TABULKA!Q95*100</f>
        <v>41.85693344749528</v>
      </c>
      <c r="H8" s="323">
        <f>MMF_TABULKA!R6/MMF_TABULKA!R95*100</f>
        <v>41.874361272066167</v>
      </c>
      <c r="I8" s="324">
        <f>MMF_TABULKA!S6/MMF_TABULKA!S95*100</f>
        <v>40.682027818465194</v>
      </c>
      <c r="J8" s="322">
        <f>MMF_TABULKA!U6/MMF_TABULKA!U95*100</f>
        <v>41.854871581216536</v>
      </c>
      <c r="K8" s="323">
        <f>MMF_TABULKA!V6/MMF_TABULKA!V95*100</f>
        <v>41.872450647383481</v>
      </c>
      <c r="L8" s="324">
        <f>MMF_TABULKA!W6/MMF_TABULKA!W95*100</f>
        <v>40.680171018449258</v>
      </c>
      <c r="M8" s="323">
        <f>G8-J8</f>
        <v>2.0618662787441622E-3</v>
      </c>
      <c r="N8" s="323">
        <f t="shared" ref="N8:O8" si="1">H8-K8</f>
        <v>1.9106246826865458E-3</v>
      </c>
      <c r="O8" s="323">
        <f t="shared" si="1"/>
        <v>1.8568000159362441E-3</v>
      </c>
      <c r="P8" s="94"/>
      <c r="Q8" s="325"/>
      <c r="R8" s="325"/>
      <c r="S8" s="325"/>
    </row>
    <row r="9" spans="1:19" x14ac:dyDescent="0.25">
      <c r="B9" s="326" t="s">
        <v>32</v>
      </c>
      <c r="C9" s="326" t="s">
        <v>428</v>
      </c>
      <c r="D9" s="327" t="s">
        <v>33</v>
      </c>
      <c r="E9" s="328">
        <f>MMF_TABULKA!O9/MMF_TABULKA!O95*100</f>
        <v>12.100947430579177</v>
      </c>
      <c r="F9" s="328">
        <f>MMF_TABULKA!P9/MMF_TABULKA!P95*100</f>
        <v>12.048449031741351</v>
      </c>
      <c r="G9" s="348">
        <f>MMF_TABULKA!Q9/MMF_TABULKA!Q95*100</f>
        <v>11.819958291363632</v>
      </c>
      <c r="H9" s="96">
        <f>MMF_TABULKA!R9/MMF_TABULKA!R95*100</f>
        <v>11.740499798519535</v>
      </c>
      <c r="I9" s="331">
        <f>MMF_TABULKA!S9/MMF_TABULKA!S95*100</f>
        <v>11.594505254313123</v>
      </c>
      <c r="J9" s="348">
        <f>MMF_TABULKA!U9/MMF_TABULKA!U95*100</f>
        <v>11.818102611712764</v>
      </c>
      <c r="K9" s="96">
        <f>MMF_TABULKA!V9/MMF_TABULKA!V95*100</f>
        <v>11.738780236305114</v>
      </c>
      <c r="L9" s="331">
        <f>MMF_TABULKA!W9/MMF_TABULKA!W95*100</f>
        <v>11.592834134298778</v>
      </c>
      <c r="M9" s="332">
        <f t="shared" ref="M9:O14" si="2">G9-J9</f>
        <v>1.8556796508679696E-3</v>
      </c>
      <c r="N9" s="332">
        <f t="shared" si="2"/>
        <v>1.7195622144203782E-3</v>
      </c>
      <c r="O9" s="329">
        <f t="shared" si="2"/>
        <v>1.6711200143451066E-3</v>
      </c>
      <c r="P9" s="94"/>
      <c r="Q9" s="325"/>
      <c r="R9" s="325"/>
      <c r="S9" s="325"/>
    </row>
    <row r="10" spans="1:19" x14ac:dyDescent="0.25">
      <c r="B10" s="326" t="s">
        <v>34</v>
      </c>
      <c r="C10" s="326" t="s">
        <v>429</v>
      </c>
      <c r="D10" s="333" t="s">
        <v>35</v>
      </c>
      <c r="E10" s="334">
        <f>MMF_TABULKA!O18/MMF_TABULKA!O95*100</f>
        <v>7.2342029099649627</v>
      </c>
      <c r="F10" s="334">
        <f>MMF_TABULKA!P18/MMF_TABULKA!P95*100</f>
        <v>7.3545073530924761</v>
      </c>
      <c r="G10" s="348">
        <f>MMF_TABULKA!Q18/MMF_TABULKA!Q95*100</f>
        <v>7.4051576807972701</v>
      </c>
      <c r="H10" s="96">
        <f>MMF_TABULKA!R18/MMF_TABULKA!R95*100</f>
        <v>7.4485018380060195</v>
      </c>
      <c r="I10" s="331">
        <f>MMF_TABULKA!S18/MMF_TABULKA!S95*100</f>
        <v>7.4691956578697498</v>
      </c>
      <c r="J10" s="348">
        <f>MMF_TABULKA!U18/MMF_TABULKA!U95*100</f>
        <v>7.4049514941693957</v>
      </c>
      <c r="K10" s="96">
        <f>MMF_TABULKA!V18/MMF_TABULKA!V95*100</f>
        <v>7.4483107755377507</v>
      </c>
      <c r="L10" s="331">
        <f>MMF_TABULKA!W18/MMF_TABULKA!W95*100</f>
        <v>7.469009977868156</v>
      </c>
      <c r="M10" s="330">
        <f t="shared" si="2"/>
        <v>2.0618662787441622E-4</v>
      </c>
      <c r="N10" s="330">
        <f t="shared" si="2"/>
        <v>1.9106246826883222E-4</v>
      </c>
      <c r="O10" s="96">
        <f t="shared" si="2"/>
        <v>1.8568000159380205E-4</v>
      </c>
      <c r="P10" s="94"/>
      <c r="Q10" s="325"/>
      <c r="R10" s="325"/>
      <c r="S10" s="325"/>
    </row>
    <row r="11" spans="1:19" x14ac:dyDescent="0.25">
      <c r="B11" s="326" t="s">
        <v>36</v>
      </c>
      <c r="C11" s="326" t="s">
        <v>430</v>
      </c>
      <c r="D11" s="335" t="s">
        <v>37</v>
      </c>
      <c r="E11" s="328">
        <f>MMF_TABULKA!O27</f>
        <v>0</v>
      </c>
      <c r="F11" s="328">
        <f>MMF_TABULKA!P27</f>
        <v>0</v>
      </c>
      <c r="G11" s="348">
        <f>MMF_TABULKA!Q27</f>
        <v>0</v>
      </c>
      <c r="H11" s="96">
        <f>MMF_TABULKA!R27</f>
        <v>0</v>
      </c>
      <c r="I11" s="331">
        <f>MMF_TABULKA!S27</f>
        <v>0</v>
      </c>
      <c r="J11" s="348">
        <f>MMF_TABULKA!U27</f>
        <v>0</v>
      </c>
      <c r="K11" s="96">
        <f>MMF_TABULKA!V27</f>
        <v>0</v>
      </c>
      <c r="L11" s="331">
        <f>MMF_TABULKA!W27</f>
        <v>0</v>
      </c>
      <c r="M11" s="330">
        <f t="shared" si="2"/>
        <v>0</v>
      </c>
      <c r="N11" s="330">
        <f t="shared" si="2"/>
        <v>0</v>
      </c>
      <c r="O11" s="96">
        <f t="shared" si="2"/>
        <v>0</v>
      </c>
      <c r="P11" s="94"/>
      <c r="Q11" s="325"/>
    </row>
    <row r="12" spans="1:19" x14ac:dyDescent="0.25">
      <c r="B12" s="326" t="s">
        <v>38</v>
      </c>
      <c r="C12" s="326" t="s">
        <v>431</v>
      </c>
      <c r="D12" s="335" t="s">
        <v>39</v>
      </c>
      <c r="E12" s="328">
        <f>MMF_TABULKA!O28/MMF_TABULKA!O95*100</f>
        <v>15.74702609718174</v>
      </c>
      <c r="F12" s="328">
        <f>MMF_TABULKA!P28/MMF_TABULKA!P95*100</f>
        <v>15.67705496373318</v>
      </c>
      <c r="G12" s="348">
        <f>MMF_TABULKA!Q28/MMF_TABULKA!Q95*100</f>
        <v>15.01462773786065</v>
      </c>
      <c r="H12" s="96">
        <f>MMF_TABULKA!R28/MMF_TABULKA!R95*100</f>
        <v>14.668410076567842</v>
      </c>
      <c r="I12" s="331">
        <f>MMF_TABULKA!S28/MMF_TABULKA!S95*100</f>
        <v>14.852460556545937</v>
      </c>
      <c r="J12" s="348">
        <f>MMF_TABULKA!U28/MMF_TABULKA!U95*100</f>
        <v>15.01462773786065</v>
      </c>
      <c r="K12" s="96">
        <f>MMF_TABULKA!V28/MMF_TABULKA!V95*100</f>
        <v>14.668410076567842</v>
      </c>
      <c r="L12" s="331">
        <f>MMF_TABULKA!W28/MMF_TABULKA!W95*100</f>
        <v>14.852460556545937</v>
      </c>
      <c r="M12" s="330">
        <f t="shared" si="2"/>
        <v>0</v>
      </c>
      <c r="N12" s="330">
        <f t="shared" si="2"/>
        <v>0</v>
      </c>
      <c r="O12" s="96">
        <f t="shared" si="2"/>
        <v>0</v>
      </c>
      <c r="P12" s="94"/>
      <c r="Q12" s="325"/>
      <c r="R12" s="325"/>
      <c r="S12" s="325"/>
    </row>
    <row r="13" spans="1:19" ht="11.25" customHeight="1" x14ac:dyDescent="0.25">
      <c r="B13" s="336" t="s">
        <v>40</v>
      </c>
      <c r="C13" s="337" t="s">
        <v>432</v>
      </c>
      <c r="D13" s="335" t="s">
        <v>41</v>
      </c>
      <c r="E13" s="328">
        <f>MMF_TABULKA!O37/MMF_TABULKA!O95*100</f>
        <v>0.54991649421830124</v>
      </c>
      <c r="F13" s="328">
        <f>MMF_TABULKA!P37/MMF_TABULKA!P95*100</f>
        <v>0.63046020861227736</v>
      </c>
      <c r="G13" s="348">
        <f>MMF_TABULKA!Q37/MMF_TABULKA!Q95*100</f>
        <v>0.46441548076112471</v>
      </c>
      <c r="H13" s="96">
        <f>MMF_TABULKA!R37/MMF_TABULKA!R95*100</f>
        <v>0.47619071451682188</v>
      </c>
      <c r="I13" s="331">
        <f>MMF_TABULKA!S37/MMF_TABULKA!S95*100</f>
        <v>0.45753992856013143</v>
      </c>
      <c r="J13" s="348">
        <f>MMF_TABULKA!U37/MMF_TABULKA!U95*100</f>
        <v>0.46441548076112471</v>
      </c>
      <c r="K13" s="96">
        <f>MMF_TABULKA!V37/MMF_TABULKA!V95*100</f>
        <v>0.47619071451682188</v>
      </c>
      <c r="L13" s="331">
        <f>MMF_TABULKA!W37/MMF_TABULKA!W95*100</f>
        <v>0.45753992856013143</v>
      </c>
      <c r="M13" s="330">
        <f t="shared" si="2"/>
        <v>0</v>
      </c>
      <c r="N13" s="330">
        <f t="shared" si="2"/>
        <v>0</v>
      </c>
      <c r="O13" s="96">
        <f t="shared" si="2"/>
        <v>0</v>
      </c>
      <c r="P13" s="94"/>
      <c r="Q13" s="325"/>
    </row>
    <row r="14" spans="1:19" ht="11.25" customHeight="1" thickBot="1" x14ac:dyDescent="0.3">
      <c r="B14" s="338" t="s">
        <v>307</v>
      </c>
      <c r="C14" s="339" t="s">
        <v>433</v>
      </c>
      <c r="D14" s="340"/>
      <c r="E14" s="341">
        <f>E8-SUM(E9:E13)</f>
        <v>6.4553347321355972</v>
      </c>
      <c r="F14" s="341">
        <f t="shared" ref="F14:J14" si="3">F8-SUM(F9:F13)</f>
        <v>6.1745153652341429</v>
      </c>
      <c r="G14" s="341">
        <f t="shared" si="3"/>
        <v>7.152774256712604</v>
      </c>
      <c r="H14" s="342">
        <f t="shared" si="3"/>
        <v>7.5407588444559437</v>
      </c>
      <c r="I14" s="343">
        <f t="shared" si="3"/>
        <v>6.308326421176254</v>
      </c>
      <c r="J14" s="341">
        <f t="shared" si="3"/>
        <v>7.152774256712604</v>
      </c>
      <c r="K14" s="342">
        <f t="shared" ref="K14" si="4">K8-SUM(K9:K13)</f>
        <v>7.5407588444559508</v>
      </c>
      <c r="L14" s="343">
        <f t="shared" ref="L14" si="5">L8-SUM(L9:L13)</f>
        <v>6.308326421176254</v>
      </c>
      <c r="M14" s="342">
        <f t="shared" si="2"/>
        <v>0</v>
      </c>
      <c r="N14" s="342">
        <f t="shared" si="2"/>
        <v>-7.1054273576010019E-15</v>
      </c>
      <c r="O14" s="342">
        <f t="shared" si="2"/>
        <v>0</v>
      </c>
      <c r="P14" s="94"/>
      <c r="Q14" s="325"/>
    </row>
    <row r="15" spans="1:19" ht="16.5" customHeight="1" thickBot="1" x14ac:dyDescent="0.3">
      <c r="B15" s="316" t="s">
        <v>42</v>
      </c>
      <c r="C15" s="316" t="s">
        <v>403</v>
      </c>
      <c r="D15" s="317" t="s">
        <v>28</v>
      </c>
      <c r="E15" s="344">
        <f>MMF_TABULKA!O46/MMF_TABULKA!O95*100</f>
        <v>47.584693155579799</v>
      </c>
      <c r="F15" s="344">
        <f>MMF_TABULKA!P46/MMF_TABULKA!P95*100</f>
        <v>49.805881314288854</v>
      </c>
      <c r="G15" s="345">
        <f>MMF_TABULKA!Q46/MMF_TABULKA!Q95*100</f>
        <v>46.796933849445502</v>
      </c>
      <c r="H15" s="346">
        <f>MMF_TABULKA!R46/MMF_TABULKA!R95*100</f>
        <v>45.267416465684491</v>
      </c>
      <c r="I15" s="347">
        <f>MMF_TABULKA!S46/MMF_TABULKA!S95*100</f>
        <v>43.937578240420017</v>
      </c>
      <c r="J15" s="345">
        <f>MMF_TABULKA!U46/MMF_TABULKA!U95*100</f>
        <v>45.672344784558994</v>
      </c>
      <c r="K15" s="346">
        <f>MMF_TABULKA!V46/MMF_TABULKA!V95*100</f>
        <v>45.220514506743669</v>
      </c>
      <c r="L15" s="346">
        <f>MMF_TABULKA!W46/MMF_TABULKA!W95*100</f>
        <v>44.160450755320817</v>
      </c>
      <c r="M15" s="345">
        <f>J15-G15</f>
        <v>-1.1245890648865071</v>
      </c>
      <c r="N15" s="346">
        <f t="shared" ref="N15:O15" si="6">K15-H15</f>
        <v>-4.6901958940821942E-2</v>
      </c>
      <c r="O15" s="346">
        <f t="shared" si="6"/>
        <v>0.22287251490079996</v>
      </c>
      <c r="P15" s="94"/>
      <c r="Q15" s="280"/>
    </row>
    <row r="16" spans="1:19" x14ac:dyDescent="0.25">
      <c r="B16" s="326" t="s">
        <v>43</v>
      </c>
      <c r="C16" s="326" t="s">
        <v>434</v>
      </c>
      <c r="D16" s="335" t="s">
        <v>44</v>
      </c>
      <c r="E16" s="328">
        <f>MMF_TABULKA!O49/MMF_TABULKA!O95*100</f>
        <v>11.387817188308423</v>
      </c>
      <c r="F16" s="328">
        <f>MMF_TABULKA!P49/MMF_TABULKA!P95*100</f>
        <v>10.913792095750788</v>
      </c>
      <c r="G16" s="348">
        <f>MMF_TABULKA!Q49/MMF_TABULKA!Q95*100</f>
        <v>10.041301095611878</v>
      </c>
      <c r="H16" s="96">
        <f>MMF_TABULKA!R49/MMF_TABULKA!R95*100</f>
        <v>9.5117429354937713</v>
      </c>
      <c r="I16" s="331">
        <f>MMF_TABULKA!S49/MMF_TABULKA!S95*100</f>
        <v>9.4942417226803464</v>
      </c>
      <c r="J16" s="348">
        <f>MMF_TABULKA!U49/MMF_TABULKA!U95*100</f>
        <v>10.346873582022772</v>
      </c>
      <c r="K16" s="96">
        <f>MMF_TABULKA!V49/MMF_TABULKA!V95*100</f>
        <v>10.125820355428347</v>
      </c>
      <c r="L16" s="330">
        <f>MMF_TABULKA!W49/MMF_TABULKA!W95*100</f>
        <v>10.383826238166668</v>
      </c>
      <c r="M16" s="349">
        <f t="shared" ref="M16:M26" si="7">J16-G16</f>
        <v>0.30557248641089352</v>
      </c>
      <c r="N16" s="350">
        <f t="shared" ref="N16:N26" si="8">K16-H16</f>
        <v>0.61407741993457599</v>
      </c>
      <c r="O16" s="350">
        <f t="shared" ref="O16:O26" si="9">L16-I16</f>
        <v>0.88958451548632134</v>
      </c>
      <c r="P16" s="94"/>
      <c r="Q16" s="141"/>
      <c r="R16" s="141"/>
      <c r="S16" s="141"/>
    </row>
    <row r="17" spans="2:18" x14ac:dyDescent="0.25">
      <c r="B17" s="326" t="s">
        <v>45</v>
      </c>
      <c r="C17" s="326" t="s">
        <v>435</v>
      </c>
      <c r="D17" s="335" t="s">
        <v>46</v>
      </c>
      <c r="E17" s="328">
        <f>MMF_TABULKA!O52/MMF_TABULKA!O95*100</f>
        <v>6.0083589079507416</v>
      </c>
      <c r="F17" s="328">
        <f>MMF_TABULKA!P52/MMF_TABULKA!P95*100</f>
        <v>6.9863586796807446</v>
      </c>
      <c r="G17" s="348">
        <f>MMF_TABULKA!Q52/MMF_TABULKA!Q95*100</f>
        <v>7.4182224842215829</v>
      </c>
      <c r="H17" s="96">
        <f>MMF_TABULKA!R52/MMF_TABULKA!R95*100</f>
        <v>7.5203399212041164</v>
      </c>
      <c r="I17" s="331">
        <f>MMF_TABULKA!S52/MMF_TABULKA!S95*100</f>
        <v>7.0108527656997834</v>
      </c>
      <c r="J17" s="348">
        <f>MMF_TABULKA!U52/MMF_TABULKA!U95*100</f>
        <v>6.4416571143478372</v>
      </c>
      <c r="K17" s="96">
        <f>MMF_TABULKA!V52/MMF_TABULKA!V95*100</f>
        <v>7.0874990044021011</v>
      </c>
      <c r="L17" s="330">
        <f>MMF_TABULKA!W52/MMF_TABULKA!W95*100</f>
        <v>6.6449691281026126</v>
      </c>
      <c r="M17" s="348">
        <f t="shared" si="7"/>
        <v>-0.97656536987374576</v>
      </c>
      <c r="N17" s="96">
        <f t="shared" si="8"/>
        <v>-0.43284091680201531</v>
      </c>
      <c r="O17" s="96">
        <f t="shared" si="9"/>
        <v>-0.3658836375971708</v>
      </c>
      <c r="P17" s="94"/>
    </row>
    <row r="18" spans="2:18" x14ac:dyDescent="0.25">
      <c r="B18" s="326" t="s">
        <v>47</v>
      </c>
      <c r="C18" s="326" t="s">
        <v>436</v>
      </c>
      <c r="D18" s="335" t="s">
        <v>142</v>
      </c>
      <c r="E18" s="328">
        <f>MMF_TABULKA!O56/MMF_TABULKA!O95*100</f>
        <v>1.347049372783248</v>
      </c>
      <c r="F18" s="328">
        <f>MMF_TABULKA!P56/MMF_TABULKA!P95*100</f>
        <v>1.7330959281807508</v>
      </c>
      <c r="G18" s="348">
        <f>MMF_TABULKA!Q56/MMF_TABULKA!Q95*100</f>
        <v>1.059447726653612</v>
      </c>
      <c r="H18" s="96">
        <f>MMF_TABULKA!R56/MMF_TABULKA!R95*100</f>
        <v>1.0963517403143557</v>
      </c>
      <c r="I18" s="331">
        <f>MMF_TABULKA!S56/MMF_TABULKA!S95*100</f>
        <v>0.91441683615868863</v>
      </c>
      <c r="J18" s="348">
        <f>MMF_TABULKA!U56/MMF_TABULKA!U95*100</f>
        <v>1.0950480178429514</v>
      </c>
      <c r="K18" s="96">
        <f>MMF_TABULKA!V56/MMF_TABULKA!V95*100</f>
        <v>1.1588520043467063</v>
      </c>
      <c r="L18" s="330">
        <f>MMF_TABULKA!W56/MMF_TABULKA!W95*100</f>
        <v>0.98149783429147841</v>
      </c>
      <c r="M18" s="348">
        <f t="shared" si="7"/>
        <v>3.5600291189339384E-2</v>
      </c>
      <c r="N18" s="96">
        <f t="shared" si="8"/>
        <v>6.250026403235065E-2</v>
      </c>
      <c r="O18" s="96">
        <f t="shared" si="9"/>
        <v>6.7080998132789782E-2</v>
      </c>
      <c r="P18" s="94"/>
      <c r="R18" s="94"/>
    </row>
    <row r="19" spans="2:18" x14ac:dyDescent="0.25">
      <c r="B19" s="326" t="s">
        <v>48</v>
      </c>
      <c r="C19" s="326" t="s">
        <v>437</v>
      </c>
      <c r="D19" s="335" t="s">
        <v>49</v>
      </c>
      <c r="E19" s="328">
        <f>MMF_TABULKA!O63/MMF_TABULKA!O95*100</f>
        <v>1.2001009608537985</v>
      </c>
      <c r="F19" s="328">
        <f>MMF_TABULKA!P63/MMF_TABULKA!P95*100</f>
        <v>0.94907497325394807</v>
      </c>
      <c r="G19" s="348">
        <f>MMF_TABULKA!Q63/MMF_TABULKA!Q95*100</f>
        <v>0.87009240884795713</v>
      </c>
      <c r="H19" s="96">
        <f>MMF_TABULKA!R63/MMF_TABULKA!R95*100</f>
        <v>0.78467406459490141</v>
      </c>
      <c r="I19" s="331">
        <f>MMF_TABULKA!S63/MMF_TABULKA!S95*100</f>
        <v>0.84860709919668231</v>
      </c>
      <c r="J19" s="348">
        <f>MMF_TABULKA!U63/MMF_TABULKA!U95*100</f>
        <v>0.87009240884795713</v>
      </c>
      <c r="K19" s="96">
        <f>MMF_TABULKA!V63/MMF_TABULKA!V95*100</f>
        <v>0.78467406459490141</v>
      </c>
      <c r="L19" s="330">
        <f>MMF_TABULKA!W63/MMF_TABULKA!W95*100</f>
        <v>0.84860709919668231</v>
      </c>
      <c r="M19" s="348">
        <f t="shared" si="7"/>
        <v>0</v>
      </c>
      <c r="N19" s="96">
        <f t="shared" si="8"/>
        <v>0</v>
      </c>
      <c r="O19" s="96">
        <f t="shared" si="9"/>
        <v>0</v>
      </c>
      <c r="P19" s="94"/>
    </row>
    <row r="20" spans="2:18" x14ac:dyDescent="0.25">
      <c r="B20" s="326" t="s">
        <v>50</v>
      </c>
      <c r="C20" s="326" t="s">
        <v>438</v>
      </c>
      <c r="D20" s="335" t="s">
        <v>143</v>
      </c>
      <c r="E20" s="328">
        <f>MMF_TABULKA!O65/MMF_TABULKA!O95*100</f>
        <v>20.207802945577765</v>
      </c>
      <c r="F20" s="328">
        <f>MMF_TABULKA!P65/MMF_TABULKA!P95*100</f>
        <v>22.104653225487393</v>
      </c>
      <c r="G20" s="348">
        <f>MMF_TABULKA!Q65/MMF_TABULKA!Q95*100</f>
        <v>19.24052027367447</v>
      </c>
      <c r="H20" s="96">
        <f>MMF_TABULKA!R65/MMF_TABULKA!R95*100</f>
        <v>18.641424153648366</v>
      </c>
      <c r="I20" s="331">
        <f>MMF_TABULKA!S65/MMF_TABULKA!S95*100</f>
        <v>18.896906341633368</v>
      </c>
      <c r="J20" s="348">
        <f>MMF_TABULKA!U65/MMF_TABULKA!U95*100</f>
        <v>19.208323511594784</v>
      </c>
      <c r="K20" s="96">
        <f>MMF_TABULKA!V65/MMF_TABULKA!V95*100</f>
        <v>18.656568664000872</v>
      </c>
      <c r="L20" s="330">
        <f>MMF_TABULKA!W65/MMF_TABULKA!W95*100</f>
        <v>18.913080810522221</v>
      </c>
      <c r="M20" s="348">
        <f t="shared" si="7"/>
        <v>-3.219676207968547E-2</v>
      </c>
      <c r="N20" s="96">
        <f t="shared" si="8"/>
        <v>1.5144510352506302E-2</v>
      </c>
      <c r="O20" s="96">
        <f t="shared" si="9"/>
        <v>1.6174468888852545E-2</v>
      </c>
      <c r="P20" s="94"/>
    </row>
    <row r="21" spans="2:18" x14ac:dyDescent="0.25">
      <c r="B21" s="351" t="s">
        <v>308</v>
      </c>
      <c r="C21" s="351" t="s">
        <v>439</v>
      </c>
      <c r="D21" s="335"/>
      <c r="E21" s="328">
        <f>MMF_TABULKA!O70/MMF_TABULKA!O95*100</f>
        <v>0.3575311367914768</v>
      </c>
      <c r="F21" s="328">
        <f>MMF_TABULKA!P70/MMF_TABULKA!P95*100</f>
        <v>0.31813241462417513</v>
      </c>
      <c r="G21" s="348">
        <f>MMF_TABULKA!Q70/MMF_TABULKA!Q95*100</f>
        <v>0.27257663744233374</v>
      </c>
      <c r="H21" s="96">
        <f>MMF_TABULKA!R70/MMF_TABULKA!R95*100</f>
        <v>0.23220324010160975</v>
      </c>
      <c r="I21" s="331">
        <f>MMF_TABULKA!S70/MMF_TABULKA!S95*100</f>
        <v>0.22443814200023188</v>
      </c>
      <c r="J21" s="348">
        <f>MMF_TABULKA!U70/MMF_TABULKA!U95*100</f>
        <v>0.27257663744233374</v>
      </c>
      <c r="K21" s="96">
        <f>MMF_TABULKA!V70/MMF_TABULKA!V95*100</f>
        <v>0.23220324010160975</v>
      </c>
      <c r="L21" s="330">
        <f>MMF_TABULKA!W70/MMF_TABULKA!W95*100</f>
        <v>0.22443814200023188</v>
      </c>
      <c r="M21" s="348">
        <f t="shared" si="7"/>
        <v>0</v>
      </c>
      <c r="N21" s="96">
        <f t="shared" si="8"/>
        <v>0</v>
      </c>
      <c r="O21" s="96">
        <f t="shared" si="9"/>
        <v>0</v>
      </c>
      <c r="P21" s="94"/>
    </row>
    <row r="22" spans="2:18" x14ac:dyDescent="0.25">
      <c r="B22" s="326" t="s">
        <v>51</v>
      </c>
      <c r="C22" s="326" t="s">
        <v>440</v>
      </c>
      <c r="D22" s="335" t="s">
        <v>52</v>
      </c>
      <c r="E22" s="328">
        <f>MMF_TABULKA!O88/MMF_TABULKA!O95*100</f>
        <v>3.4653767228107291</v>
      </c>
      <c r="F22" s="328">
        <f>MMF_TABULKA!P88/MMF_TABULKA!P95*100</f>
        <v>4.1762028719017419</v>
      </c>
      <c r="G22" s="348">
        <f>MMF_TABULKA!Q88/MMF_TABULKA!Q95*100</f>
        <v>4.5374570178816773</v>
      </c>
      <c r="H22" s="96">
        <f>MMF_TABULKA!R88/MMF_TABULKA!R95*100</f>
        <v>4.5199909775666409</v>
      </c>
      <c r="I22" s="331">
        <f>MMF_TABULKA!S88/MMF_TABULKA!S95*100</f>
        <v>3.9812215738829129</v>
      </c>
      <c r="J22" s="348">
        <f>MMF_TABULKA!U88/MMF_TABULKA!U95*100</f>
        <v>4.5701571292764669</v>
      </c>
      <c r="K22" s="96">
        <f>MMF_TABULKA!V88/MMF_TABULKA!V95*100</f>
        <v>4.3429882946597349</v>
      </c>
      <c r="L22" s="330">
        <f>MMF_TABULKA!W88/MMF_TABULKA!W95*100</f>
        <v>3.9293092437763111</v>
      </c>
      <c r="M22" s="348">
        <f t="shared" si="7"/>
        <v>3.2700111394789566E-2</v>
      </c>
      <c r="N22" s="96">
        <f t="shared" si="8"/>
        <v>-0.17700268290690602</v>
      </c>
      <c r="O22" s="96">
        <f t="shared" si="9"/>
        <v>-5.1912330106601789E-2</v>
      </c>
      <c r="P22" s="94"/>
    </row>
    <row r="23" spans="2:18" x14ac:dyDescent="0.25">
      <c r="B23" s="336" t="s">
        <v>53</v>
      </c>
      <c r="C23" s="336" t="s">
        <v>441</v>
      </c>
      <c r="D23" s="335" t="s">
        <v>54</v>
      </c>
      <c r="E23" s="328">
        <f>MMF_TABULKA!O91/MMF_TABULKA!O95*100</f>
        <v>0.63226946465345457</v>
      </c>
      <c r="F23" s="328">
        <f>MMF_TABULKA!P91/MMF_TABULKA!P95*100</f>
        <v>0.47374058282147419</v>
      </c>
      <c r="G23" s="348">
        <f>MMF_TABULKA!Q91/MMF_TABULKA!Q95*100</f>
        <v>0.32528214664385263</v>
      </c>
      <c r="H23" s="96">
        <f>MMF_TABULKA!R91/MMF_TABULKA!R95*100</f>
        <v>0.25351689062902077</v>
      </c>
      <c r="I23" s="331">
        <f>MMF_TABULKA!S91/MMF_TABULKA!S95*100</f>
        <v>0.1932753034974185</v>
      </c>
      <c r="J23" s="348">
        <f>MMF_TABULKA!U91/MMF_TABULKA!U95*100</f>
        <v>0.23841625663306698</v>
      </c>
      <c r="K23" s="96">
        <f>MMF_TABULKA!V91/MMF_TABULKA!V95*100</f>
        <v>0.26312579908167627</v>
      </c>
      <c r="L23" s="96">
        <f>MMF_TABULKA!W91/MMF_TABULKA!W95*100</f>
        <v>0.20459826973256326</v>
      </c>
      <c r="M23" s="348">
        <f t="shared" si="7"/>
        <v>-8.6865890010785651E-2</v>
      </c>
      <c r="N23" s="96">
        <f t="shared" si="8"/>
        <v>9.6089084526554958E-3</v>
      </c>
      <c r="O23" s="96">
        <f t="shared" si="9"/>
        <v>1.1322966235144755E-2</v>
      </c>
      <c r="P23" s="94"/>
    </row>
    <row r="24" spans="2:18" ht="14.25" thickBot="1" x14ac:dyDescent="0.3">
      <c r="B24" s="338" t="s">
        <v>309</v>
      </c>
      <c r="C24" s="338" t="s">
        <v>442</v>
      </c>
      <c r="D24" s="352"/>
      <c r="E24" s="341">
        <f>E15-SUM(E16:E23)+E21</f>
        <v>3.3359175926416329</v>
      </c>
      <c r="F24" s="341">
        <f t="shared" ref="F24:J24" si="10">F15-SUM(F16:F23)+F21</f>
        <v>2.4689629572120086</v>
      </c>
      <c r="G24" s="341">
        <f t="shared" si="10"/>
        <v>3.3046106959104682</v>
      </c>
      <c r="H24" s="342">
        <f t="shared" si="10"/>
        <v>2.9393757822333111</v>
      </c>
      <c r="I24" s="343">
        <f t="shared" si="10"/>
        <v>2.5980565976708196</v>
      </c>
      <c r="J24" s="341">
        <f t="shared" si="10"/>
        <v>2.9017767639931611</v>
      </c>
      <c r="K24" s="342">
        <f t="shared" ref="K24" si="11">K15-SUM(K16:K23)+K21</f>
        <v>2.8009863202293257</v>
      </c>
      <c r="L24" s="343">
        <f t="shared" ref="L24" si="12">L15-SUM(L16:L23)+L21</f>
        <v>2.2545621315322895</v>
      </c>
      <c r="M24" s="341">
        <f t="shared" si="7"/>
        <v>-0.4028339319173071</v>
      </c>
      <c r="N24" s="342">
        <f t="shared" si="8"/>
        <v>-0.13838946200398539</v>
      </c>
      <c r="O24" s="342">
        <f t="shared" si="9"/>
        <v>-0.34349446613853019</v>
      </c>
      <c r="P24" s="94"/>
    </row>
    <row r="25" spans="2:18" ht="14.25" thickBot="1" x14ac:dyDescent="0.3">
      <c r="B25" s="338" t="s">
        <v>597</v>
      </c>
      <c r="C25" s="338" t="s">
        <v>598</v>
      </c>
      <c r="D25" s="352"/>
      <c r="E25" s="352"/>
      <c r="F25" s="352"/>
      <c r="G25" s="341"/>
      <c r="H25" s="342">
        <f>MMF_TABULKA!R92/MMF_TABULKA!R95*100</f>
        <v>0.71305519361831937</v>
      </c>
      <c r="I25" s="343">
        <f>MMF_TABULKA!S92/MMF_TABULKA!S95*100</f>
        <v>0.65551184386257411</v>
      </c>
      <c r="J25" s="342"/>
      <c r="K25" s="342"/>
      <c r="L25" s="343"/>
      <c r="M25" s="341"/>
      <c r="N25" s="342"/>
      <c r="O25" s="342"/>
      <c r="P25" s="94"/>
    </row>
    <row r="26" spans="2:18" ht="14.25" thickBot="1" x14ac:dyDescent="0.3">
      <c r="B26" s="14" t="s">
        <v>310</v>
      </c>
      <c r="C26" s="14" t="s">
        <v>443</v>
      </c>
      <c r="D26" s="353" t="s">
        <v>55</v>
      </c>
      <c r="E26" s="354">
        <f t="shared" ref="E26:L26" si="13">E15-E8</f>
        <v>5.4972654915000234</v>
      </c>
      <c r="F26" s="354">
        <f t="shared" si="13"/>
        <v>7.9208943918754215</v>
      </c>
      <c r="G26" s="355">
        <f t="shared" si="13"/>
        <v>4.9400004019502219</v>
      </c>
      <c r="H26" s="356">
        <f t="shared" si="13"/>
        <v>3.3930551936183235</v>
      </c>
      <c r="I26" s="100">
        <f t="shared" si="13"/>
        <v>3.2555504219548226</v>
      </c>
      <c r="J26" s="323">
        <f t="shared" si="13"/>
        <v>3.817473203342459</v>
      </c>
      <c r="K26" s="323">
        <f t="shared" si="13"/>
        <v>3.3480638593601881</v>
      </c>
      <c r="L26" s="324">
        <f t="shared" si="13"/>
        <v>3.4802797368715588</v>
      </c>
      <c r="M26" s="355">
        <f t="shared" si="7"/>
        <v>-1.122527198607763</v>
      </c>
      <c r="N26" s="356">
        <f t="shared" si="8"/>
        <v>-4.4991334258135396E-2</v>
      </c>
      <c r="O26" s="356">
        <f t="shared" si="9"/>
        <v>0.2247293149167362</v>
      </c>
      <c r="P26" s="94"/>
    </row>
    <row r="27" spans="2:18" x14ac:dyDescent="0.25">
      <c r="B27" s="447" t="s">
        <v>878</v>
      </c>
      <c r="C27" s="546"/>
      <c r="D27" s="548"/>
      <c r="E27" s="549">
        <v>1.0114840962056892</v>
      </c>
      <c r="F27" s="547">
        <v>1.2361553357943791</v>
      </c>
      <c r="G27" s="550">
        <v>1.4862142493020143</v>
      </c>
      <c r="H27" s="547">
        <v>2.0518598855681569</v>
      </c>
      <c r="I27" s="551">
        <v>0.97181465466612926</v>
      </c>
      <c r="J27" s="547"/>
      <c r="K27" s="547"/>
      <c r="L27" s="547"/>
      <c r="M27" s="550"/>
      <c r="N27" s="552"/>
      <c r="O27" s="547"/>
      <c r="P27" s="94"/>
    </row>
    <row r="28" spans="2:18" ht="14.25" thickBot="1" x14ac:dyDescent="0.3">
      <c r="B28" s="447" t="s">
        <v>879</v>
      </c>
      <c r="C28" s="546"/>
      <c r="D28" s="548"/>
      <c r="E28" s="549"/>
      <c r="F28" s="547">
        <v>0.1</v>
      </c>
      <c r="G28" s="550">
        <f>[71]ESA_2021_2024_NPC!AH44</f>
        <v>0</v>
      </c>
      <c r="H28" s="547">
        <f>[71]ESA_2021_2024_NPC!AI44</f>
        <v>0</v>
      </c>
      <c r="I28" s="553">
        <f>[71]ESA_2021_2024_NPC!AJ44</f>
        <v>0</v>
      </c>
      <c r="J28" s="547"/>
      <c r="K28" s="547"/>
      <c r="L28" s="547"/>
      <c r="M28" s="550"/>
      <c r="N28" s="547"/>
      <c r="O28" s="547"/>
      <c r="P28" s="94"/>
    </row>
    <row r="29" spans="2:18" ht="15" customHeight="1" x14ac:dyDescent="0.25">
      <c r="B29" s="357" t="s">
        <v>311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817" t="s">
        <v>2</v>
      </c>
      <c r="N29" s="817"/>
      <c r="O29" s="817"/>
    </row>
    <row r="30" spans="2:18" x14ac:dyDescent="0.25">
      <c r="B30" s="33" t="s">
        <v>355</v>
      </c>
      <c r="C30" s="33"/>
      <c r="D30" s="33"/>
      <c r="E30" s="33"/>
      <c r="F30" s="33"/>
      <c r="G30" s="33"/>
      <c r="H30" s="33"/>
      <c r="I30" s="33"/>
      <c r="J30" s="483"/>
      <c r="K30" s="483"/>
      <c r="L30" s="483"/>
      <c r="M30" s="483"/>
      <c r="N30" s="483"/>
      <c r="O30" s="483"/>
    </row>
    <row r="31" spans="2:18" x14ac:dyDescent="0.2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2:18" x14ac:dyDescent="0.25">
      <c r="J32" s="250"/>
      <c r="K32" s="250"/>
      <c r="L32" s="250"/>
      <c r="M32" s="250"/>
      <c r="N32" s="250"/>
      <c r="O32" s="250"/>
    </row>
  </sheetData>
  <mergeCells count="6">
    <mergeCell ref="M29:O29"/>
    <mergeCell ref="B5:O5"/>
    <mergeCell ref="B4:O4"/>
    <mergeCell ref="G6:I6"/>
    <mergeCell ref="J6:L6"/>
    <mergeCell ref="M6:O6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N62"/>
  <sheetViews>
    <sheetView showGridLines="0" zoomScaleNormal="100" workbookViewId="0"/>
  </sheetViews>
  <sheetFormatPr defaultColWidth="9.140625" defaultRowHeight="13.5" x14ac:dyDescent="0.25"/>
  <cols>
    <col min="1" max="1" width="14.140625" style="88" bestFit="1" customWidth="1"/>
    <col min="2" max="2" width="61.85546875" style="88" bestFit="1" customWidth="1"/>
    <col min="3" max="3" width="12.85546875" style="88" customWidth="1"/>
    <col min="4" max="4" width="10.85546875" style="88" customWidth="1"/>
    <col min="5" max="7" width="7.140625" style="88" customWidth="1"/>
    <col min="8" max="8" width="9.140625" style="88"/>
    <col min="9" max="9" width="75.5703125" style="94" customWidth="1"/>
    <col min="10" max="16384" width="9.140625" style="88"/>
  </cols>
  <sheetData>
    <row r="1" spans="1:14" ht="15" x14ac:dyDescent="0.25">
      <c r="A1" s="1"/>
    </row>
    <row r="3" spans="1:14" x14ac:dyDescent="0.25">
      <c r="A3" s="280"/>
      <c r="C3" s="280"/>
      <c r="D3" s="280"/>
      <c r="E3" s="280"/>
      <c r="F3" s="280"/>
      <c r="G3" s="280"/>
    </row>
    <row r="4" spans="1:14" ht="16.5" customHeight="1" thickBot="1" x14ac:dyDescent="0.3">
      <c r="A4" s="280"/>
      <c r="B4" s="867" t="s">
        <v>356</v>
      </c>
      <c r="C4" s="867"/>
      <c r="D4" s="867"/>
      <c r="E4" s="867"/>
      <c r="F4" s="867"/>
      <c r="G4" s="867"/>
      <c r="H4" s="291"/>
      <c r="I4" s="867" t="s">
        <v>521</v>
      </c>
      <c r="J4" s="867"/>
      <c r="K4" s="867"/>
      <c r="L4" s="867"/>
      <c r="M4" s="867"/>
      <c r="N4" s="867"/>
    </row>
    <row r="5" spans="1:14" ht="16.5" customHeight="1" thickBot="1" x14ac:dyDescent="0.3">
      <c r="A5" s="280"/>
      <c r="B5" s="293" t="s">
        <v>296</v>
      </c>
      <c r="C5" s="292" t="s">
        <v>56</v>
      </c>
      <c r="D5" s="292"/>
      <c r="E5" s="283">
        <v>2022</v>
      </c>
      <c r="F5" s="283">
        <v>2023</v>
      </c>
      <c r="G5" s="283">
        <v>2024</v>
      </c>
      <c r="H5" s="280"/>
      <c r="I5" s="281" t="s">
        <v>519</v>
      </c>
      <c r="J5" s="282" t="s">
        <v>56</v>
      </c>
      <c r="K5" s="282">
        <v>2020</v>
      </c>
      <c r="L5" s="282">
        <f>E5</f>
        <v>2022</v>
      </c>
      <c r="M5" s="282">
        <f t="shared" ref="M5:N21" si="0">F5</f>
        <v>2023</v>
      </c>
      <c r="N5" s="282">
        <f t="shared" si="0"/>
        <v>2024</v>
      </c>
    </row>
    <row r="6" spans="1:14" ht="16.5" customHeight="1" x14ac:dyDescent="0.25">
      <c r="A6" s="280"/>
      <c r="B6" s="294" t="s">
        <v>624</v>
      </c>
      <c r="C6" s="295" t="s">
        <v>138</v>
      </c>
      <c r="D6" s="295"/>
      <c r="E6" s="575">
        <v>0.3055724864108943</v>
      </c>
      <c r="F6" s="575">
        <v>0.61407741993457476</v>
      </c>
      <c r="G6" s="575">
        <v>0.88958451548632134</v>
      </c>
      <c r="H6" s="280"/>
      <c r="I6" s="296" t="s">
        <v>520</v>
      </c>
      <c r="J6" s="297" t="s">
        <v>138</v>
      </c>
      <c r="K6" s="95"/>
      <c r="L6" s="298">
        <f>E6</f>
        <v>0.3055724864108943</v>
      </c>
      <c r="M6" s="298">
        <f t="shared" si="0"/>
        <v>0.61407741993457476</v>
      </c>
      <c r="N6" s="298">
        <f t="shared" si="0"/>
        <v>0.88958451548632134</v>
      </c>
    </row>
    <row r="7" spans="1:14" ht="16.5" customHeight="1" x14ac:dyDescent="0.25">
      <c r="A7" s="280"/>
      <c r="B7" s="299" t="s">
        <v>900</v>
      </c>
      <c r="C7" s="290"/>
      <c r="D7" s="290"/>
      <c r="E7" s="576">
        <v>-0.16584852614984177</v>
      </c>
      <c r="F7" s="576">
        <v>-0.12743410050446025</v>
      </c>
      <c r="G7" s="576">
        <v>-0.17556658533069108</v>
      </c>
      <c r="H7" s="280"/>
      <c r="I7" s="588" t="s">
        <v>944</v>
      </c>
      <c r="J7" s="114"/>
      <c r="K7" s="114"/>
      <c r="L7" s="287">
        <f t="shared" ref="L7:N40" si="1">E7</f>
        <v>-0.16584852614984177</v>
      </c>
      <c r="M7" s="287">
        <f t="shared" si="0"/>
        <v>-0.12743410050446025</v>
      </c>
      <c r="N7" s="287">
        <f t="shared" si="0"/>
        <v>-0.17556658533069108</v>
      </c>
    </row>
    <row r="8" spans="1:14" ht="16.5" customHeight="1" x14ac:dyDescent="0.25">
      <c r="A8" s="280"/>
      <c r="B8" s="299" t="s">
        <v>901</v>
      </c>
      <c r="C8" s="290"/>
      <c r="D8" s="290"/>
      <c r="E8" s="576">
        <v>-2.5636569707562833E-2</v>
      </c>
      <c r="F8" s="576">
        <v>-4.2931805107537045E-2</v>
      </c>
      <c r="G8" s="576">
        <v>-4.3564811984278813E-2</v>
      </c>
      <c r="H8" s="280"/>
      <c r="I8" s="587" t="s">
        <v>938</v>
      </c>
      <c r="J8" s="114"/>
      <c r="K8" s="114"/>
      <c r="L8" s="287">
        <f t="shared" si="1"/>
        <v>-2.5636569707562833E-2</v>
      </c>
      <c r="M8" s="287">
        <f t="shared" si="0"/>
        <v>-4.2931805107537045E-2</v>
      </c>
      <c r="N8" s="287">
        <f t="shared" si="0"/>
        <v>-4.3564811984278813E-2</v>
      </c>
    </row>
    <row r="9" spans="1:14" ht="16.5" customHeight="1" x14ac:dyDescent="0.25">
      <c r="A9" s="280"/>
      <c r="B9" s="299" t="s">
        <v>902</v>
      </c>
      <c r="C9" s="290"/>
      <c r="D9" s="290"/>
      <c r="E9" s="576">
        <v>0.16912768094612979</v>
      </c>
      <c r="F9" s="576">
        <v>0.35164081260448232</v>
      </c>
      <c r="G9" s="576">
        <v>0.53652729673085009</v>
      </c>
      <c r="H9" s="280"/>
      <c r="I9" s="588" t="s">
        <v>945</v>
      </c>
      <c r="J9" s="114"/>
      <c r="K9" s="114"/>
      <c r="L9" s="287">
        <f t="shared" si="1"/>
        <v>0.16912768094612979</v>
      </c>
      <c r="M9" s="287">
        <f t="shared" si="0"/>
        <v>0.35164081260448232</v>
      </c>
      <c r="N9" s="287">
        <f t="shared" si="0"/>
        <v>0.53652729673085009</v>
      </c>
    </row>
    <row r="10" spans="1:14" ht="16.5" customHeight="1" x14ac:dyDescent="0.25">
      <c r="A10" s="280"/>
      <c r="B10" s="299" t="s">
        <v>903</v>
      </c>
      <c r="C10" s="290"/>
      <c r="D10" s="290"/>
      <c r="E10" s="576">
        <v>0.18288410879767175</v>
      </c>
      <c r="F10" s="576">
        <v>0.18249652286941792</v>
      </c>
      <c r="G10" s="576">
        <v>0.20560458066003667</v>
      </c>
      <c r="H10" s="280"/>
      <c r="I10" s="588" t="s">
        <v>960</v>
      </c>
      <c r="J10" s="114"/>
      <c r="K10" s="114"/>
      <c r="L10" s="287">
        <f t="shared" ref="L10:L11" si="2">E10</f>
        <v>0.18288410879767175</v>
      </c>
      <c r="M10" s="287">
        <f t="shared" ref="M10:M11" si="3">F10</f>
        <v>0.18249652286941792</v>
      </c>
      <c r="N10" s="287">
        <f t="shared" ref="N10:N11" si="4">G10</f>
        <v>0.20560458066003667</v>
      </c>
    </row>
    <row r="11" spans="1:14" ht="16.5" customHeight="1" thickBot="1" x14ac:dyDescent="0.3">
      <c r="A11" s="280"/>
      <c r="B11" s="300" t="s">
        <v>904</v>
      </c>
      <c r="C11" s="301"/>
      <c r="D11" s="301"/>
      <c r="E11" s="578">
        <v>0.13709607378684122</v>
      </c>
      <c r="F11" s="578">
        <v>0.17664130158215793</v>
      </c>
      <c r="G11" s="578">
        <v>0.20413126163745951</v>
      </c>
      <c r="H11" s="280"/>
      <c r="I11" s="590" t="s">
        <v>959</v>
      </c>
      <c r="J11" s="6"/>
      <c r="K11" s="6"/>
      <c r="L11" s="306">
        <f t="shared" si="2"/>
        <v>0.13709607378684122</v>
      </c>
      <c r="M11" s="306">
        <f t="shared" si="3"/>
        <v>0.17664130158215793</v>
      </c>
      <c r="N11" s="306">
        <f t="shared" si="4"/>
        <v>0.20413126163745951</v>
      </c>
    </row>
    <row r="12" spans="1:14" ht="16.5" customHeight="1" x14ac:dyDescent="0.25">
      <c r="A12" s="280"/>
      <c r="B12" s="293" t="s">
        <v>625</v>
      </c>
      <c r="C12" s="292" t="s">
        <v>46</v>
      </c>
      <c r="D12" s="292"/>
      <c r="E12" s="579">
        <v>-0.97656536987374576</v>
      </c>
      <c r="F12" s="579">
        <v>-0.43284091680201647</v>
      </c>
      <c r="G12" s="579">
        <v>-0.36588363759717091</v>
      </c>
      <c r="H12" s="280"/>
      <c r="I12" s="302" t="s">
        <v>627</v>
      </c>
      <c r="J12" s="303" t="s">
        <v>46</v>
      </c>
      <c r="K12" s="114"/>
      <c r="L12" s="307">
        <f t="shared" si="1"/>
        <v>-0.97656536987374576</v>
      </c>
      <c r="M12" s="307">
        <f t="shared" si="0"/>
        <v>-0.43284091680201647</v>
      </c>
      <c r="N12" s="307">
        <f t="shared" si="0"/>
        <v>-0.36588363759717091</v>
      </c>
    </row>
    <row r="13" spans="1:14" ht="16.5" customHeight="1" x14ac:dyDescent="0.25">
      <c r="A13" s="280"/>
      <c r="B13" s="580" t="s">
        <v>912</v>
      </c>
      <c r="C13" s="290"/>
      <c r="D13" s="290"/>
      <c r="E13" s="304">
        <v>-1.3419221807131609</v>
      </c>
      <c r="F13" s="304">
        <v>-0.87658396267711236</v>
      </c>
      <c r="G13" s="304">
        <v>-0.74503237997064831</v>
      </c>
      <c r="H13" s="280"/>
      <c r="I13" s="587" t="s">
        <v>946</v>
      </c>
      <c r="J13" s="114"/>
      <c r="K13" s="114"/>
      <c r="L13" s="287">
        <f t="shared" si="1"/>
        <v>-1.3419221807131609</v>
      </c>
      <c r="M13" s="287">
        <f t="shared" si="0"/>
        <v>-0.87658396267711236</v>
      </c>
      <c r="N13" s="287">
        <f t="shared" si="0"/>
        <v>-0.74503237997064831</v>
      </c>
    </row>
    <row r="14" spans="1:14" ht="16.5" customHeight="1" x14ac:dyDescent="0.25">
      <c r="A14" s="280"/>
      <c r="B14" s="581" t="s">
        <v>905</v>
      </c>
      <c r="C14" s="290"/>
      <c r="D14" s="290"/>
      <c r="E14" s="304">
        <v>-0.6798102234019795</v>
      </c>
      <c r="F14" s="304"/>
      <c r="G14" s="304"/>
      <c r="H14" s="280"/>
      <c r="I14" s="587" t="s">
        <v>947</v>
      </c>
      <c r="J14" s="114"/>
      <c r="K14" s="114"/>
      <c r="L14" s="287">
        <f t="shared" si="1"/>
        <v>-0.6798102234019795</v>
      </c>
      <c r="M14" s="287"/>
      <c r="N14" s="287"/>
    </row>
    <row r="15" spans="1:14" ht="16.5" customHeight="1" x14ac:dyDescent="0.25">
      <c r="A15" s="280"/>
      <c r="B15" s="582" t="s">
        <v>906</v>
      </c>
      <c r="C15" s="290"/>
      <c r="D15" s="290"/>
      <c r="E15" s="304">
        <v>-0.26265593657305147</v>
      </c>
      <c r="F15" s="304">
        <v>-0.43411934341649749</v>
      </c>
      <c r="G15" s="304">
        <v>-0.29290162073207304</v>
      </c>
      <c r="H15" s="280"/>
      <c r="I15" s="587" t="s">
        <v>948</v>
      </c>
      <c r="J15" s="114"/>
      <c r="K15" s="114"/>
      <c r="L15" s="287">
        <f t="shared" si="1"/>
        <v>-0.26265593657305147</v>
      </c>
      <c r="M15" s="287">
        <f t="shared" si="0"/>
        <v>-0.43411934341649749</v>
      </c>
      <c r="N15" s="287">
        <f t="shared" si="0"/>
        <v>-0.29290162073207304</v>
      </c>
    </row>
    <row r="16" spans="1:14" ht="16.5" customHeight="1" x14ac:dyDescent="0.25">
      <c r="A16" s="280"/>
      <c r="B16" s="577" t="s">
        <v>907</v>
      </c>
      <c r="C16" s="290"/>
      <c r="D16" s="290"/>
      <c r="E16" s="304">
        <v>-0.20846074509347129</v>
      </c>
      <c r="F16" s="304">
        <v>-0.20846074509347129</v>
      </c>
      <c r="G16" s="304">
        <v>-0.20846074509347129</v>
      </c>
      <c r="H16" s="280"/>
      <c r="I16" s="587" t="s">
        <v>952</v>
      </c>
      <c r="J16" s="114"/>
      <c r="K16" s="114"/>
      <c r="L16" s="287">
        <f t="shared" si="1"/>
        <v>-0.20846074509347129</v>
      </c>
      <c r="M16" s="287">
        <f t="shared" si="0"/>
        <v>-0.20846074509347129</v>
      </c>
      <c r="N16" s="287">
        <f t="shared" si="0"/>
        <v>-0.20846074509347129</v>
      </c>
    </row>
    <row r="17" spans="1:14" ht="16.5" customHeight="1" x14ac:dyDescent="0.25">
      <c r="A17" s="280"/>
      <c r="B17" s="581" t="s">
        <v>908</v>
      </c>
      <c r="C17" s="290"/>
      <c r="D17" s="290"/>
      <c r="E17" s="304">
        <v>-0.14687007040676386</v>
      </c>
      <c r="F17" s="304">
        <v>-0.14687007040676386</v>
      </c>
      <c r="G17" s="304">
        <v>-0.14687007040676386</v>
      </c>
      <c r="H17" s="280"/>
      <c r="I17" s="587" t="s">
        <v>949</v>
      </c>
      <c r="J17" s="114"/>
      <c r="K17" s="114"/>
      <c r="L17" s="287">
        <f t="shared" si="1"/>
        <v>-0.14687007040676386</v>
      </c>
      <c r="M17" s="287">
        <f t="shared" si="0"/>
        <v>-0.14687007040676386</v>
      </c>
      <c r="N17" s="287">
        <f t="shared" si="0"/>
        <v>-0.14687007040676386</v>
      </c>
    </row>
    <row r="18" spans="1:14" ht="16.5" customHeight="1" x14ac:dyDescent="0.25">
      <c r="A18" s="280"/>
      <c r="B18" s="577" t="s">
        <v>909</v>
      </c>
      <c r="C18" s="290"/>
      <c r="D18" s="290"/>
      <c r="E18" s="304">
        <v>-3.4649716824554998E-2</v>
      </c>
      <c r="F18" s="304">
        <v>-7.7658315347040194E-2</v>
      </c>
      <c r="G18" s="304">
        <v>-8.7324455325000397E-2</v>
      </c>
      <c r="H18" s="280"/>
      <c r="I18" s="587" t="s">
        <v>950</v>
      </c>
      <c r="J18" s="114"/>
      <c r="K18" s="114"/>
      <c r="L18" s="287">
        <f t="shared" si="1"/>
        <v>-3.4649716824554998E-2</v>
      </c>
      <c r="M18" s="287">
        <f t="shared" si="0"/>
        <v>-7.7658315347040194E-2</v>
      </c>
      <c r="N18" s="287">
        <f t="shared" si="0"/>
        <v>-8.7324455325000397E-2</v>
      </c>
    </row>
    <row r="19" spans="1:14" ht="16.5" customHeight="1" x14ac:dyDescent="0.25">
      <c r="A19" s="280"/>
      <c r="B19" s="582" t="s">
        <v>910</v>
      </c>
      <c r="C19" s="290"/>
      <c r="D19" s="290"/>
      <c r="E19" s="304">
        <v>5.4736775337979486E-2</v>
      </c>
      <c r="F19" s="304">
        <v>1.5254503517240291E-3</v>
      </c>
      <c r="G19" s="304">
        <v>-8.2661955971820841E-2</v>
      </c>
      <c r="H19" s="280"/>
      <c r="I19" s="587" t="s">
        <v>961</v>
      </c>
      <c r="J19" s="114"/>
      <c r="K19" s="114"/>
      <c r="L19" s="287">
        <f t="shared" si="1"/>
        <v>5.4736775337979486E-2</v>
      </c>
      <c r="M19" s="287">
        <f t="shared" si="0"/>
        <v>1.5254503517240291E-3</v>
      </c>
      <c r="N19" s="287">
        <f t="shared" si="0"/>
        <v>-8.2661955971820841E-2</v>
      </c>
    </row>
    <row r="20" spans="1:14" ht="16.5" customHeight="1" thickBot="1" x14ac:dyDescent="0.3">
      <c r="A20" s="280"/>
      <c r="B20" s="583" t="s">
        <v>911</v>
      </c>
      <c r="C20" s="290"/>
      <c r="D20" s="290"/>
      <c r="E20" s="304">
        <v>0.31062003550143358</v>
      </c>
      <c r="F20" s="304">
        <v>0.40795469099451537</v>
      </c>
      <c r="G20" s="304">
        <v>0.42140225934342596</v>
      </c>
      <c r="H20" s="280"/>
      <c r="I20" s="594" t="s">
        <v>957</v>
      </c>
      <c r="J20" s="6"/>
      <c r="K20" s="6"/>
      <c r="L20" s="287">
        <f t="shared" si="1"/>
        <v>0.31062003550143358</v>
      </c>
      <c r="M20" s="287">
        <f t="shared" si="0"/>
        <v>0.40795469099451537</v>
      </c>
      <c r="N20" s="287">
        <f t="shared" si="0"/>
        <v>0.42140225934342596</v>
      </c>
    </row>
    <row r="21" spans="1:14" ht="16.5" customHeight="1" x14ac:dyDescent="0.25">
      <c r="A21" s="280"/>
      <c r="B21" s="294" t="s">
        <v>626</v>
      </c>
      <c r="C21" s="295" t="s">
        <v>139</v>
      </c>
      <c r="D21" s="295"/>
      <c r="E21" s="584">
        <v>3.5600291189339418E-2</v>
      </c>
      <c r="F21" s="584">
        <v>6.2500264032350789E-2</v>
      </c>
      <c r="G21" s="584">
        <v>6.7080998132789629E-2</v>
      </c>
      <c r="H21" s="280"/>
      <c r="I21" s="305" t="s">
        <v>628</v>
      </c>
      <c r="J21" s="303" t="s">
        <v>139</v>
      </c>
      <c r="K21" s="114"/>
      <c r="L21" s="298">
        <f t="shared" si="1"/>
        <v>3.5600291189339418E-2</v>
      </c>
      <c r="M21" s="298">
        <f t="shared" si="0"/>
        <v>6.2500264032350789E-2</v>
      </c>
      <c r="N21" s="298">
        <f t="shared" si="0"/>
        <v>6.7080998132789629E-2</v>
      </c>
    </row>
    <row r="22" spans="1:14" ht="18.75" customHeight="1" thickBot="1" x14ac:dyDescent="0.3">
      <c r="A22" s="280"/>
      <c r="B22" s="583" t="s">
        <v>913</v>
      </c>
      <c r="C22" s="292"/>
      <c r="D22" s="292"/>
      <c r="E22" s="304">
        <v>3.7966663658830772E-2</v>
      </c>
      <c r="F22" s="304">
        <v>3.8163386430523916E-2</v>
      </c>
      <c r="G22" s="304">
        <v>3.8533829520568767E-2</v>
      </c>
      <c r="H22" s="280"/>
      <c r="I22" s="588" t="s">
        <v>939</v>
      </c>
      <c r="J22" s="114"/>
      <c r="K22" s="114"/>
      <c r="L22" s="306">
        <f t="shared" si="1"/>
        <v>3.7966663658830772E-2</v>
      </c>
      <c r="M22" s="306">
        <f t="shared" si="1"/>
        <v>3.8163386430523916E-2</v>
      </c>
      <c r="N22" s="306">
        <f t="shared" si="1"/>
        <v>3.8533829520568767E-2</v>
      </c>
    </row>
    <row r="23" spans="1:14" s="94" customFormat="1" ht="18.75" customHeight="1" x14ac:dyDescent="0.25">
      <c r="A23" s="291"/>
      <c r="B23" s="296" t="s">
        <v>333</v>
      </c>
      <c r="C23" s="297" t="s">
        <v>322</v>
      </c>
      <c r="D23" s="297"/>
      <c r="E23" s="298">
        <v>-3.2196762079686039E-2</v>
      </c>
      <c r="F23" s="298">
        <v>1.5144510352507879E-2</v>
      </c>
      <c r="G23" s="298">
        <v>1.617446888885217E-2</v>
      </c>
      <c r="H23" s="280"/>
      <c r="I23" s="296" t="s">
        <v>678</v>
      </c>
      <c r="J23" s="297" t="str">
        <f>C23</f>
        <v>D.6P</v>
      </c>
      <c r="K23" s="95"/>
      <c r="L23" s="307">
        <f t="shared" si="1"/>
        <v>-3.2196762079686039E-2</v>
      </c>
      <c r="M23" s="307">
        <f t="shared" si="1"/>
        <v>1.5144510352507879E-2</v>
      </c>
      <c r="N23" s="307">
        <f t="shared" si="1"/>
        <v>1.617446888885217E-2</v>
      </c>
    </row>
    <row r="24" spans="1:14" s="94" customFormat="1" ht="16.5" customHeight="1" x14ac:dyDescent="0.25">
      <c r="A24" s="291"/>
      <c r="B24" s="31" t="s">
        <v>914</v>
      </c>
      <c r="C24" s="5" t="s">
        <v>918</v>
      </c>
      <c r="D24" s="5"/>
      <c r="E24" s="288">
        <v>-4.7472196950831443E-2</v>
      </c>
      <c r="F24" s="288"/>
      <c r="G24" s="288"/>
      <c r="H24" s="280"/>
      <c r="I24" s="588" t="s">
        <v>951</v>
      </c>
      <c r="J24" s="114" t="str">
        <f>C24</f>
        <v>D.62P</v>
      </c>
      <c r="K24" s="287"/>
      <c r="L24" s="287">
        <f t="shared" si="1"/>
        <v>-4.7472196950831443E-2</v>
      </c>
      <c r="M24" s="287"/>
      <c r="N24" s="287"/>
    </row>
    <row r="25" spans="1:14" ht="16.5" customHeight="1" x14ac:dyDescent="0.25">
      <c r="A25" s="280"/>
      <c r="B25" s="31" t="s">
        <v>915</v>
      </c>
      <c r="C25" s="5" t="s">
        <v>919</v>
      </c>
      <c r="E25" s="308">
        <v>1.5275434871144867E-2</v>
      </c>
      <c r="F25" s="308">
        <v>1.5144510352507879E-2</v>
      </c>
      <c r="G25" s="308">
        <v>1.6174468888850619E-2</v>
      </c>
      <c r="H25" s="280"/>
      <c r="I25" s="291" t="s">
        <v>942</v>
      </c>
      <c r="J25" s="114" t="str">
        <f>C24</f>
        <v>D.62P</v>
      </c>
      <c r="K25" s="114"/>
      <c r="L25" s="287">
        <f t="shared" si="1"/>
        <v>1.5275434871144867E-2</v>
      </c>
      <c r="M25" s="287">
        <f t="shared" si="1"/>
        <v>1.5144510352507879E-2</v>
      </c>
      <c r="N25" s="287">
        <f t="shared" si="1"/>
        <v>1.6174468888850619E-2</v>
      </c>
    </row>
    <row r="26" spans="1:14" ht="16.5" customHeight="1" x14ac:dyDescent="0.25">
      <c r="A26" s="280"/>
      <c r="B26" s="31" t="s">
        <v>916</v>
      </c>
      <c r="C26" s="5"/>
      <c r="D26" s="5"/>
      <c r="E26" s="288">
        <v>0.23593966149215612</v>
      </c>
      <c r="F26" s="288">
        <v>0.27658399588590526</v>
      </c>
      <c r="G26" s="288">
        <v>0.29183162015230452</v>
      </c>
      <c r="H26" s="280"/>
      <c r="I26" s="291" t="s">
        <v>940</v>
      </c>
      <c r="J26" s="114"/>
      <c r="K26" s="114"/>
      <c r="L26" s="287">
        <f t="shared" si="1"/>
        <v>0.23593966149215612</v>
      </c>
      <c r="M26" s="287">
        <f t="shared" si="1"/>
        <v>0.27658399588590526</v>
      </c>
      <c r="N26" s="287">
        <f t="shared" si="1"/>
        <v>0.29183162015230452</v>
      </c>
    </row>
    <row r="27" spans="1:14" ht="16.5" customHeight="1" thickBot="1" x14ac:dyDescent="0.3">
      <c r="A27" s="280"/>
      <c r="B27" s="83" t="s">
        <v>917</v>
      </c>
      <c r="C27" s="563"/>
      <c r="D27" s="563"/>
      <c r="E27" s="306">
        <v>-0.17245388912278081</v>
      </c>
      <c r="F27" s="306">
        <v>-0.25375484066992576</v>
      </c>
      <c r="G27" s="306">
        <v>-0.29865809079914207</v>
      </c>
      <c r="H27" s="280"/>
      <c r="I27" s="589" t="s">
        <v>941</v>
      </c>
      <c r="J27" s="6"/>
      <c r="K27" s="6"/>
      <c r="L27" s="306">
        <f t="shared" si="1"/>
        <v>-0.17245388912278081</v>
      </c>
      <c r="M27" s="306">
        <f t="shared" si="1"/>
        <v>-0.25375484066992576</v>
      </c>
      <c r="N27" s="306">
        <f t="shared" si="1"/>
        <v>-0.29865809079914207</v>
      </c>
    </row>
    <row r="28" spans="1:14" ht="16.5" customHeight="1" x14ac:dyDescent="0.25">
      <c r="A28" s="280"/>
      <c r="B28" s="123" t="s">
        <v>920</v>
      </c>
      <c r="C28" s="3" t="s">
        <v>150</v>
      </c>
      <c r="D28" s="33"/>
      <c r="E28" s="585">
        <v>-0.37552487786167038</v>
      </c>
      <c r="F28" s="585">
        <v>-7.9388506480928725E-2</v>
      </c>
      <c r="G28" s="585">
        <v>-0.17587590791538543</v>
      </c>
      <c r="H28" s="280"/>
      <c r="I28" s="305" t="s">
        <v>629</v>
      </c>
      <c r="J28" s="114" t="str">
        <f>C28</f>
        <v>D.7p</v>
      </c>
      <c r="K28" s="114"/>
      <c r="L28" s="287">
        <f t="shared" si="1"/>
        <v>-0.37552487786167038</v>
      </c>
      <c r="M28" s="287">
        <f t="shared" si="1"/>
        <v>-7.9388506480928725E-2</v>
      </c>
      <c r="N28" s="287">
        <f t="shared" si="1"/>
        <v>-0.17587590791538543</v>
      </c>
    </row>
    <row r="29" spans="1:14" ht="16.5" customHeight="1" x14ac:dyDescent="0.25">
      <c r="A29" s="280"/>
      <c r="B29" s="31" t="s">
        <v>921</v>
      </c>
      <c r="C29" s="33"/>
      <c r="D29" s="33"/>
      <c r="E29" s="288">
        <v>-0.30908174491536056</v>
      </c>
      <c r="F29" s="288">
        <v>0</v>
      </c>
      <c r="G29" s="288">
        <v>0</v>
      </c>
      <c r="H29" s="280"/>
      <c r="I29" s="291" t="s">
        <v>953</v>
      </c>
      <c r="J29" s="114"/>
      <c r="K29" s="114"/>
      <c r="L29" s="287">
        <f t="shared" si="1"/>
        <v>-0.30908174491536056</v>
      </c>
      <c r="M29" s="287">
        <f t="shared" si="1"/>
        <v>0</v>
      </c>
      <c r="N29" s="287">
        <f t="shared" si="1"/>
        <v>0</v>
      </c>
    </row>
    <row r="30" spans="1:14" ht="16.5" customHeight="1" x14ac:dyDescent="0.25">
      <c r="A30" s="280"/>
      <c r="B30" s="31" t="s">
        <v>901</v>
      </c>
      <c r="C30" s="33"/>
      <c r="D30" s="33"/>
      <c r="E30" s="288">
        <v>-3.7187402334364267E-2</v>
      </c>
      <c r="F30" s="288">
        <v>-3.8048319540177261E-2</v>
      </c>
      <c r="G30" s="288">
        <v>-6.8567630250019912E-2</v>
      </c>
      <c r="H30" s="280"/>
      <c r="I30" s="587" t="s">
        <v>938</v>
      </c>
      <c r="J30" s="114"/>
      <c r="K30" s="114"/>
      <c r="L30" s="287">
        <f t="shared" si="1"/>
        <v>-3.7187402334364267E-2</v>
      </c>
      <c r="M30" s="287">
        <f t="shared" si="1"/>
        <v>-3.8048319540177261E-2</v>
      </c>
      <c r="N30" s="287">
        <f t="shared" si="1"/>
        <v>-6.8567630250019912E-2</v>
      </c>
    </row>
    <row r="31" spans="1:14" ht="16.5" customHeight="1" thickBot="1" x14ac:dyDescent="0.3">
      <c r="A31" s="280"/>
      <c r="B31" s="83" t="s">
        <v>922</v>
      </c>
      <c r="C31" s="17"/>
      <c r="D31" s="563"/>
      <c r="E31" s="306">
        <v>-1.0423037254673565E-2</v>
      </c>
      <c r="F31" s="306">
        <v>-9.6584887452220887E-3</v>
      </c>
      <c r="G31" s="306">
        <v>-9.3863971394016078E-3</v>
      </c>
      <c r="H31" s="280"/>
      <c r="I31" s="589" t="s">
        <v>955</v>
      </c>
      <c r="J31" s="6"/>
      <c r="K31" s="6"/>
      <c r="L31" s="306">
        <f t="shared" si="1"/>
        <v>-1.0423037254673565E-2</v>
      </c>
      <c r="M31" s="306">
        <f t="shared" si="1"/>
        <v>-9.6584887452220887E-3</v>
      </c>
      <c r="N31" s="306">
        <f t="shared" si="1"/>
        <v>-9.3863971394016078E-3</v>
      </c>
    </row>
    <row r="32" spans="1:14" ht="16.5" customHeight="1" x14ac:dyDescent="0.25">
      <c r="A32" s="280"/>
      <c r="B32" s="305" t="s">
        <v>925</v>
      </c>
      <c r="C32" s="253" t="s">
        <v>928</v>
      </c>
      <c r="D32" s="112"/>
      <c r="E32" s="307">
        <v>5.3910573391461195E-3</v>
      </c>
      <c r="F32" s="307">
        <v>-0.23600451647440909</v>
      </c>
      <c r="G32" s="307">
        <v>-0.21953003502092247</v>
      </c>
      <c r="H32" s="280"/>
      <c r="I32" s="231" t="s">
        <v>932</v>
      </c>
      <c r="J32" s="303" t="str">
        <f>C32</f>
        <v>P.5L</v>
      </c>
      <c r="K32" s="114"/>
      <c r="L32" s="307">
        <f t="shared" si="1"/>
        <v>5.3910573391461195E-3</v>
      </c>
      <c r="M32" s="307">
        <f t="shared" si="1"/>
        <v>-0.23600451647440909</v>
      </c>
      <c r="N32" s="307">
        <f t="shared" si="1"/>
        <v>-0.21953003502092247</v>
      </c>
    </row>
    <row r="33" spans="1:14" ht="16.5" customHeight="1" x14ac:dyDescent="0.25">
      <c r="A33" s="280"/>
      <c r="B33" s="133" t="s">
        <v>906</v>
      </c>
      <c r="C33" s="114" t="s">
        <v>929</v>
      </c>
      <c r="D33" s="114"/>
      <c r="E33" s="287">
        <v>-0.21576962707424482</v>
      </c>
      <c r="F33" s="287">
        <v>-0.19994253726023253</v>
      </c>
      <c r="G33" s="287">
        <v>-0.19430990802909423</v>
      </c>
      <c r="H33" s="280"/>
      <c r="I33" s="587" t="s">
        <v>954</v>
      </c>
      <c r="J33" s="114" t="str">
        <f t="shared" ref="J33:J38" si="5">C33</f>
        <v>P.51g</v>
      </c>
      <c r="K33" s="114"/>
      <c r="L33" s="287">
        <f t="shared" si="1"/>
        <v>-0.21576962707424482</v>
      </c>
      <c r="M33" s="287">
        <f t="shared" si="1"/>
        <v>-0.19994253726023253</v>
      </c>
      <c r="N33" s="287">
        <f t="shared" si="1"/>
        <v>-0.19430990802909423</v>
      </c>
    </row>
    <row r="34" spans="1:14" ht="16.5" customHeight="1" x14ac:dyDescent="0.25">
      <c r="A34" s="280"/>
      <c r="B34" s="133" t="s">
        <v>909</v>
      </c>
      <c r="C34" s="114" t="s">
        <v>929</v>
      </c>
      <c r="D34" s="114"/>
      <c r="E34" s="287">
        <v>-2.6308465220366652E-2</v>
      </c>
      <c r="F34" s="287">
        <v>-1.5771788806466566E-2</v>
      </c>
      <c r="G34" s="287">
        <v>-1.0383258968179815E-2</v>
      </c>
      <c r="H34" s="280"/>
      <c r="I34" s="587" t="s">
        <v>938</v>
      </c>
      <c r="J34" s="114" t="str">
        <f t="shared" si="5"/>
        <v>P.51g</v>
      </c>
      <c r="K34" s="114"/>
      <c r="L34" s="287">
        <f t="shared" si="1"/>
        <v>-2.6308465220366652E-2</v>
      </c>
      <c r="M34" s="287">
        <f t="shared" si="1"/>
        <v>-1.5771788806466566E-2</v>
      </c>
      <c r="N34" s="287">
        <f t="shared" si="1"/>
        <v>-1.0383258968179815E-2</v>
      </c>
    </row>
    <row r="35" spans="1:14" ht="16.5" customHeight="1" x14ac:dyDescent="0.25">
      <c r="A35" s="280"/>
      <c r="B35" s="133" t="s">
        <v>926</v>
      </c>
      <c r="C35" s="114" t="s">
        <v>929</v>
      </c>
      <c r="D35" s="114"/>
      <c r="E35" s="287">
        <v>0.27477820368940098</v>
      </c>
      <c r="F35" s="287">
        <v>3.8711643159793349E-2</v>
      </c>
      <c r="G35" s="287">
        <v>0.1527808368906724</v>
      </c>
      <c r="H35" s="280"/>
      <c r="I35" s="587" t="s">
        <v>962</v>
      </c>
      <c r="J35" s="114" t="str">
        <f t="shared" si="5"/>
        <v>P.51g</v>
      </c>
      <c r="K35" s="309"/>
      <c r="L35" s="287">
        <f t="shared" si="1"/>
        <v>0.27477820368940098</v>
      </c>
      <c r="M35" s="287">
        <f t="shared" si="1"/>
        <v>3.8711643159793349E-2</v>
      </c>
      <c r="N35" s="287">
        <f t="shared" si="1"/>
        <v>0.1527808368906724</v>
      </c>
    </row>
    <row r="36" spans="1:14" ht="16.5" customHeight="1" x14ac:dyDescent="0.25">
      <c r="A36" s="280"/>
      <c r="B36" s="133" t="s">
        <v>937</v>
      </c>
      <c r="C36" s="114" t="s">
        <v>930</v>
      </c>
      <c r="D36" s="114"/>
      <c r="E36" s="287">
        <v>-2.2824607278670334E-2</v>
      </c>
      <c r="F36" s="287">
        <v>-8.7068658708546104E-2</v>
      </c>
      <c r="G36" s="287">
        <v>-0.14628236116944984</v>
      </c>
      <c r="H36" s="280"/>
      <c r="I36" s="588" t="s">
        <v>958</v>
      </c>
      <c r="J36" s="114" t="str">
        <f t="shared" si="5"/>
        <v>P.5M</v>
      </c>
      <c r="K36" s="309"/>
      <c r="L36" s="287">
        <f t="shared" si="1"/>
        <v>-2.2824607278670334E-2</v>
      </c>
      <c r="M36" s="287">
        <f t="shared" si="1"/>
        <v>-8.7068658708546104E-2</v>
      </c>
      <c r="N36" s="287">
        <f t="shared" si="1"/>
        <v>-0.14628236116944984</v>
      </c>
    </row>
    <row r="37" spans="1:14" ht="16.5" customHeight="1" thickBot="1" x14ac:dyDescent="0.3">
      <c r="A37" s="280"/>
      <c r="B37" s="133" t="s">
        <v>927</v>
      </c>
      <c r="C37" s="114" t="s">
        <v>931</v>
      </c>
      <c r="D37" s="114"/>
      <c r="E37" s="287">
        <v>0</v>
      </c>
      <c r="F37" s="287">
        <v>4.390222156919131E-2</v>
      </c>
      <c r="G37" s="287">
        <v>0</v>
      </c>
      <c r="H37" s="280"/>
      <c r="I37" s="590" t="s">
        <v>956</v>
      </c>
      <c r="J37" s="6" t="str">
        <f t="shared" si="5"/>
        <v>NP</v>
      </c>
      <c r="K37" s="106"/>
      <c r="L37" s="306">
        <f t="shared" si="1"/>
        <v>0</v>
      </c>
      <c r="M37" s="306">
        <f t="shared" si="1"/>
        <v>4.390222156919131E-2</v>
      </c>
      <c r="N37" s="306">
        <f t="shared" si="1"/>
        <v>0</v>
      </c>
    </row>
    <row r="38" spans="1:14" ht="16.5" customHeight="1" x14ac:dyDescent="0.25">
      <c r="A38" s="280"/>
      <c r="B38" s="296" t="s">
        <v>933</v>
      </c>
      <c r="C38" s="564" t="s">
        <v>934</v>
      </c>
      <c r="D38" s="564"/>
      <c r="E38" s="564">
        <v>0.24</v>
      </c>
      <c r="F38" s="564">
        <v>-0.02</v>
      </c>
      <c r="G38" s="298">
        <v>-0.1</v>
      </c>
      <c r="H38" s="280"/>
      <c r="I38" s="305" t="s">
        <v>936</v>
      </c>
      <c r="J38" s="114" t="str">
        <f t="shared" si="5"/>
        <v>D.9p</v>
      </c>
      <c r="K38" s="309"/>
      <c r="L38" s="307">
        <f t="shared" si="1"/>
        <v>0.24</v>
      </c>
      <c r="M38" s="307">
        <f t="shared" si="1"/>
        <v>-0.02</v>
      </c>
      <c r="N38" s="307">
        <f t="shared" si="1"/>
        <v>-0.1</v>
      </c>
    </row>
    <row r="39" spans="1:14" ht="16.5" customHeight="1" thickBot="1" x14ac:dyDescent="0.3">
      <c r="A39" s="280"/>
      <c r="B39" s="83" t="s">
        <v>935</v>
      </c>
      <c r="C39" s="565"/>
      <c r="D39" s="565"/>
      <c r="E39" s="306">
        <v>-9.4754884133396056E-2</v>
      </c>
      <c r="F39" s="306">
        <v>0</v>
      </c>
      <c r="G39" s="306">
        <v>0</v>
      </c>
      <c r="H39" s="280"/>
      <c r="I39" s="590" t="s">
        <v>943</v>
      </c>
      <c r="J39" s="6"/>
      <c r="K39" s="106"/>
      <c r="L39" s="306">
        <f t="shared" ref="L39" si="6">E39</f>
        <v>-9.4754884133396056E-2</v>
      </c>
      <c r="M39" s="306">
        <f t="shared" ref="M39" si="7">F39</f>
        <v>0</v>
      </c>
      <c r="N39" s="306">
        <f t="shared" ref="N39" si="8">G39</f>
        <v>0</v>
      </c>
    </row>
    <row r="40" spans="1:14" ht="16.5" customHeight="1" thickBot="1" x14ac:dyDescent="0.3">
      <c r="A40" s="280"/>
      <c r="B40" s="30" t="s">
        <v>141</v>
      </c>
      <c r="C40" s="565"/>
      <c r="D40" s="565"/>
      <c r="E40" s="586">
        <v>-1.1245890648865071</v>
      </c>
      <c r="F40" s="586">
        <v>-4.6901958940821234E-2</v>
      </c>
      <c r="G40" s="586">
        <v>0.22287251490080004</v>
      </c>
      <c r="H40" s="280"/>
      <c r="I40" s="32" t="s">
        <v>403</v>
      </c>
      <c r="J40" s="311"/>
      <c r="K40" s="312"/>
      <c r="L40" s="310">
        <f t="shared" si="1"/>
        <v>-1.1245890648865071</v>
      </c>
      <c r="M40" s="310">
        <f t="shared" si="1"/>
        <v>-4.6901958940821234E-2</v>
      </c>
      <c r="N40" s="310">
        <f t="shared" si="1"/>
        <v>0.22287251490080004</v>
      </c>
    </row>
    <row r="41" spans="1:14" ht="16.5" customHeight="1" x14ac:dyDescent="0.25">
      <c r="A41" s="280"/>
      <c r="B41" s="91" t="s">
        <v>681</v>
      </c>
      <c r="C41" s="313"/>
      <c r="D41" s="114"/>
      <c r="E41" s="114"/>
      <c r="F41" s="114"/>
      <c r="G41" s="114"/>
      <c r="H41" s="280"/>
      <c r="I41" s="91" t="s">
        <v>682</v>
      </c>
      <c r="J41" s="114"/>
      <c r="K41" s="309"/>
      <c r="L41" s="307"/>
      <c r="M41" s="307"/>
      <c r="N41" s="307"/>
    </row>
    <row r="42" spans="1:14" ht="16.5" customHeight="1" x14ac:dyDescent="0.25">
      <c r="A42" s="280"/>
      <c r="B42" s="286"/>
      <c r="C42" s="313"/>
      <c r="D42" s="114"/>
      <c r="E42" s="114"/>
      <c r="F42" s="114"/>
      <c r="G42" s="114"/>
      <c r="H42" s="280"/>
      <c r="L42" s="307"/>
      <c r="M42" s="307"/>
      <c r="N42" s="307"/>
    </row>
    <row r="43" spans="1:14" ht="16.5" customHeight="1" x14ac:dyDescent="0.25">
      <c r="A43" s="280"/>
    </row>
    <row r="44" spans="1:14" ht="16.5" customHeight="1" x14ac:dyDescent="0.25">
      <c r="A44" s="280"/>
    </row>
    <row r="45" spans="1:14" ht="16.5" customHeight="1" x14ac:dyDescent="0.25">
      <c r="A45" s="280"/>
    </row>
    <row r="46" spans="1:14" ht="16.5" customHeight="1" x14ac:dyDescent="0.25">
      <c r="A46" s="280"/>
    </row>
    <row r="47" spans="1:14" ht="16.5" customHeight="1" x14ac:dyDescent="0.25">
      <c r="A47" s="280"/>
    </row>
    <row r="48" spans="1:14" ht="16.5" customHeight="1" x14ac:dyDescent="0.25">
      <c r="A48" s="280"/>
    </row>
    <row r="49" spans="1:1" ht="16.5" customHeight="1" x14ac:dyDescent="0.25">
      <c r="A49" s="280"/>
    </row>
    <row r="50" spans="1:1" ht="16.5" customHeight="1" x14ac:dyDescent="0.25">
      <c r="A50" s="280"/>
    </row>
    <row r="51" spans="1:1" ht="16.5" customHeight="1" x14ac:dyDescent="0.25">
      <c r="A51" s="280"/>
    </row>
    <row r="52" spans="1:1" ht="16.5" customHeight="1" x14ac:dyDescent="0.25">
      <c r="A52" s="280"/>
    </row>
    <row r="53" spans="1:1" ht="16.5" customHeight="1" x14ac:dyDescent="0.25">
      <c r="A53" s="280"/>
    </row>
    <row r="54" spans="1:1" ht="16.5" customHeight="1" x14ac:dyDescent="0.25">
      <c r="A54" s="280"/>
    </row>
    <row r="55" spans="1:1" ht="16.5" customHeight="1" x14ac:dyDescent="0.25">
      <c r="A55" s="280"/>
    </row>
    <row r="56" spans="1:1" ht="16.5" customHeight="1" x14ac:dyDescent="0.25">
      <c r="A56" s="280"/>
    </row>
    <row r="57" spans="1:1" ht="16.5" customHeight="1" x14ac:dyDescent="0.25">
      <c r="A57" s="280"/>
    </row>
    <row r="58" spans="1:1" ht="16.5" customHeight="1" x14ac:dyDescent="0.25">
      <c r="A58" s="280"/>
    </row>
    <row r="59" spans="1:1" ht="16.5" customHeight="1" x14ac:dyDescent="0.25">
      <c r="A59" s="280"/>
    </row>
    <row r="60" spans="1:1" ht="16.5" customHeight="1" x14ac:dyDescent="0.25">
      <c r="A60" s="280"/>
    </row>
    <row r="61" spans="1:1" ht="16.5" customHeight="1" x14ac:dyDescent="0.25">
      <c r="A61" s="280"/>
    </row>
    <row r="62" spans="1:1" ht="16.5" customHeight="1" x14ac:dyDescent="0.25">
      <c r="A62" s="280"/>
    </row>
  </sheetData>
  <mergeCells count="2">
    <mergeCell ref="B4:G4"/>
    <mergeCell ref="I4:N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1:O42"/>
  <sheetViews>
    <sheetView showGridLines="0" zoomScaleNormal="100" workbookViewId="0"/>
  </sheetViews>
  <sheetFormatPr defaultColWidth="9.140625" defaultRowHeight="15.75" customHeight="1" x14ac:dyDescent="0.25"/>
  <cols>
    <col min="1" max="1" width="14.140625" style="88" customWidth="1"/>
    <col min="2" max="2" width="9.140625" style="88" customWidth="1"/>
    <col min="3" max="3" width="47.5703125" style="88" customWidth="1"/>
    <col min="4" max="8" width="9.140625" style="88"/>
    <col min="9" max="12" width="9.140625" style="88" customWidth="1"/>
    <col min="13" max="16384" width="9.140625" style="88"/>
  </cols>
  <sheetData>
    <row r="1" spans="1:15" ht="15.75" customHeight="1" x14ac:dyDescent="0.25">
      <c r="A1" s="1"/>
    </row>
    <row r="2" spans="1:15" ht="13.5" x14ac:dyDescent="0.25"/>
    <row r="3" spans="1:15" ht="13.5" x14ac:dyDescent="0.25"/>
    <row r="4" spans="1:15" ht="13.5" x14ac:dyDescent="0.25"/>
    <row r="5" spans="1:15" ht="14.25" thickBot="1" x14ac:dyDescent="0.3">
      <c r="B5" s="819" t="s">
        <v>1091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O5" s="358"/>
    </row>
    <row r="6" spans="1:15" ht="16.5" customHeight="1" thickBot="1" x14ac:dyDescent="0.3">
      <c r="B6" s="82" t="s">
        <v>57</v>
      </c>
      <c r="C6" s="82" t="s">
        <v>6</v>
      </c>
      <c r="D6" s="81"/>
      <c r="E6" s="868" t="s">
        <v>58</v>
      </c>
      <c r="F6" s="869"/>
      <c r="G6" s="869"/>
      <c r="H6" s="870"/>
      <c r="I6" s="871" t="s">
        <v>59</v>
      </c>
      <c r="J6" s="865"/>
      <c r="K6" s="865"/>
      <c r="L6" s="865"/>
    </row>
    <row r="7" spans="1:15" ht="16.5" customHeight="1" thickBot="1" x14ac:dyDescent="0.3">
      <c r="B7" s="440"/>
      <c r="C7" s="440"/>
      <c r="D7" s="110" t="s">
        <v>60</v>
      </c>
      <c r="E7" s="522">
        <v>2021</v>
      </c>
      <c r="F7" s="522">
        <v>2022</v>
      </c>
      <c r="G7" s="522">
        <v>2023</v>
      </c>
      <c r="H7" s="522">
        <v>2024</v>
      </c>
      <c r="I7" s="522">
        <v>2021</v>
      </c>
      <c r="J7" s="522">
        <v>2022</v>
      </c>
      <c r="K7" s="522">
        <v>2023</v>
      </c>
      <c r="L7" s="522">
        <v>2024</v>
      </c>
    </row>
    <row r="8" spans="1:15" ht="16.5" customHeight="1" x14ac:dyDescent="0.25">
      <c r="B8" s="76">
        <v>1</v>
      </c>
      <c r="C8" s="33" t="s">
        <v>61</v>
      </c>
      <c r="D8" s="76" t="s">
        <v>62</v>
      </c>
      <c r="E8" s="348">
        <v>95.4</v>
      </c>
      <c r="F8" s="330">
        <v>103.5</v>
      </c>
      <c r="G8" s="330">
        <v>109.3</v>
      </c>
      <c r="H8" s="331">
        <v>112.4</v>
      </c>
      <c r="I8" s="330">
        <v>97.44</v>
      </c>
      <c r="J8" s="443">
        <v>105.535</v>
      </c>
      <c r="K8" s="443">
        <v>113.889</v>
      </c>
      <c r="L8" s="443">
        <v>117.191</v>
      </c>
    </row>
    <row r="9" spans="1:15" ht="16.5" customHeight="1" x14ac:dyDescent="0.25">
      <c r="B9" s="76">
        <v>2</v>
      </c>
      <c r="C9" s="33" t="s">
        <v>63</v>
      </c>
      <c r="D9" s="76" t="s">
        <v>9</v>
      </c>
      <c r="E9" s="348">
        <v>3.3</v>
      </c>
      <c r="F9" s="330">
        <v>6.3</v>
      </c>
      <c r="G9" s="330">
        <v>2.8</v>
      </c>
      <c r="H9" s="331">
        <v>0.3</v>
      </c>
      <c r="I9" s="330">
        <v>3.6718484361970116</v>
      </c>
      <c r="J9" s="330">
        <v>4.2056758055444288</v>
      </c>
      <c r="K9" s="330">
        <v>4.997439849067109</v>
      </c>
      <c r="L9" s="330">
        <v>0.71357348082539129</v>
      </c>
    </row>
    <row r="10" spans="1:15" ht="16.5" customHeight="1" x14ac:dyDescent="0.25">
      <c r="B10" s="76">
        <v>3</v>
      </c>
      <c r="C10" s="31" t="s">
        <v>64</v>
      </c>
      <c r="D10" s="76" t="s">
        <v>9</v>
      </c>
      <c r="E10" s="348">
        <v>-3.3</v>
      </c>
      <c r="F10" s="330">
        <v>6.8</v>
      </c>
      <c r="G10" s="330">
        <v>2.7</v>
      </c>
      <c r="H10" s="331">
        <v>2.4</v>
      </c>
      <c r="I10" s="330">
        <v>0.21197690906746836</v>
      </c>
      <c r="J10" s="443">
        <v>2.3986119605059475</v>
      </c>
      <c r="K10" s="443">
        <v>3.5668045212731148</v>
      </c>
      <c r="L10" s="443">
        <v>3.9064115557614798</v>
      </c>
    </row>
    <row r="11" spans="1:15" ht="16.5" customHeight="1" x14ac:dyDescent="0.25">
      <c r="B11" s="76">
        <v>4</v>
      </c>
      <c r="C11" s="31" t="s">
        <v>65</v>
      </c>
      <c r="D11" s="76" t="s">
        <v>9</v>
      </c>
      <c r="E11" s="348">
        <v>3.6</v>
      </c>
      <c r="F11" s="330">
        <v>0.9</v>
      </c>
      <c r="G11" s="330">
        <v>3.7</v>
      </c>
      <c r="H11" s="331">
        <v>-0.7</v>
      </c>
      <c r="I11" s="330">
        <v>4.9390802474485795</v>
      </c>
      <c r="J11" s="330">
        <v>4.0844008055829217</v>
      </c>
      <c r="K11" s="330">
        <v>1.8393761457486724</v>
      </c>
      <c r="L11" s="330">
        <v>-0.41130500568535844</v>
      </c>
    </row>
    <row r="12" spans="1:15" ht="16.5" customHeight="1" x14ac:dyDescent="0.25">
      <c r="B12" s="76">
        <v>5</v>
      </c>
      <c r="C12" s="31" t="s">
        <v>66</v>
      </c>
      <c r="D12" s="76" t="s">
        <v>9</v>
      </c>
      <c r="E12" s="348">
        <v>0.8</v>
      </c>
      <c r="F12" s="330">
        <v>11.9</v>
      </c>
      <c r="G12" s="330">
        <v>8.4</v>
      </c>
      <c r="H12" s="331">
        <v>-10.9</v>
      </c>
      <c r="I12" s="330">
        <v>-0.25904047974576461</v>
      </c>
      <c r="J12" s="443">
        <v>16.669307103774813</v>
      </c>
      <c r="K12" s="443">
        <v>15.229300137971791</v>
      </c>
      <c r="L12" s="443">
        <v>-12.16338684364967</v>
      </c>
    </row>
    <row r="13" spans="1:15" ht="16.5" customHeight="1" x14ac:dyDescent="0.25">
      <c r="B13" s="76">
        <v>6</v>
      </c>
      <c r="C13" s="31" t="s">
        <v>67</v>
      </c>
      <c r="D13" s="76" t="s">
        <v>9</v>
      </c>
      <c r="E13" s="348">
        <v>10.6</v>
      </c>
      <c r="F13" s="330">
        <v>4.8</v>
      </c>
      <c r="G13" s="330">
        <v>4.2</v>
      </c>
      <c r="H13" s="331">
        <v>3.6</v>
      </c>
      <c r="I13" s="330">
        <v>10.460937564083771</v>
      </c>
      <c r="J13" s="443">
        <v>3.0997577744184213</v>
      </c>
      <c r="K13" s="443">
        <v>5.9615052419844883</v>
      </c>
      <c r="L13" s="443">
        <v>3.9801626197696338</v>
      </c>
    </row>
    <row r="14" spans="1:15" ht="16.5" customHeight="1" x14ac:dyDescent="0.25">
      <c r="B14" s="76">
        <v>7</v>
      </c>
      <c r="C14" s="31" t="s">
        <v>68</v>
      </c>
      <c r="D14" s="76" t="s">
        <v>9</v>
      </c>
      <c r="E14" s="348">
        <v>8.8000000000000007</v>
      </c>
      <c r="F14" s="330">
        <v>5.3</v>
      </c>
      <c r="G14" s="330">
        <v>4.0999999999999996</v>
      </c>
      <c r="H14" s="331">
        <v>2</v>
      </c>
      <c r="I14" s="330">
        <v>10.937736207751403</v>
      </c>
      <c r="J14" s="443">
        <v>3.8777777978013628</v>
      </c>
      <c r="K14" s="443">
        <v>6.4567392088699993</v>
      </c>
      <c r="L14" s="443">
        <v>2.4230981547613828</v>
      </c>
    </row>
    <row r="15" spans="1:15" ht="16.5" customHeight="1" x14ac:dyDescent="0.25">
      <c r="B15" s="76">
        <v>8</v>
      </c>
      <c r="C15" s="33" t="s">
        <v>137</v>
      </c>
      <c r="D15" s="76" t="s">
        <v>9</v>
      </c>
      <c r="E15" s="348">
        <v>-2.6</v>
      </c>
      <c r="F15" s="330">
        <v>0.9</v>
      </c>
      <c r="G15" s="330">
        <v>0.9</v>
      </c>
      <c r="H15" s="331">
        <v>-1</v>
      </c>
      <c r="I15" s="330">
        <v>-1.7177581496915284</v>
      </c>
      <c r="J15" s="443">
        <v>-0.35681421314139872</v>
      </c>
      <c r="K15" s="443">
        <v>1.051655304868504</v>
      </c>
      <c r="L15" s="443">
        <v>-1.3727754965319638</v>
      </c>
    </row>
    <row r="16" spans="1:15" ht="16.5" customHeight="1" x14ac:dyDescent="0.25">
      <c r="B16" s="76">
        <v>9</v>
      </c>
      <c r="C16" s="33" t="s">
        <v>135</v>
      </c>
      <c r="D16" s="76" t="s">
        <v>9</v>
      </c>
      <c r="E16" s="348">
        <v>4.9000000000000004</v>
      </c>
      <c r="F16" s="330">
        <v>5</v>
      </c>
      <c r="G16" s="330">
        <v>4.7</v>
      </c>
      <c r="H16" s="331">
        <v>4.0999999999999996</v>
      </c>
      <c r="I16" s="330">
        <v>5.3839364518976085</v>
      </c>
      <c r="J16" s="443">
        <v>5.5276381909547645</v>
      </c>
      <c r="K16" s="443">
        <v>5.0793650793650835</v>
      </c>
      <c r="L16" s="443">
        <v>4.8338368580060465</v>
      </c>
    </row>
    <row r="17" spans="2:12" ht="16.5" customHeight="1" x14ac:dyDescent="0.25">
      <c r="B17" s="76">
        <v>10</v>
      </c>
      <c r="C17" s="33" t="s">
        <v>69</v>
      </c>
      <c r="D17" s="76" t="s">
        <v>9</v>
      </c>
      <c r="E17" s="348">
        <v>-0.2</v>
      </c>
      <c r="F17" s="330">
        <v>0.9</v>
      </c>
      <c r="G17" s="330">
        <v>1.1000000000000001</v>
      </c>
      <c r="H17" s="331">
        <v>0.3</v>
      </c>
      <c r="I17" s="330">
        <v>-1.3290540668710715</v>
      </c>
      <c r="J17" s="443">
        <v>0.91180338006626727</v>
      </c>
      <c r="K17" s="443">
        <v>0.97498570366152393</v>
      </c>
      <c r="L17" s="443">
        <v>0.35002144389570944</v>
      </c>
    </row>
    <row r="18" spans="2:12" ht="16.5" customHeight="1" x14ac:dyDescent="0.25">
      <c r="B18" s="76">
        <v>11</v>
      </c>
      <c r="C18" s="31" t="s">
        <v>70</v>
      </c>
      <c r="D18" s="76" t="s">
        <v>9</v>
      </c>
      <c r="E18" s="348">
        <v>-0.4</v>
      </c>
      <c r="F18" s="330">
        <v>0.9</v>
      </c>
      <c r="G18" s="330">
        <v>1.2</v>
      </c>
      <c r="H18" s="331">
        <v>0.3</v>
      </c>
      <c r="I18" s="330">
        <v>-0.81936641206497018</v>
      </c>
      <c r="J18" s="443">
        <v>0.75416518357946938</v>
      </c>
      <c r="K18" s="443">
        <v>0.99764059596931798</v>
      </c>
      <c r="L18" s="443">
        <v>0.3500065736187663</v>
      </c>
    </row>
    <row r="19" spans="2:12" ht="16.5" customHeight="1" x14ac:dyDescent="0.25">
      <c r="B19" s="76">
        <v>12</v>
      </c>
      <c r="C19" s="31" t="s">
        <v>71</v>
      </c>
      <c r="D19" s="76" t="s">
        <v>9</v>
      </c>
      <c r="E19" s="348">
        <v>7.1</v>
      </c>
      <c r="F19" s="330">
        <v>6.5</v>
      </c>
      <c r="G19" s="330">
        <v>5.4</v>
      </c>
      <c r="H19" s="331">
        <v>4.7</v>
      </c>
      <c r="I19" s="330">
        <v>7.0493511856596243</v>
      </c>
      <c r="J19" s="443">
        <v>6.7172391406567113</v>
      </c>
      <c r="K19" s="443">
        <v>5.7276464366146866</v>
      </c>
      <c r="L19" s="443">
        <v>5.1798392007082663</v>
      </c>
    </row>
    <row r="20" spans="2:12" ht="16.5" customHeight="1" x14ac:dyDescent="0.25">
      <c r="B20" s="76">
        <v>13</v>
      </c>
      <c r="C20" s="31" t="s">
        <v>72</v>
      </c>
      <c r="D20" s="76" t="s">
        <v>9</v>
      </c>
      <c r="E20" s="348">
        <v>7.6</v>
      </c>
      <c r="F20" s="330">
        <v>7</v>
      </c>
      <c r="G20" s="330">
        <v>5.9</v>
      </c>
      <c r="H20" s="331">
        <v>5.2</v>
      </c>
      <c r="I20" s="330">
        <v>8.3376134205448409</v>
      </c>
      <c r="J20" s="443">
        <v>7.9821700210797806</v>
      </c>
      <c r="K20" s="443">
        <v>6.9298704820194983</v>
      </c>
      <c r="L20" s="443">
        <v>6.3246955597449572</v>
      </c>
    </row>
    <row r="21" spans="2:12" ht="16.5" customHeight="1" x14ac:dyDescent="0.25">
      <c r="B21" s="76">
        <v>14</v>
      </c>
      <c r="C21" s="31" t="s">
        <v>73</v>
      </c>
      <c r="D21" s="76" t="s">
        <v>9</v>
      </c>
      <c r="E21" s="348">
        <v>1.1000000000000001</v>
      </c>
      <c r="F21" s="330">
        <v>2.2000000000000002</v>
      </c>
      <c r="G21" s="330">
        <v>2.5</v>
      </c>
      <c r="H21" s="331">
        <v>2.2999999999999998</v>
      </c>
      <c r="I21" s="330">
        <v>2.3327873187517056</v>
      </c>
      <c r="J21" s="443">
        <v>4.0221807630820727</v>
      </c>
      <c r="K21" s="443">
        <v>3.1269838240679082</v>
      </c>
      <c r="L21" s="443">
        <v>1.5383954565857616</v>
      </c>
    </row>
    <row r="22" spans="2:12" ht="15.75" customHeight="1" thickBot="1" x14ac:dyDescent="0.3">
      <c r="B22" s="17">
        <v>15</v>
      </c>
      <c r="C22" s="83" t="s">
        <v>74</v>
      </c>
      <c r="D22" s="17" t="s">
        <v>9</v>
      </c>
      <c r="E22" s="341">
        <v>-0.8</v>
      </c>
      <c r="F22" s="342">
        <v>-0.8</v>
      </c>
      <c r="G22" s="342">
        <v>-0.7</v>
      </c>
      <c r="H22" s="343">
        <v>-0.3</v>
      </c>
      <c r="I22" s="342">
        <v>0.33167776057035253</v>
      </c>
      <c r="J22" s="560">
        <v>0.18049341298189875</v>
      </c>
      <c r="K22" s="560">
        <v>7.2626370914352104E-2</v>
      </c>
      <c r="L22" s="560">
        <v>0.44358171660654661</v>
      </c>
    </row>
    <row r="23" spans="2:12" ht="15.75" customHeight="1" x14ac:dyDescent="0.25">
      <c r="B23" s="873"/>
      <c r="C23" s="873"/>
      <c r="D23" s="873"/>
      <c r="E23" s="81"/>
      <c r="J23" s="817" t="s">
        <v>2</v>
      </c>
      <c r="K23" s="817"/>
      <c r="L23" s="817"/>
    </row>
    <row r="24" spans="2:12" ht="15.75" customHeight="1" thickBot="1" x14ac:dyDescent="0.3">
      <c r="B24" s="819" t="s">
        <v>1096</v>
      </c>
      <c r="C24" s="819"/>
      <c r="D24" s="819"/>
      <c r="E24" s="819"/>
      <c r="F24" s="819"/>
      <c r="G24" s="819"/>
      <c r="H24" s="819"/>
      <c r="I24" s="819"/>
      <c r="J24" s="819"/>
      <c r="K24" s="819"/>
      <c r="L24" s="819"/>
    </row>
    <row r="25" spans="2:12" ht="15.75" customHeight="1" thickBot="1" x14ac:dyDescent="0.3">
      <c r="B25" s="82" t="s">
        <v>456</v>
      </c>
      <c r="C25" s="82" t="s">
        <v>457</v>
      </c>
      <c r="D25" s="81"/>
      <c r="E25" s="864" t="s">
        <v>458</v>
      </c>
      <c r="F25" s="865"/>
      <c r="G25" s="865"/>
      <c r="H25" s="872"/>
      <c r="I25" s="871" t="s">
        <v>532</v>
      </c>
      <c r="J25" s="865"/>
      <c r="K25" s="865"/>
      <c r="L25" s="865"/>
    </row>
    <row r="26" spans="2:12" ht="15.75" customHeight="1" thickBot="1" x14ac:dyDescent="0.3">
      <c r="B26" s="440"/>
      <c r="C26" s="440"/>
      <c r="D26" s="110" t="s">
        <v>459</v>
      </c>
      <c r="E26" s="109">
        <f>E7</f>
        <v>2021</v>
      </c>
      <c r="F26" s="110">
        <f t="shared" ref="F26:L26" si="0">F7</f>
        <v>2022</v>
      </c>
      <c r="G26" s="110">
        <f t="shared" si="0"/>
        <v>2023</v>
      </c>
      <c r="H26" s="442">
        <f t="shared" si="0"/>
        <v>2024</v>
      </c>
      <c r="I26" s="111">
        <f t="shared" si="0"/>
        <v>2021</v>
      </c>
      <c r="J26" s="111">
        <f t="shared" si="0"/>
        <v>2022</v>
      </c>
      <c r="K26" s="111">
        <f t="shared" si="0"/>
        <v>2023</v>
      </c>
      <c r="L26" s="111">
        <f t="shared" si="0"/>
        <v>2024</v>
      </c>
    </row>
    <row r="27" spans="2:12" ht="15.75" customHeight="1" x14ac:dyDescent="0.25">
      <c r="B27" s="76">
        <v>1</v>
      </c>
      <c r="C27" s="33" t="s">
        <v>460</v>
      </c>
      <c r="D27" s="76" t="s">
        <v>461</v>
      </c>
      <c r="E27" s="99">
        <f t="shared" ref="E27:L27" si="1">E8</f>
        <v>95.4</v>
      </c>
      <c r="F27" s="252">
        <f t="shared" si="1"/>
        <v>103.5</v>
      </c>
      <c r="G27" s="252">
        <f t="shared" si="1"/>
        <v>109.3</v>
      </c>
      <c r="H27" s="20">
        <f t="shared" si="1"/>
        <v>112.4</v>
      </c>
      <c r="I27" s="252">
        <f t="shared" si="1"/>
        <v>97.44</v>
      </c>
      <c r="J27" s="252">
        <f t="shared" si="1"/>
        <v>105.535</v>
      </c>
      <c r="K27" s="252">
        <f t="shared" si="1"/>
        <v>113.889</v>
      </c>
      <c r="L27" s="252">
        <f t="shared" si="1"/>
        <v>117.191</v>
      </c>
    </row>
    <row r="28" spans="2:12" ht="15.75" customHeight="1" x14ac:dyDescent="0.25">
      <c r="B28" s="76">
        <v>2</v>
      </c>
      <c r="C28" s="33" t="s">
        <v>462</v>
      </c>
      <c r="D28" s="76" t="s">
        <v>9</v>
      </c>
      <c r="E28" s="99">
        <f t="shared" ref="E28:L28" si="2">E9</f>
        <v>3.3</v>
      </c>
      <c r="F28" s="252">
        <f t="shared" si="2"/>
        <v>6.3</v>
      </c>
      <c r="G28" s="252">
        <f t="shared" si="2"/>
        <v>2.8</v>
      </c>
      <c r="H28" s="20">
        <f t="shared" si="2"/>
        <v>0.3</v>
      </c>
      <c r="I28" s="252">
        <f t="shared" si="2"/>
        <v>3.6718484361970116</v>
      </c>
      <c r="J28" s="252">
        <f t="shared" si="2"/>
        <v>4.2056758055444288</v>
      </c>
      <c r="K28" s="252">
        <f t="shared" si="2"/>
        <v>4.997439849067109</v>
      </c>
      <c r="L28" s="252">
        <f t="shared" si="2"/>
        <v>0.71357348082539129</v>
      </c>
    </row>
    <row r="29" spans="2:12" ht="15.75" customHeight="1" x14ac:dyDescent="0.25">
      <c r="B29" s="76">
        <v>3</v>
      </c>
      <c r="C29" s="33" t="s">
        <v>463</v>
      </c>
      <c r="D29" s="76" t="s">
        <v>9</v>
      </c>
      <c r="E29" s="99">
        <f t="shared" ref="E29:H29" si="3">E10</f>
        <v>-3.3</v>
      </c>
      <c r="F29" s="252">
        <f t="shared" si="3"/>
        <v>6.8</v>
      </c>
      <c r="G29" s="252">
        <f t="shared" si="3"/>
        <v>2.7</v>
      </c>
      <c r="H29" s="20">
        <f t="shared" si="3"/>
        <v>2.4</v>
      </c>
      <c r="I29" s="330">
        <f t="shared" ref="I29:L30" si="4">I10</f>
        <v>0.21197690906746836</v>
      </c>
      <c r="J29" s="443">
        <f t="shared" si="4"/>
        <v>2.3986119605059475</v>
      </c>
      <c r="K29" s="443">
        <f t="shared" si="4"/>
        <v>3.5668045212731148</v>
      </c>
      <c r="L29" s="443">
        <f t="shared" si="4"/>
        <v>3.9064115557614798</v>
      </c>
    </row>
    <row r="30" spans="2:12" ht="15.75" customHeight="1" x14ac:dyDescent="0.25">
      <c r="B30" s="76">
        <v>4</v>
      </c>
      <c r="C30" s="33" t="s">
        <v>464</v>
      </c>
      <c r="D30" s="76" t="s">
        <v>9</v>
      </c>
      <c r="E30" s="99">
        <f t="shared" ref="E30:H30" si="5">E11</f>
        <v>3.6</v>
      </c>
      <c r="F30" s="252">
        <f t="shared" si="5"/>
        <v>0.9</v>
      </c>
      <c r="G30" s="252">
        <f t="shared" si="5"/>
        <v>3.7</v>
      </c>
      <c r="H30" s="20">
        <f t="shared" si="5"/>
        <v>-0.7</v>
      </c>
      <c r="I30" s="330">
        <f t="shared" si="4"/>
        <v>4.9390802474485795</v>
      </c>
      <c r="J30" s="443">
        <f t="shared" si="4"/>
        <v>4.0844008055829217</v>
      </c>
      <c r="K30" s="443">
        <f t="shared" si="4"/>
        <v>1.8393761457486724</v>
      </c>
      <c r="L30" s="443">
        <f t="shared" si="4"/>
        <v>-0.41130500568535844</v>
      </c>
    </row>
    <row r="31" spans="2:12" ht="15.75" customHeight="1" x14ac:dyDescent="0.25">
      <c r="B31" s="76">
        <v>5</v>
      </c>
      <c r="C31" s="33" t="s">
        <v>80</v>
      </c>
      <c r="D31" s="76" t="s">
        <v>9</v>
      </c>
      <c r="E31" s="99">
        <f t="shared" ref="E31:L31" si="6">E12</f>
        <v>0.8</v>
      </c>
      <c r="F31" s="252">
        <f t="shared" si="6"/>
        <v>11.9</v>
      </c>
      <c r="G31" s="252">
        <f t="shared" si="6"/>
        <v>8.4</v>
      </c>
      <c r="H31" s="20">
        <f t="shared" si="6"/>
        <v>-10.9</v>
      </c>
      <c r="I31" s="330">
        <f t="shared" si="6"/>
        <v>-0.25904047974576461</v>
      </c>
      <c r="J31" s="443">
        <f t="shared" si="6"/>
        <v>16.669307103774813</v>
      </c>
      <c r="K31" s="443">
        <f t="shared" si="6"/>
        <v>15.229300137971791</v>
      </c>
      <c r="L31" s="443">
        <f t="shared" si="6"/>
        <v>-12.16338684364967</v>
      </c>
    </row>
    <row r="32" spans="2:12" ht="15.75" customHeight="1" x14ac:dyDescent="0.25">
      <c r="B32" s="76">
        <v>6</v>
      </c>
      <c r="C32" s="33" t="s">
        <v>465</v>
      </c>
      <c r="D32" s="76" t="s">
        <v>9</v>
      </c>
      <c r="E32" s="99">
        <f t="shared" ref="E32:L32" si="7">E13</f>
        <v>10.6</v>
      </c>
      <c r="F32" s="252">
        <f t="shared" si="7"/>
        <v>4.8</v>
      </c>
      <c r="G32" s="252">
        <f t="shared" si="7"/>
        <v>4.2</v>
      </c>
      <c r="H32" s="20">
        <f t="shared" si="7"/>
        <v>3.6</v>
      </c>
      <c r="I32" s="330">
        <f t="shared" si="7"/>
        <v>10.460937564083771</v>
      </c>
      <c r="J32" s="443">
        <f t="shared" si="7"/>
        <v>3.0997577744184213</v>
      </c>
      <c r="K32" s="443">
        <f t="shared" si="7"/>
        <v>5.9615052419844883</v>
      </c>
      <c r="L32" s="443">
        <f t="shared" si="7"/>
        <v>3.9801626197696338</v>
      </c>
    </row>
    <row r="33" spans="2:14" ht="15.75" customHeight="1" x14ac:dyDescent="0.25">
      <c r="B33" s="76">
        <v>7</v>
      </c>
      <c r="C33" s="33" t="s">
        <v>466</v>
      </c>
      <c r="D33" s="76" t="s">
        <v>9</v>
      </c>
      <c r="E33" s="99">
        <f t="shared" ref="E33:L33" si="8">E14</f>
        <v>8.8000000000000007</v>
      </c>
      <c r="F33" s="252">
        <f t="shared" si="8"/>
        <v>5.3</v>
      </c>
      <c r="G33" s="252">
        <f t="shared" si="8"/>
        <v>4.0999999999999996</v>
      </c>
      <c r="H33" s="20">
        <f t="shared" si="8"/>
        <v>2</v>
      </c>
      <c r="I33" s="330">
        <f t="shared" si="8"/>
        <v>10.937736207751403</v>
      </c>
      <c r="J33" s="443">
        <f t="shared" si="8"/>
        <v>3.8777777978013628</v>
      </c>
      <c r="K33" s="443">
        <f t="shared" si="8"/>
        <v>6.4567392088699993</v>
      </c>
      <c r="L33" s="443">
        <f t="shared" si="8"/>
        <v>2.4230981547613828</v>
      </c>
    </row>
    <row r="34" spans="2:14" ht="15.75" customHeight="1" x14ac:dyDescent="0.25">
      <c r="B34" s="76">
        <v>8</v>
      </c>
      <c r="C34" s="33" t="s">
        <v>467</v>
      </c>
      <c r="D34" s="76" t="s">
        <v>9</v>
      </c>
      <c r="E34" s="99">
        <f t="shared" ref="E34:L34" si="9">E15</f>
        <v>-2.6</v>
      </c>
      <c r="F34" s="252">
        <f t="shared" si="9"/>
        <v>0.9</v>
      </c>
      <c r="G34" s="252">
        <f t="shared" si="9"/>
        <v>0.9</v>
      </c>
      <c r="H34" s="20">
        <f t="shared" si="9"/>
        <v>-1</v>
      </c>
      <c r="I34" s="330">
        <f t="shared" si="9"/>
        <v>-1.7177581496915284</v>
      </c>
      <c r="J34" s="443">
        <f t="shared" si="9"/>
        <v>-0.35681421314139872</v>
      </c>
      <c r="K34" s="443">
        <f t="shared" si="9"/>
        <v>1.051655304868504</v>
      </c>
      <c r="L34" s="443">
        <f t="shared" si="9"/>
        <v>-1.3727754965319638</v>
      </c>
    </row>
    <row r="35" spans="2:14" ht="15.75" customHeight="1" x14ac:dyDescent="0.25">
      <c r="B35" s="76">
        <v>9</v>
      </c>
      <c r="C35" s="33" t="s">
        <v>468</v>
      </c>
      <c r="D35" s="76" t="s">
        <v>9</v>
      </c>
      <c r="E35" s="99">
        <f t="shared" ref="E35:L35" si="10">E16</f>
        <v>4.9000000000000004</v>
      </c>
      <c r="F35" s="252">
        <f t="shared" si="10"/>
        <v>5</v>
      </c>
      <c r="G35" s="252">
        <f t="shared" si="10"/>
        <v>4.7</v>
      </c>
      <c r="H35" s="20">
        <f t="shared" si="10"/>
        <v>4.0999999999999996</v>
      </c>
      <c r="I35" s="330">
        <f t="shared" si="10"/>
        <v>5.3839364518976085</v>
      </c>
      <c r="J35" s="443">
        <f t="shared" si="10"/>
        <v>5.5276381909547645</v>
      </c>
      <c r="K35" s="443">
        <f t="shared" si="10"/>
        <v>5.0793650793650835</v>
      </c>
      <c r="L35" s="443">
        <f t="shared" si="10"/>
        <v>4.8338368580060465</v>
      </c>
    </row>
    <row r="36" spans="2:14" ht="15.75" customHeight="1" x14ac:dyDescent="0.25">
      <c r="B36" s="76">
        <v>10</v>
      </c>
      <c r="C36" s="33" t="s">
        <v>469</v>
      </c>
      <c r="D36" s="76" t="s">
        <v>9</v>
      </c>
      <c r="E36" s="99">
        <f t="shared" ref="E36:L36" si="11">E17</f>
        <v>-0.2</v>
      </c>
      <c r="F36" s="252">
        <f t="shared" si="11"/>
        <v>0.9</v>
      </c>
      <c r="G36" s="252">
        <f t="shared" si="11"/>
        <v>1.1000000000000001</v>
      </c>
      <c r="H36" s="20">
        <f t="shared" si="11"/>
        <v>0.3</v>
      </c>
      <c r="I36" s="330">
        <f t="shared" si="11"/>
        <v>-1.3290540668710715</v>
      </c>
      <c r="J36" s="443">
        <f t="shared" si="11"/>
        <v>0.91180338006626727</v>
      </c>
      <c r="K36" s="443">
        <f t="shared" si="11"/>
        <v>0.97498570366152393</v>
      </c>
      <c r="L36" s="443">
        <f t="shared" si="11"/>
        <v>0.35002144389570944</v>
      </c>
    </row>
    <row r="37" spans="2:14" ht="15.75" customHeight="1" x14ac:dyDescent="0.25">
      <c r="B37" s="76">
        <v>11</v>
      </c>
      <c r="C37" s="31" t="s">
        <v>470</v>
      </c>
      <c r="D37" s="76" t="s">
        <v>9</v>
      </c>
      <c r="E37" s="99">
        <f t="shared" ref="E37:L37" si="12">E18</f>
        <v>-0.4</v>
      </c>
      <c r="F37" s="252">
        <f t="shared" si="12"/>
        <v>0.9</v>
      </c>
      <c r="G37" s="252">
        <f t="shared" si="12"/>
        <v>1.2</v>
      </c>
      <c r="H37" s="20">
        <f t="shared" si="12"/>
        <v>0.3</v>
      </c>
      <c r="I37" s="330">
        <f t="shared" si="12"/>
        <v>-0.81936641206497018</v>
      </c>
      <c r="J37" s="443">
        <f t="shared" si="12"/>
        <v>0.75416518357946938</v>
      </c>
      <c r="K37" s="443">
        <f t="shared" si="12"/>
        <v>0.99764059596931798</v>
      </c>
      <c r="L37" s="443">
        <f t="shared" si="12"/>
        <v>0.3500065736187663</v>
      </c>
    </row>
    <row r="38" spans="2:14" ht="15.75" customHeight="1" x14ac:dyDescent="0.25">
      <c r="B38" s="76">
        <v>12</v>
      </c>
      <c r="C38" s="31" t="s">
        <v>471</v>
      </c>
      <c r="D38" s="76" t="s">
        <v>9</v>
      </c>
      <c r="E38" s="99">
        <f t="shared" ref="E38:L38" si="13">E19</f>
        <v>7.1</v>
      </c>
      <c r="F38" s="252">
        <f t="shared" si="13"/>
        <v>6.5</v>
      </c>
      <c r="G38" s="252">
        <f t="shared" si="13"/>
        <v>5.4</v>
      </c>
      <c r="H38" s="20">
        <f t="shared" si="13"/>
        <v>4.7</v>
      </c>
      <c r="I38" s="330">
        <f t="shared" si="13"/>
        <v>7.0493511856596243</v>
      </c>
      <c r="J38" s="443">
        <f t="shared" si="13"/>
        <v>6.7172391406567113</v>
      </c>
      <c r="K38" s="443">
        <f t="shared" si="13"/>
        <v>5.7276464366146866</v>
      </c>
      <c r="L38" s="443">
        <f t="shared" si="13"/>
        <v>5.1798392007082663</v>
      </c>
    </row>
    <row r="39" spans="2:14" ht="15.75" customHeight="1" x14ac:dyDescent="0.25">
      <c r="B39" s="76">
        <v>13</v>
      </c>
      <c r="C39" s="31" t="s">
        <v>472</v>
      </c>
      <c r="D39" s="76" t="s">
        <v>9</v>
      </c>
      <c r="E39" s="99">
        <f t="shared" ref="E39:L39" si="14">E20</f>
        <v>7.6</v>
      </c>
      <c r="F39" s="252">
        <f t="shared" si="14"/>
        <v>7</v>
      </c>
      <c r="G39" s="252">
        <f t="shared" si="14"/>
        <v>5.9</v>
      </c>
      <c r="H39" s="20">
        <f t="shared" si="14"/>
        <v>5.2</v>
      </c>
      <c r="I39" s="330">
        <f t="shared" si="14"/>
        <v>8.3376134205448409</v>
      </c>
      <c r="J39" s="443">
        <f t="shared" si="14"/>
        <v>7.9821700210797806</v>
      </c>
      <c r="K39" s="443">
        <f t="shared" si="14"/>
        <v>6.9298704820194983</v>
      </c>
      <c r="L39" s="443">
        <f t="shared" si="14"/>
        <v>6.3246955597449572</v>
      </c>
    </row>
    <row r="40" spans="2:14" ht="15.75" customHeight="1" x14ac:dyDescent="0.25">
      <c r="B40" s="76">
        <v>14</v>
      </c>
      <c r="C40" s="31" t="s">
        <v>473</v>
      </c>
      <c r="D40" s="76" t="s">
        <v>9</v>
      </c>
      <c r="E40" s="99">
        <f t="shared" ref="E40:L40" si="15">E21</f>
        <v>1.1000000000000001</v>
      </c>
      <c r="F40" s="252">
        <f t="shared" si="15"/>
        <v>2.2000000000000002</v>
      </c>
      <c r="G40" s="252">
        <f t="shared" si="15"/>
        <v>2.5</v>
      </c>
      <c r="H40" s="20">
        <f t="shared" si="15"/>
        <v>2.2999999999999998</v>
      </c>
      <c r="I40" s="330">
        <f t="shared" si="15"/>
        <v>2.3327873187517056</v>
      </c>
      <c r="J40" s="443">
        <f t="shared" si="15"/>
        <v>4.0221807630820727</v>
      </c>
      <c r="K40" s="443">
        <f t="shared" si="15"/>
        <v>3.1269838240679082</v>
      </c>
      <c r="L40" s="443">
        <f t="shared" si="15"/>
        <v>1.5383954565857616</v>
      </c>
    </row>
    <row r="41" spans="2:14" ht="15.75" customHeight="1" thickBot="1" x14ac:dyDescent="0.3">
      <c r="B41" s="17">
        <v>15</v>
      </c>
      <c r="C41" s="83" t="s">
        <v>533</v>
      </c>
      <c r="D41" s="17" t="s">
        <v>9</v>
      </c>
      <c r="E41" s="444">
        <f t="shared" ref="E41:L41" si="16">E22</f>
        <v>-0.8</v>
      </c>
      <c r="F41" s="257">
        <f t="shared" si="16"/>
        <v>-0.8</v>
      </c>
      <c r="G41" s="257">
        <f t="shared" si="16"/>
        <v>-0.7</v>
      </c>
      <c r="H41" s="445">
        <f t="shared" si="16"/>
        <v>-0.3</v>
      </c>
      <c r="I41" s="257">
        <f t="shared" si="16"/>
        <v>0.33167776057035253</v>
      </c>
      <c r="J41" s="256">
        <f t="shared" si="16"/>
        <v>0.18049341298189875</v>
      </c>
      <c r="K41" s="256">
        <f t="shared" si="16"/>
        <v>7.2626370914352104E-2</v>
      </c>
      <c r="L41" s="256">
        <f t="shared" si="16"/>
        <v>0.44358171660654661</v>
      </c>
      <c r="M41" s="94"/>
      <c r="N41" s="94"/>
    </row>
    <row r="42" spans="2:14" ht="15.75" customHeight="1" x14ac:dyDescent="0.25">
      <c r="L42" s="446" t="s">
        <v>474</v>
      </c>
      <c r="M42" s="447"/>
      <c r="N42" s="447"/>
    </row>
  </sheetData>
  <mergeCells count="8">
    <mergeCell ref="B5:L5"/>
    <mergeCell ref="E6:H6"/>
    <mergeCell ref="I6:L6"/>
    <mergeCell ref="E25:H25"/>
    <mergeCell ref="I25:L25"/>
    <mergeCell ref="B24:L24"/>
    <mergeCell ref="B23:D23"/>
    <mergeCell ref="J23:L23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L21"/>
  <sheetViews>
    <sheetView showGridLines="0" zoomScaleNormal="100" workbookViewId="0">
      <selection activeCell="B5" sqref="B5"/>
    </sheetView>
  </sheetViews>
  <sheetFormatPr defaultColWidth="9.140625" defaultRowHeight="13.5" x14ac:dyDescent="0.25"/>
  <cols>
    <col min="1" max="1" width="14.140625" style="88" bestFit="1" customWidth="1"/>
    <col min="2" max="2" width="50.140625" style="88" customWidth="1"/>
    <col min="3" max="3" width="6.5703125" style="88" bestFit="1" customWidth="1"/>
    <col min="4" max="4" width="11" style="88" bestFit="1" customWidth="1"/>
    <col min="5" max="6" width="7.85546875" style="88" customWidth="1"/>
    <col min="7" max="7" width="10.85546875" style="88" bestFit="1" customWidth="1"/>
    <col min="8" max="8" width="9.5703125" style="88" customWidth="1"/>
    <col min="9" max="16384" width="9.140625" style="88"/>
  </cols>
  <sheetData>
    <row r="1" spans="1:8" ht="15" x14ac:dyDescent="0.25">
      <c r="A1" s="1"/>
    </row>
    <row r="2" spans="1:8" x14ac:dyDescent="0.25">
      <c r="B2" s="263"/>
    </row>
    <row r="3" spans="1:8" x14ac:dyDescent="0.25">
      <c r="B3" s="263"/>
    </row>
    <row r="4" spans="1:8" ht="15.75" customHeight="1" x14ac:dyDescent="0.25">
      <c r="B4" s="874" t="s">
        <v>1095</v>
      </c>
      <c r="C4" s="874"/>
      <c r="D4" s="874"/>
      <c r="E4" s="874"/>
      <c r="F4" s="874"/>
      <c r="G4" s="874"/>
      <c r="H4" s="874"/>
    </row>
    <row r="5" spans="1:8" ht="15.75" customHeight="1" x14ac:dyDescent="0.25">
      <c r="B5" s="450"/>
      <c r="C5" s="3" t="s">
        <v>29</v>
      </c>
      <c r="D5" s="3" t="s">
        <v>798</v>
      </c>
      <c r="E5" s="3" t="s">
        <v>799</v>
      </c>
      <c r="F5" s="3" t="s">
        <v>319</v>
      </c>
      <c r="G5" s="3" t="s">
        <v>609</v>
      </c>
      <c r="H5" s="3" t="s">
        <v>800</v>
      </c>
    </row>
    <row r="6" spans="1:8" ht="15.75" customHeight="1" thickBot="1" x14ac:dyDescent="0.3">
      <c r="B6" s="450"/>
      <c r="C6" s="450"/>
      <c r="D6" s="76" t="s">
        <v>0</v>
      </c>
      <c r="E6" s="76" t="s">
        <v>0</v>
      </c>
      <c r="F6" s="76" t="s">
        <v>0</v>
      </c>
      <c r="G6" s="76" t="s">
        <v>0</v>
      </c>
      <c r="H6" s="76" t="s">
        <v>0</v>
      </c>
    </row>
    <row r="7" spans="1:8" ht="15.75" customHeight="1" x14ac:dyDescent="0.25">
      <c r="B7" s="4" t="s">
        <v>75</v>
      </c>
      <c r="C7" s="451" t="s">
        <v>76</v>
      </c>
      <c r="D7" s="4"/>
      <c r="E7" s="4"/>
      <c r="F7" s="4"/>
      <c r="G7" s="4"/>
      <c r="H7" s="4"/>
    </row>
    <row r="8" spans="1:8" ht="15.75" customHeight="1" x14ac:dyDescent="0.25">
      <c r="B8" s="452" t="s">
        <v>77</v>
      </c>
      <c r="C8" s="260"/>
      <c r="D8" s="454">
        <v>-6.1563866927986011</v>
      </c>
      <c r="E8" s="454">
        <v>-9.9294637844643798</v>
      </c>
      <c r="F8" s="454">
        <v>-5.1199999799049625</v>
      </c>
      <c r="G8" s="454">
        <v>-4.1100000000000003</v>
      </c>
      <c r="H8" s="454">
        <v>-3.84</v>
      </c>
    </row>
    <row r="9" spans="1:8" ht="15.75" customHeight="1" x14ac:dyDescent="0.25">
      <c r="B9" s="452" t="s">
        <v>78</v>
      </c>
      <c r="C9" s="260"/>
      <c r="D9" s="454">
        <v>-5.4972654915000323</v>
      </c>
      <c r="E9" s="454">
        <v>-7.92</v>
      </c>
      <c r="F9" s="454">
        <v>-4.9400000000000004</v>
      </c>
      <c r="G9" s="454">
        <v>-2.6760906917588114</v>
      </c>
      <c r="H9" s="454">
        <v>-2.5997988270923895</v>
      </c>
    </row>
    <row r="10" spans="1:8" ht="15.75" customHeight="1" thickBot="1" x14ac:dyDescent="0.3">
      <c r="B10" s="14" t="s">
        <v>79</v>
      </c>
      <c r="C10" s="453"/>
      <c r="D10" s="456">
        <f>D9-D8</f>
        <v>0.65912120129856877</v>
      </c>
      <c r="E10" s="456">
        <f t="shared" ref="E10:H10" si="0">E9-E8</f>
        <v>2.0094637844643799</v>
      </c>
      <c r="F10" s="456">
        <f t="shared" si="0"/>
        <v>0.17999997990496208</v>
      </c>
      <c r="G10" s="456">
        <f t="shared" si="0"/>
        <v>1.4339093082411889</v>
      </c>
      <c r="H10" s="456">
        <f t="shared" si="0"/>
        <v>1.2402011729076103</v>
      </c>
    </row>
    <row r="11" spans="1:8" ht="15.75" customHeight="1" x14ac:dyDescent="0.25">
      <c r="B11" s="91" t="s">
        <v>683</v>
      </c>
    </row>
    <row r="12" spans="1:8" ht="15.75" customHeight="1" x14ac:dyDescent="0.25"/>
    <row r="13" spans="1:8" ht="15.75" customHeight="1" x14ac:dyDescent="0.25"/>
    <row r="14" spans="1:8" ht="15.75" customHeight="1" x14ac:dyDescent="0.25"/>
    <row r="15" spans="1:8" x14ac:dyDescent="0.25">
      <c r="B15" s="874" t="s">
        <v>1094</v>
      </c>
      <c r="C15" s="874"/>
      <c r="D15" s="874"/>
      <c r="E15" s="874"/>
      <c r="F15" s="874"/>
      <c r="G15" s="874"/>
      <c r="H15" s="874"/>
    </row>
    <row r="16" spans="1:8" x14ac:dyDescent="0.25">
      <c r="B16" s="450"/>
      <c r="C16" s="3" t="s">
        <v>483</v>
      </c>
      <c r="D16" s="3" t="s">
        <v>489</v>
      </c>
      <c r="E16" s="3" t="s">
        <v>396</v>
      </c>
      <c r="F16" s="3" t="s">
        <v>397</v>
      </c>
      <c r="G16" s="3" t="s">
        <v>402</v>
      </c>
      <c r="H16" s="3" t="s">
        <v>611</v>
      </c>
    </row>
    <row r="17" spans="2:12" ht="14.25" thickBot="1" x14ac:dyDescent="0.3">
      <c r="B17" s="450"/>
      <c r="C17" s="450"/>
      <c r="D17" s="76" t="s">
        <v>484</v>
      </c>
      <c r="E17" s="76" t="s">
        <v>484</v>
      </c>
      <c r="F17" s="76" t="s">
        <v>484</v>
      </c>
      <c r="G17" s="76" t="s">
        <v>484</v>
      </c>
      <c r="H17" s="76" t="s">
        <v>484</v>
      </c>
    </row>
    <row r="18" spans="2:12" x14ac:dyDescent="0.25">
      <c r="B18" s="4" t="s">
        <v>485</v>
      </c>
      <c r="C18" s="451" t="s">
        <v>76</v>
      </c>
      <c r="D18" s="4"/>
      <c r="E18" s="4"/>
      <c r="F18" s="4"/>
      <c r="G18" s="4"/>
      <c r="H18" s="4"/>
    </row>
    <row r="19" spans="2:12" x14ac:dyDescent="0.25">
      <c r="B19" s="452" t="s">
        <v>486</v>
      </c>
      <c r="C19" s="260"/>
      <c r="D19" s="454">
        <f>D8</f>
        <v>-6.1563866927986011</v>
      </c>
      <c r="E19" s="454">
        <f t="shared" ref="E19:H19" si="1">E8</f>
        <v>-9.9294637844643798</v>
      </c>
      <c r="F19" s="454">
        <f t="shared" si="1"/>
        <v>-5.1199999799049625</v>
      </c>
      <c r="G19" s="454">
        <f t="shared" si="1"/>
        <v>-4.1100000000000003</v>
      </c>
      <c r="H19" s="454">
        <f t="shared" si="1"/>
        <v>-3.84</v>
      </c>
      <c r="I19" s="455"/>
      <c r="J19" s="455"/>
      <c r="K19" s="455"/>
      <c r="L19" s="455"/>
    </row>
    <row r="20" spans="2:12" x14ac:dyDescent="0.25">
      <c r="B20" s="452" t="s">
        <v>487</v>
      </c>
      <c r="C20" s="260"/>
      <c r="D20" s="454">
        <f t="shared" ref="D20:H21" si="2">D9</f>
        <v>-5.4972654915000323</v>
      </c>
      <c r="E20" s="454">
        <f t="shared" si="2"/>
        <v>-7.92</v>
      </c>
      <c r="F20" s="454">
        <f t="shared" si="2"/>
        <v>-4.9400000000000004</v>
      </c>
      <c r="G20" s="454">
        <f t="shared" si="2"/>
        <v>-2.6760906917588114</v>
      </c>
      <c r="H20" s="454">
        <f t="shared" si="2"/>
        <v>-2.5997988270923895</v>
      </c>
    </row>
    <row r="21" spans="2:12" ht="14.25" thickBot="1" x14ac:dyDescent="0.3">
      <c r="B21" s="14" t="s">
        <v>488</v>
      </c>
      <c r="C21" s="453"/>
      <c r="D21" s="456">
        <f t="shared" si="2"/>
        <v>0.65912120129856877</v>
      </c>
      <c r="E21" s="456">
        <f t="shared" si="2"/>
        <v>2.0094637844643799</v>
      </c>
      <c r="F21" s="456">
        <f t="shared" si="2"/>
        <v>0.17999997990496208</v>
      </c>
      <c r="G21" s="456">
        <f t="shared" si="2"/>
        <v>1.4339093082411889</v>
      </c>
      <c r="H21" s="456">
        <f t="shared" si="2"/>
        <v>1.2402011729076103</v>
      </c>
    </row>
  </sheetData>
  <mergeCells count="2">
    <mergeCell ref="B4:H4"/>
    <mergeCell ref="B15:H1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/>
  <dimension ref="A4:C12"/>
  <sheetViews>
    <sheetView showGridLines="0" workbookViewId="0">
      <selection activeCell="B6" sqref="B6"/>
    </sheetView>
  </sheetViews>
  <sheetFormatPr defaultColWidth="9.140625" defaultRowHeight="13.5" x14ac:dyDescent="0.25"/>
  <cols>
    <col min="1" max="1" width="14.140625" style="88" bestFit="1" customWidth="1"/>
    <col min="2" max="2" width="54.140625" style="88" customWidth="1"/>
    <col min="3" max="3" width="25.85546875" style="88" customWidth="1"/>
    <col min="4" max="16384" width="9.140625" style="88"/>
  </cols>
  <sheetData>
    <row r="4" spans="1:3" ht="15" x14ac:dyDescent="0.25">
      <c r="A4" s="1"/>
    </row>
    <row r="5" spans="1:3" ht="14.25" thickBot="1" x14ac:dyDescent="0.3">
      <c r="B5" s="875" t="s">
        <v>1093</v>
      </c>
      <c r="C5" s="875"/>
    </row>
    <row r="6" spans="1:3" ht="14.25" thickBot="1" x14ac:dyDescent="0.3">
      <c r="B6" s="101" t="s">
        <v>670</v>
      </c>
      <c r="C6" s="107" t="s">
        <v>671</v>
      </c>
    </row>
    <row r="7" spans="1:3" x14ac:dyDescent="0.25">
      <c r="B7" s="102" t="s">
        <v>795</v>
      </c>
      <c r="C7" s="5" t="s">
        <v>672</v>
      </c>
    </row>
    <row r="10" spans="1:3" ht="14.25" thickBot="1" x14ac:dyDescent="0.3">
      <c r="B10" s="875" t="s">
        <v>1092</v>
      </c>
      <c r="C10" s="875"/>
    </row>
    <row r="11" spans="1:3" ht="14.25" thickBot="1" x14ac:dyDescent="0.3">
      <c r="B11" s="101" t="s">
        <v>673</v>
      </c>
      <c r="C11" s="107" t="s">
        <v>674</v>
      </c>
    </row>
    <row r="12" spans="1:3" x14ac:dyDescent="0.25">
      <c r="B12" s="102" t="s">
        <v>795</v>
      </c>
      <c r="C12" s="5" t="s">
        <v>675</v>
      </c>
    </row>
  </sheetData>
  <mergeCells count="2">
    <mergeCell ref="B5:C5"/>
    <mergeCell ref="B10:C1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1:M31"/>
  <sheetViews>
    <sheetView showGridLines="0" workbookViewId="0">
      <selection activeCell="B18" sqref="B18"/>
    </sheetView>
  </sheetViews>
  <sheetFormatPr defaultColWidth="9.140625" defaultRowHeight="13.5" x14ac:dyDescent="0.25"/>
  <cols>
    <col min="1" max="1" width="14.140625" style="88" bestFit="1" customWidth="1"/>
    <col min="2" max="2" width="31.140625" style="88" customWidth="1"/>
    <col min="3" max="16384" width="9.140625" style="88"/>
  </cols>
  <sheetData>
    <row r="1" spans="1:11" ht="15" x14ac:dyDescent="0.25">
      <c r="A1" s="1"/>
    </row>
    <row r="4" spans="1:11" ht="14.25" thickBot="1" x14ac:dyDescent="0.3">
      <c r="B4" s="875" t="s">
        <v>1097</v>
      </c>
      <c r="C4" s="875"/>
      <c r="D4" s="875"/>
      <c r="E4" s="875"/>
      <c r="F4" s="875"/>
      <c r="G4" s="875"/>
      <c r="H4" s="875"/>
      <c r="I4" s="875"/>
      <c r="J4" s="875"/>
      <c r="K4" s="875"/>
    </row>
    <row r="5" spans="1:11" ht="14.25" thickBot="1" x14ac:dyDescent="0.3">
      <c r="B5" s="34"/>
      <c r="C5" s="8">
        <v>2020</v>
      </c>
      <c r="D5" s="864">
        <v>2021</v>
      </c>
      <c r="E5" s="865"/>
      <c r="F5" s="865">
        <v>2022</v>
      </c>
      <c r="G5" s="865"/>
      <c r="H5" s="862">
        <v>2023</v>
      </c>
      <c r="I5" s="862"/>
      <c r="J5" s="862">
        <v>2024</v>
      </c>
      <c r="K5" s="862"/>
    </row>
    <row r="6" spans="1:11" ht="14.25" thickBot="1" x14ac:dyDescent="0.3">
      <c r="B6" s="35" t="s">
        <v>357</v>
      </c>
      <c r="C6" s="8"/>
      <c r="D6" s="16" t="s">
        <v>358</v>
      </c>
      <c r="E6" s="16" t="s">
        <v>359</v>
      </c>
      <c r="F6" s="16" t="s">
        <v>358</v>
      </c>
      <c r="G6" s="16" t="s">
        <v>359</v>
      </c>
      <c r="H6" s="107" t="s">
        <v>358</v>
      </c>
      <c r="I6" s="107" t="s">
        <v>359</v>
      </c>
      <c r="J6" s="107" t="s">
        <v>358</v>
      </c>
      <c r="K6" s="107" t="s">
        <v>359</v>
      </c>
    </row>
    <row r="7" spans="1:11" x14ac:dyDescent="0.25">
      <c r="B7" s="108" t="s">
        <v>360</v>
      </c>
      <c r="C7" s="10">
        <v>-4.8</v>
      </c>
      <c r="D7" s="76">
        <v>4.2</v>
      </c>
      <c r="E7" s="76">
        <v>3.7</v>
      </c>
      <c r="F7" s="76">
        <v>5</v>
      </c>
      <c r="G7" s="76">
        <v>4.2</v>
      </c>
      <c r="H7" s="76">
        <v>4.0999999999999996</v>
      </c>
      <c r="I7" s="5">
        <v>5</v>
      </c>
      <c r="J7" s="5">
        <v>2.1</v>
      </c>
      <c r="K7" s="5">
        <v>0.7</v>
      </c>
    </row>
    <row r="8" spans="1:11" x14ac:dyDescent="0.25">
      <c r="B8" s="108" t="s">
        <v>361</v>
      </c>
      <c r="C8" s="523">
        <v>92.1</v>
      </c>
      <c r="D8" s="524">
        <v>97.4</v>
      </c>
      <c r="E8" s="524">
        <v>97.4</v>
      </c>
      <c r="F8" s="524">
        <v>105.2</v>
      </c>
      <c r="G8" s="524">
        <v>105.5</v>
      </c>
      <c r="H8" s="524">
        <v>111.8</v>
      </c>
      <c r="I8" s="525">
        <v>113.9</v>
      </c>
      <c r="J8" s="525">
        <v>116.8</v>
      </c>
      <c r="K8" s="525">
        <v>117.2</v>
      </c>
    </row>
    <row r="9" spans="1:11" x14ac:dyDescent="0.25">
      <c r="B9" s="36" t="s">
        <v>362</v>
      </c>
      <c r="C9" s="10">
        <v>-1</v>
      </c>
      <c r="D9" s="76">
        <v>1.3</v>
      </c>
      <c r="E9" s="76">
        <v>0.2</v>
      </c>
      <c r="F9" s="76">
        <v>3.5</v>
      </c>
      <c r="G9" s="76">
        <v>2.4</v>
      </c>
      <c r="H9" s="76">
        <v>3</v>
      </c>
      <c r="I9" s="5">
        <v>3.6</v>
      </c>
      <c r="J9" s="5">
        <v>3</v>
      </c>
      <c r="K9" s="5">
        <v>3.9</v>
      </c>
    </row>
    <row r="10" spans="1:11" x14ac:dyDescent="0.25">
      <c r="B10" s="36" t="s">
        <v>363</v>
      </c>
      <c r="C10" s="10">
        <v>1.1000000000000001</v>
      </c>
      <c r="D10" s="76">
        <v>3.8</v>
      </c>
      <c r="E10" s="76">
        <v>2.5</v>
      </c>
      <c r="F10" s="76">
        <v>6.6</v>
      </c>
      <c r="G10" s="76">
        <v>6.9</v>
      </c>
      <c r="H10" s="76">
        <v>5.2</v>
      </c>
      <c r="I10" s="5">
        <v>6.8</v>
      </c>
      <c r="J10" s="5">
        <v>5.2</v>
      </c>
      <c r="K10" s="5">
        <v>5.6</v>
      </c>
    </row>
    <row r="11" spans="1:11" x14ac:dyDescent="0.25">
      <c r="B11" s="36" t="s">
        <v>364</v>
      </c>
      <c r="C11" s="10">
        <v>1.8</v>
      </c>
      <c r="D11" s="76">
        <v>2.8</v>
      </c>
      <c r="E11" s="76">
        <v>3.1</v>
      </c>
      <c r="F11" s="76">
        <v>1.3</v>
      </c>
      <c r="G11" s="5">
        <v>1.7</v>
      </c>
      <c r="H11" s="76">
        <v>1.9</v>
      </c>
      <c r="I11" s="5">
        <v>2.9</v>
      </c>
      <c r="J11" s="5">
        <v>3.2</v>
      </c>
      <c r="K11" s="5">
        <v>2.8</v>
      </c>
    </row>
    <row r="12" spans="1:11" x14ac:dyDescent="0.25">
      <c r="B12" s="36" t="s">
        <v>365</v>
      </c>
      <c r="C12" s="10">
        <v>3.8</v>
      </c>
      <c r="D12" s="76">
        <v>5.6</v>
      </c>
      <c r="E12" s="76">
        <v>5.4</v>
      </c>
      <c r="F12" s="76">
        <v>4.9000000000000004</v>
      </c>
      <c r="G12" s="76">
        <v>5.5</v>
      </c>
      <c r="H12" s="76">
        <v>5.4</v>
      </c>
      <c r="I12" s="5">
        <v>5.0999999999999996</v>
      </c>
      <c r="J12" s="5">
        <v>4.9000000000000004</v>
      </c>
      <c r="K12" s="5">
        <v>4.8</v>
      </c>
    </row>
    <row r="13" spans="1:11" x14ac:dyDescent="0.25">
      <c r="B13" s="36" t="s">
        <v>366</v>
      </c>
      <c r="C13" s="10">
        <v>-1.8</v>
      </c>
      <c r="D13" s="76">
        <v>-0.6</v>
      </c>
      <c r="E13" s="76">
        <v>-0.8</v>
      </c>
      <c r="F13" s="76">
        <v>1.1000000000000001</v>
      </c>
      <c r="G13" s="76">
        <v>0.6</v>
      </c>
      <c r="H13" s="76">
        <v>0.8</v>
      </c>
      <c r="I13" s="5">
        <v>1</v>
      </c>
      <c r="J13" s="5">
        <v>0.4</v>
      </c>
      <c r="K13" s="5">
        <v>0.4</v>
      </c>
    </row>
    <row r="14" spans="1:11" ht="14.25" thickBot="1" x14ac:dyDescent="0.3">
      <c r="B14" s="36" t="s">
        <v>367</v>
      </c>
      <c r="C14" s="10">
        <v>1.9</v>
      </c>
      <c r="D14" s="76">
        <v>2.7</v>
      </c>
      <c r="E14" s="76">
        <v>2.5</v>
      </c>
      <c r="F14" s="76">
        <v>3.3</v>
      </c>
      <c r="G14" s="76">
        <v>4.2</v>
      </c>
      <c r="H14" s="76">
        <v>2.2999999999999998</v>
      </c>
      <c r="I14" s="5">
        <v>3.1</v>
      </c>
      <c r="J14" s="5">
        <v>2.2000000000000002</v>
      </c>
      <c r="K14" s="5">
        <v>1.5</v>
      </c>
    </row>
    <row r="15" spans="1:11" x14ac:dyDescent="0.25">
      <c r="B15" s="876" t="s">
        <v>531</v>
      </c>
      <c r="C15" s="876"/>
      <c r="D15" s="876"/>
      <c r="E15" s="876"/>
      <c r="F15" s="876"/>
      <c r="G15" s="876"/>
      <c r="H15" s="876"/>
      <c r="I15" s="876"/>
      <c r="J15" s="876"/>
      <c r="K15" s="876"/>
    </row>
    <row r="17" spans="2:13" ht="14.25" thickBot="1" x14ac:dyDescent="0.3">
      <c r="B17" s="875" t="s">
        <v>1098</v>
      </c>
      <c r="C17" s="875"/>
      <c r="D17" s="875"/>
      <c r="E17" s="875"/>
      <c r="F17" s="875"/>
      <c r="G17" s="875"/>
      <c r="H17" s="875"/>
      <c r="I17" s="875"/>
      <c r="J17" s="875"/>
      <c r="K17" s="875"/>
    </row>
    <row r="18" spans="2:13" ht="14.25" thickBot="1" x14ac:dyDescent="0.3">
      <c r="B18" s="34"/>
      <c r="C18" s="8">
        <f>C5</f>
        <v>2020</v>
      </c>
      <c r="D18" s="864">
        <f>D5</f>
        <v>2021</v>
      </c>
      <c r="E18" s="865"/>
      <c r="F18" s="865">
        <f>F5</f>
        <v>2022</v>
      </c>
      <c r="G18" s="865"/>
      <c r="H18" s="862">
        <f>H5</f>
        <v>2023</v>
      </c>
      <c r="I18" s="862"/>
      <c r="J18" s="862">
        <f>J5</f>
        <v>2024</v>
      </c>
      <c r="K18" s="862"/>
      <c r="M18" s="33"/>
    </row>
    <row r="19" spans="2:13" ht="14.25" thickBot="1" x14ac:dyDescent="0.3">
      <c r="B19" s="35" t="s">
        <v>492</v>
      </c>
      <c r="C19" s="8"/>
      <c r="D19" s="16" t="s">
        <v>499</v>
      </c>
      <c r="E19" s="16" t="s">
        <v>498</v>
      </c>
      <c r="F19" s="16" t="s">
        <v>499</v>
      </c>
      <c r="G19" s="16" t="s">
        <v>498</v>
      </c>
      <c r="H19" s="16" t="s">
        <v>499</v>
      </c>
      <c r="I19" s="16" t="s">
        <v>498</v>
      </c>
      <c r="J19" s="16" t="s">
        <v>499</v>
      </c>
      <c r="K19" s="16" t="s">
        <v>498</v>
      </c>
      <c r="M19" s="33"/>
    </row>
    <row r="20" spans="2:13" x14ac:dyDescent="0.25">
      <c r="B20" s="108" t="s">
        <v>493</v>
      </c>
      <c r="C20" s="10">
        <f t="shared" ref="C20:K20" si="0">C7</f>
        <v>-4.8</v>
      </c>
      <c r="D20" s="76">
        <f t="shared" si="0"/>
        <v>4.2</v>
      </c>
      <c r="E20" s="76">
        <f t="shared" si="0"/>
        <v>3.7</v>
      </c>
      <c r="F20" s="76">
        <f t="shared" si="0"/>
        <v>5</v>
      </c>
      <c r="G20" s="76">
        <f t="shared" si="0"/>
        <v>4.2</v>
      </c>
      <c r="H20" s="76">
        <f t="shared" si="0"/>
        <v>4.0999999999999996</v>
      </c>
      <c r="I20" s="5">
        <f t="shared" si="0"/>
        <v>5</v>
      </c>
      <c r="J20" s="5">
        <f t="shared" si="0"/>
        <v>2.1</v>
      </c>
      <c r="K20" s="5">
        <f t="shared" si="0"/>
        <v>0.7</v>
      </c>
      <c r="M20" s="33"/>
    </row>
    <row r="21" spans="2:13" x14ac:dyDescent="0.25">
      <c r="B21" s="108" t="s">
        <v>460</v>
      </c>
      <c r="C21" s="10">
        <f t="shared" ref="C21:K21" si="1">C8</f>
        <v>92.1</v>
      </c>
      <c r="D21" s="76">
        <f t="shared" si="1"/>
        <v>97.4</v>
      </c>
      <c r="E21" s="76">
        <f t="shared" si="1"/>
        <v>97.4</v>
      </c>
      <c r="F21" s="76">
        <f t="shared" si="1"/>
        <v>105.2</v>
      </c>
      <c r="G21" s="76">
        <f t="shared" si="1"/>
        <v>105.5</v>
      </c>
      <c r="H21" s="76">
        <f t="shared" si="1"/>
        <v>111.8</v>
      </c>
      <c r="I21" s="5">
        <f t="shared" si="1"/>
        <v>113.9</v>
      </c>
      <c r="J21" s="5">
        <f t="shared" si="1"/>
        <v>116.8</v>
      </c>
      <c r="K21" s="5">
        <f t="shared" si="1"/>
        <v>117.2</v>
      </c>
      <c r="M21" s="33"/>
    </row>
    <row r="22" spans="2:13" x14ac:dyDescent="0.25">
      <c r="B22" s="36" t="s">
        <v>494</v>
      </c>
      <c r="C22" s="10">
        <f t="shared" ref="C22:K22" si="2">C9</f>
        <v>-1</v>
      </c>
      <c r="D22" s="76">
        <f t="shared" si="2"/>
        <v>1.3</v>
      </c>
      <c r="E22" s="76">
        <f t="shared" si="2"/>
        <v>0.2</v>
      </c>
      <c r="F22" s="76">
        <f t="shared" si="2"/>
        <v>3.5</v>
      </c>
      <c r="G22" s="76">
        <f t="shared" si="2"/>
        <v>2.4</v>
      </c>
      <c r="H22" s="76">
        <f t="shared" si="2"/>
        <v>3</v>
      </c>
      <c r="I22" s="5">
        <f t="shared" si="2"/>
        <v>3.6</v>
      </c>
      <c r="J22" s="5">
        <f t="shared" si="2"/>
        <v>3</v>
      </c>
      <c r="K22" s="5">
        <f t="shared" si="2"/>
        <v>3.9</v>
      </c>
      <c r="M22" s="33"/>
    </row>
    <row r="23" spans="2:13" x14ac:dyDescent="0.25">
      <c r="B23" s="36" t="s">
        <v>529</v>
      </c>
      <c r="C23" s="10">
        <f t="shared" ref="C23:K23" si="3">C10</f>
        <v>1.1000000000000001</v>
      </c>
      <c r="D23" s="76">
        <f t="shared" si="3"/>
        <v>3.8</v>
      </c>
      <c r="E23" s="76">
        <f t="shared" si="3"/>
        <v>2.5</v>
      </c>
      <c r="F23" s="76">
        <f t="shared" si="3"/>
        <v>6.6</v>
      </c>
      <c r="G23" s="76">
        <f t="shared" si="3"/>
        <v>6.9</v>
      </c>
      <c r="H23" s="76">
        <f t="shared" si="3"/>
        <v>5.2</v>
      </c>
      <c r="I23" s="5">
        <f t="shared" si="3"/>
        <v>6.8</v>
      </c>
      <c r="J23" s="5">
        <f t="shared" si="3"/>
        <v>5.2</v>
      </c>
      <c r="K23" s="5">
        <f t="shared" si="3"/>
        <v>5.6</v>
      </c>
      <c r="M23" s="33"/>
    </row>
    <row r="24" spans="2:13" x14ac:dyDescent="0.25">
      <c r="B24" s="36" t="s">
        <v>496</v>
      </c>
      <c r="C24" s="10">
        <f t="shared" ref="C24:K24" si="4">C11</f>
        <v>1.8</v>
      </c>
      <c r="D24" s="76">
        <f t="shared" si="4"/>
        <v>2.8</v>
      </c>
      <c r="E24" s="76">
        <f t="shared" si="4"/>
        <v>3.1</v>
      </c>
      <c r="F24" s="76">
        <f t="shared" si="4"/>
        <v>1.3</v>
      </c>
      <c r="G24" s="5">
        <f t="shared" si="4"/>
        <v>1.7</v>
      </c>
      <c r="H24" s="76">
        <f t="shared" si="4"/>
        <v>1.9</v>
      </c>
      <c r="I24" s="5">
        <f t="shared" si="4"/>
        <v>2.9</v>
      </c>
      <c r="J24" s="5">
        <f t="shared" si="4"/>
        <v>3.2</v>
      </c>
      <c r="K24" s="5">
        <f t="shared" si="4"/>
        <v>2.8</v>
      </c>
      <c r="M24" s="33"/>
    </row>
    <row r="25" spans="2:13" x14ac:dyDescent="0.25">
      <c r="B25" s="36" t="s">
        <v>495</v>
      </c>
      <c r="C25" s="10">
        <f t="shared" ref="C25:K25" si="5">C12</f>
        <v>3.8</v>
      </c>
      <c r="D25" s="76">
        <f t="shared" si="5"/>
        <v>5.6</v>
      </c>
      <c r="E25" s="76">
        <f t="shared" si="5"/>
        <v>5.4</v>
      </c>
      <c r="F25" s="76">
        <f t="shared" si="5"/>
        <v>4.9000000000000004</v>
      </c>
      <c r="G25" s="76">
        <f t="shared" si="5"/>
        <v>5.5</v>
      </c>
      <c r="H25" s="76">
        <f t="shared" si="5"/>
        <v>5.4</v>
      </c>
      <c r="I25" s="5">
        <f t="shared" si="5"/>
        <v>5.0999999999999996</v>
      </c>
      <c r="J25" s="5">
        <f t="shared" si="5"/>
        <v>4.9000000000000004</v>
      </c>
      <c r="K25" s="5">
        <f t="shared" si="5"/>
        <v>4.8</v>
      </c>
      <c r="M25" s="33"/>
    </row>
    <row r="26" spans="2:13" x14ac:dyDescent="0.25">
      <c r="B26" s="36" t="s">
        <v>497</v>
      </c>
      <c r="C26" s="10">
        <f t="shared" ref="C26:K26" si="6">C13</f>
        <v>-1.8</v>
      </c>
      <c r="D26" s="76">
        <f t="shared" si="6"/>
        <v>-0.6</v>
      </c>
      <c r="E26" s="76">
        <f t="shared" si="6"/>
        <v>-0.8</v>
      </c>
      <c r="F26" s="76">
        <f t="shared" si="6"/>
        <v>1.1000000000000001</v>
      </c>
      <c r="G26" s="76">
        <f t="shared" si="6"/>
        <v>0.6</v>
      </c>
      <c r="H26" s="76">
        <f t="shared" si="6"/>
        <v>0.8</v>
      </c>
      <c r="I26" s="5">
        <f t="shared" si="6"/>
        <v>1</v>
      </c>
      <c r="J26" s="5">
        <f t="shared" si="6"/>
        <v>0.4</v>
      </c>
      <c r="K26" s="5">
        <f t="shared" si="6"/>
        <v>0.4</v>
      </c>
      <c r="M26" s="33"/>
    </row>
    <row r="27" spans="2:13" ht="14.25" thickBot="1" x14ac:dyDescent="0.3">
      <c r="B27" s="36" t="s">
        <v>530</v>
      </c>
      <c r="C27" s="10">
        <f t="shared" ref="C27:K27" si="7">C14</f>
        <v>1.9</v>
      </c>
      <c r="D27" s="76">
        <f t="shared" si="7"/>
        <v>2.7</v>
      </c>
      <c r="E27" s="76">
        <f t="shared" si="7"/>
        <v>2.5</v>
      </c>
      <c r="F27" s="76">
        <f t="shared" si="7"/>
        <v>3.3</v>
      </c>
      <c r="G27" s="76">
        <f t="shared" si="7"/>
        <v>4.2</v>
      </c>
      <c r="H27" s="76">
        <f t="shared" si="7"/>
        <v>2.2999999999999998</v>
      </c>
      <c r="I27" s="5">
        <f t="shared" si="7"/>
        <v>3.1</v>
      </c>
      <c r="J27" s="5">
        <f t="shared" si="7"/>
        <v>2.2000000000000002</v>
      </c>
      <c r="K27" s="5">
        <f t="shared" si="7"/>
        <v>1.5</v>
      </c>
      <c r="M27" s="33"/>
    </row>
    <row r="28" spans="2:13" x14ac:dyDescent="0.25">
      <c r="B28" s="817" t="s">
        <v>796</v>
      </c>
      <c r="C28" s="817"/>
      <c r="D28" s="817"/>
      <c r="E28" s="817"/>
      <c r="F28" s="817"/>
      <c r="G28" s="817"/>
      <c r="H28" s="817"/>
      <c r="I28" s="817"/>
      <c r="J28" s="817"/>
      <c r="K28" s="817"/>
      <c r="M28" s="33"/>
    </row>
    <row r="29" spans="2:13" x14ac:dyDescent="0.25">
      <c r="M29" s="33"/>
    </row>
    <row r="30" spans="2:13" x14ac:dyDescent="0.25">
      <c r="M30" s="33"/>
    </row>
    <row r="31" spans="2:13" x14ac:dyDescent="0.25">
      <c r="M31" s="112"/>
    </row>
  </sheetData>
  <mergeCells count="12">
    <mergeCell ref="B28:K28"/>
    <mergeCell ref="B15:K15"/>
    <mergeCell ref="B4:K4"/>
    <mergeCell ref="D5:E5"/>
    <mergeCell ref="F5:G5"/>
    <mergeCell ref="H5:I5"/>
    <mergeCell ref="J5:K5"/>
    <mergeCell ref="B17:K17"/>
    <mergeCell ref="D18:E18"/>
    <mergeCell ref="F18:G18"/>
    <mergeCell ref="H18:I18"/>
    <mergeCell ref="J18:K18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1:T28"/>
  <sheetViews>
    <sheetView showGridLines="0" zoomScaleNormal="100" workbookViewId="0"/>
  </sheetViews>
  <sheetFormatPr defaultColWidth="8.85546875" defaultRowHeight="13.5" x14ac:dyDescent="0.25"/>
  <cols>
    <col min="1" max="1" width="14.140625" style="88" bestFit="1" customWidth="1"/>
    <col min="2" max="12" width="8.85546875" style="88"/>
    <col min="13" max="13" width="15.85546875" style="88" customWidth="1"/>
    <col min="14" max="14" width="11" style="88" customWidth="1"/>
    <col min="15" max="20" width="7.85546875" style="88" customWidth="1"/>
    <col min="21" max="16384" width="8.85546875" style="88"/>
  </cols>
  <sheetData>
    <row r="1" spans="1:20" ht="15" x14ac:dyDescent="0.25">
      <c r="A1" s="1"/>
    </row>
    <row r="3" spans="1:20" x14ac:dyDescent="0.25">
      <c r="C3" s="229"/>
    </row>
    <row r="4" spans="1:20" x14ac:dyDescent="0.25">
      <c r="C4" s="229"/>
      <c r="M4" s="231" t="s">
        <v>127</v>
      </c>
      <c r="N4" s="231" t="s">
        <v>370</v>
      </c>
      <c r="O4" s="94"/>
      <c r="P4" s="94"/>
      <c r="Q4" s="94"/>
      <c r="R4" s="94"/>
      <c r="S4" s="94"/>
      <c r="T4" s="94"/>
    </row>
    <row r="5" spans="1:20" x14ac:dyDescent="0.25">
      <c r="C5" s="229"/>
    </row>
    <row r="6" spans="1:20" x14ac:dyDescent="0.25">
      <c r="B6" s="807" t="s">
        <v>634</v>
      </c>
      <c r="C6" s="808"/>
      <c r="D6" s="808"/>
      <c r="E6" s="808"/>
      <c r="F6" s="808"/>
      <c r="G6" s="808"/>
      <c r="H6" s="808"/>
      <c r="I6" s="808"/>
      <c r="J6" s="808"/>
      <c r="M6" s="227" t="s">
        <v>632</v>
      </c>
      <c r="N6" s="227" t="s">
        <v>633</v>
      </c>
    </row>
    <row r="7" spans="1:20" x14ac:dyDescent="0.25">
      <c r="B7" s="227"/>
      <c r="C7" s="229"/>
      <c r="M7" s="90"/>
      <c r="N7" s="90"/>
      <c r="O7" s="90">
        <v>2019</v>
      </c>
      <c r="P7" s="90">
        <v>2020</v>
      </c>
      <c r="Q7" s="90">
        <v>2021</v>
      </c>
      <c r="R7" s="90">
        <v>2022</v>
      </c>
      <c r="S7" s="90">
        <v>2023</v>
      </c>
      <c r="T7" s="90">
        <v>2024</v>
      </c>
    </row>
    <row r="8" spans="1:20" x14ac:dyDescent="0.25">
      <c r="B8" s="227"/>
      <c r="C8" s="229"/>
      <c r="M8" s="227" t="s">
        <v>636</v>
      </c>
      <c r="N8" s="227" t="s">
        <v>640</v>
      </c>
      <c r="O8" s="141">
        <v>6.7422412321528578</v>
      </c>
      <c r="P8" s="141">
        <v>0.65276777224328342</v>
      </c>
      <c r="Q8" s="141">
        <v>3.3802411251280731</v>
      </c>
      <c r="R8" s="141">
        <v>5.4943146671448684</v>
      </c>
      <c r="S8" s="141">
        <v>4.9224431989896944</v>
      </c>
      <c r="T8" s="141">
        <v>4.1465269080821221</v>
      </c>
    </row>
    <row r="9" spans="1:20" x14ac:dyDescent="0.25">
      <c r="B9" s="227"/>
      <c r="C9" s="229"/>
      <c r="M9" s="227" t="s">
        <v>639</v>
      </c>
      <c r="N9" s="227" t="s">
        <v>641</v>
      </c>
      <c r="O9" s="141">
        <v>0</v>
      </c>
      <c r="P9" s="141">
        <v>0</v>
      </c>
      <c r="Q9" s="141">
        <v>0.62654813234799978</v>
      </c>
      <c r="R9" s="141">
        <v>0.28313099414060172</v>
      </c>
      <c r="S9" s="141">
        <v>0.16288929312127109</v>
      </c>
      <c r="T9" s="141">
        <v>0.42190908196754862</v>
      </c>
    </row>
    <row r="10" spans="1:20" x14ac:dyDescent="0.25">
      <c r="C10" s="229"/>
      <c r="M10" s="227" t="s">
        <v>637</v>
      </c>
      <c r="N10" s="227" t="s">
        <v>642</v>
      </c>
      <c r="O10" s="141">
        <v>0</v>
      </c>
      <c r="P10" s="141">
        <v>0</v>
      </c>
      <c r="Q10" s="141">
        <v>0.71130268072155545</v>
      </c>
      <c r="R10" s="141">
        <v>0.39901235817123659</v>
      </c>
      <c r="S10" s="141">
        <v>1.2033208936014663</v>
      </c>
      <c r="T10" s="141">
        <v>0.63548292913662241</v>
      </c>
    </row>
    <row r="11" spans="1:20" x14ac:dyDescent="0.25">
      <c r="C11" s="229"/>
      <c r="M11" s="227" t="s">
        <v>638</v>
      </c>
      <c r="N11" s="88" t="s">
        <v>643</v>
      </c>
      <c r="O11" s="141">
        <v>0</v>
      </c>
      <c r="P11" s="141">
        <v>0</v>
      </c>
      <c r="Q11" s="141">
        <v>6.5081582800945448E-2</v>
      </c>
      <c r="R11" s="141">
        <v>0.91672233927359148</v>
      </c>
      <c r="S11" s="141">
        <v>0.39755347130517915</v>
      </c>
      <c r="T11" s="141">
        <v>0.23161065827983851</v>
      </c>
    </row>
    <row r="12" spans="1:20" x14ac:dyDescent="0.25">
      <c r="C12" s="229"/>
      <c r="M12" s="227" t="s">
        <v>95</v>
      </c>
      <c r="N12" s="88" t="s">
        <v>490</v>
      </c>
      <c r="O12" s="141">
        <v>6.7422412321528578</v>
      </c>
      <c r="P12" s="141">
        <v>0.65276777224328342</v>
      </c>
      <c r="Q12" s="141">
        <v>3.8520390153697286</v>
      </c>
      <c r="R12" s="141">
        <v>6.1457814333465413</v>
      </c>
      <c r="S12" s="141">
        <v>6.2188598937077799</v>
      </c>
      <c r="T12" s="141">
        <v>4.6843207519933374</v>
      </c>
    </row>
    <row r="13" spans="1:20" x14ac:dyDescent="0.25">
      <c r="C13" s="229"/>
      <c r="M13" s="227" t="s">
        <v>94</v>
      </c>
      <c r="N13" s="88" t="s">
        <v>491</v>
      </c>
      <c r="O13" s="141">
        <v>6.7422412321528578</v>
      </c>
      <c r="P13" s="141">
        <v>0.65276777224328342</v>
      </c>
      <c r="Q13" s="141">
        <v>4.506087473735473</v>
      </c>
      <c r="R13" s="141">
        <v>5.9210433806125575</v>
      </c>
      <c r="S13" s="141">
        <v>5.8993777655648252</v>
      </c>
      <c r="T13" s="141">
        <v>4.7738750656586522</v>
      </c>
    </row>
    <row r="14" spans="1:20" x14ac:dyDescent="0.25">
      <c r="M14" s="227"/>
      <c r="O14" s="141"/>
      <c r="P14" s="141"/>
      <c r="Q14" s="141"/>
      <c r="R14" s="141"/>
      <c r="S14" s="141"/>
      <c r="T14" s="141"/>
    </row>
    <row r="28" spans="2:2" x14ac:dyDescent="0.25">
      <c r="B28" s="137" t="s">
        <v>635</v>
      </c>
    </row>
  </sheetData>
  <mergeCells count="1">
    <mergeCell ref="B6:J6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A4:C11"/>
  <sheetViews>
    <sheetView showGridLines="0" workbookViewId="0"/>
  </sheetViews>
  <sheetFormatPr defaultColWidth="9.140625" defaultRowHeight="13.5" x14ac:dyDescent="0.25"/>
  <cols>
    <col min="1" max="1" width="14.140625" style="88" bestFit="1" customWidth="1"/>
    <col min="2" max="2" width="62.42578125" style="88" customWidth="1"/>
    <col min="3" max="3" width="27.5703125" style="88" customWidth="1"/>
    <col min="4" max="16384" width="9.140625" style="88"/>
  </cols>
  <sheetData>
    <row r="4" spans="1:3" ht="15" x14ac:dyDescent="0.25">
      <c r="A4" s="1"/>
    </row>
    <row r="5" spans="1:3" ht="14.25" thickBot="1" x14ac:dyDescent="0.3">
      <c r="B5" s="875" t="s">
        <v>1099</v>
      </c>
      <c r="C5" s="875"/>
    </row>
    <row r="6" spans="1:3" ht="14.25" thickBot="1" x14ac:dyDescent="0.3">
      <c r="B6" s="103" t="s">
        <v>670</v>
      </c>
      <c r="C6" s="104" t="s">
        <v>671</v>
      </c>
    </row>
    <row r="7" spans="1:3" ht="14.25" thickBot="1" x14ac:dyDescent="0.3">
      <c r="B7" s="105" t="s">
        <v>676</v>
      </c>
      <c r="C7" s="106" t="s">
        <v>672</v>
      </c>
    </row>
    <row r="9" spans="1:3" ht="14.25" thickBot="1" x14ac:dyDescent="0.3">
      <c r="B9" s="875" t="s">
        <v>1100</v>
      </c>
      <c r="C9" s="875"/>
    </row>
    <row r="10" spans="1:3" ht="14.25" thickBot="1" x14ac:dyDescent="0.3">
      <c r="B10" s="103" t="s">
        <v>677</v>
      </c>
      <c r="C10" s="104" t="s">
        <v>674</v>
      </c>
    </row>
    <row r="11" spans="1:3" ht="14.25" thickBot="1" x14ac:dyDescent="0.3">
      <c r="B11" s="105" t="s">
        <v>676</v>
      </c>
      <c r="C11" s="106" t="s">
        <v>675</v>
      </c>
    </row>
  </sheetData>
  <mergeCells count="2">
    <mergeCell ref="B5:C5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4:I52"/>
  <sheetViews>
    <sheetView showGridLines="0" workbookViewId="0"/>
  </sheetViews>
  <sheetFormatPr defaultColWidth="9.140625" defaultRowHeight="13.5" x14ac:dyDescent="0.25"/>
  <cols>
    <col min="1" max="1" width="14.140625" style="88" bestFit="1" customWidth="1"/>
    <col min="2" max="2" width="39.85546875" style="88" customWidth="1"/>
    <col min="3" max="3" width="10" style="88" bestFit="1" customWidth="1"/>
    <col min="4" max="4" width="9.140625" style="88"/>
    <col min="5" max="5" width="7.42578125" style="88" customWidth="1"/>
    <col min="6" max="8" width="9.140625" style="88"/>
    <col min="9" max="9" width="10.5703125" style="88" customWidth="1"/>
    <col min="10" max="16384" width="9.140625" style="88"/>
  </cols>
  <sheetData>
    <row r="4" spans="1:9" ht="15" x14ac:dyDescent="0.25">
      <c r="A4" s="1"/>
    </row>
    <row r="5" spans="1:9" x14ac:dyDescent="0.25">
      <c r="B5" s="880" t="s">
        <v>1280</v>
      </c>
      <c r="C5" s="880"/>
      <c r="D5" s="880"/>
      <c r="E5" s="880"/>
      <c r="F5" s="880"/>
      <c r="G5" s="880"/>
      <c r="H5" s="880"/>
    </row>
    <row r="6" spans="1:9" ht="14.25" thickBot="1" x14ac:dyDescent="0.3">
      <c r="B6" s="136"/>
      <c r="C6" s="790">
        <v>2018</v>
      </c>
      <c r="D6" s="790">
        <v>2019</v>
      </c>
      <c r="E6" s="790">
        <v>2020</v>
      </c>
      <c r="F6" s="790" t="s">
        <v>799</v>
      </c>
      <c r="G6" s="790" t="s">
        <v>884</v>
      </c>
      <c r="H6" s="790" t="s">
        <v>885</v>
      </c>
      <c r="I6" s="790" t="s">
        <v>886</v>
      </c>
    </row>
    <row r="7" spans="1:9" ht="14.25" thickBot="1" x14ac:dyDescent="0.3">
      <c r="B7" s="457" t="s">
        <v>11</v>
      </c>
      <c r="C7" s="791">
        <v>43572</v>
      </c>
      <c r="D7" s="791">
        <v>44384</v>
      </c>
      <c r="E7" s="791">
        <v>45277</v>
      </c>
      <c r="F7" s="791">
        <v>55010</v>
      </c>
      <c r="G7" s="791">
        <v>59963</v>
      </c>
      <c r="H7" s="791">
        <v>64884</v>
      </c>
      <c r="I7" s="791">
        <v>66746</v>
      </c>
    </row>
    <row r="8" spans="1:9" x14ac:dyDescent="0.25">
      <c r="B8" s="458" t="s">
        <v>12</v>
      </c>
      <c r="C8" s="792">
        <v>811</v>
      </c>
      <c r="D8" s="792">
        <v>893</v>
      </c>
      <c r="E8" s="793">
        <v>9733</v>
      </c>
      <c r="F8" s="793">
        <v>4953</v>
      </c>
      <c r="G8" s="793">
        <v>4921</v>
      </c>
      <c r="H8" s="793">
        <v>1862</v>
      </c>
      <c r="I8" s="793">
        <v>2031</v>
      </c>
    </row>
    <row r="9" spans="1:9" x14ac:dyDescent="0.25">
      <c r="B9" s="80" t="s">
        <v>297</v>
      </c>
      <c r="C9" s="794">
        <v>1182</v>
      </c>
      <c r="D9" s="794">
        <v>2201</v>
      </c>
      <c r="E9" s="794">
        <v>7758</v>
      </c>
      <c r="F9" s="794">
        <v>8742</v>
      </c>
      <c r="G9" s="794">
        <v>5474</v>
      </c>
      <c r="H9" s="794">
        <v>3399</v>
      </c>
      <c r="I9" s="794">
        <v>3180</v>
      </c>
    </row>
    <row r="10" spans="1:9" ht="27" x14ac:dyDescent="0.25">
      <c r="B10" s="80" t="s">
        <v>298</v>
      </c>
      <c r="C10" s="795">
        <v>-498</v>
      </c>
      <c r="D10" s="794">
        <v>-1586</v>
      </c>
      <c r="E10" s="794">
        <v>1767</v>
      </c>
      <c r="F10" s="794">
        <v>-4235</v>
      </c>
      <c r="G10" s="795">
        <v>-711</v>
      </c>
      <c r="H10" s="794">
        <v>-1684</v>
      </c>
      <c r="I10" s="794">
        <v>-1473</v>
      </c>
    </row>
    <row r="11" spans="1:9" x14ac:dyDescent="0.25">
      <c r="B11" s="80" t="s">
        <v>299</v>
      </c>
      <c r="C11" s="795">
        <v>111</v>
      </c>
      <c r="D11" s="795">
        <v>248</v>
      </c>
      <c r="E11" s="795">
        <v>85</v>
      </c>
      <c r="F11" s="795">
        <v>-100</v>
      </c>
      <c r="G11" s="795">
        <v>38</v>
      </c>
      <c r="H11" s="795">
        <v>41</v>
      </c>
      <c r="I11" s="795">
        <v>22</v>
      </c>
    </row>
    <row r="12" spans="1:9" x14ac:dyDescent="0.25">
      <c r="B12" s="459" t="s">
        <v>144</v>
      </c>
      <c r="C12" s="795">
        <v>-3</v>
      </c>
      <c r="D12" s="795">
        <v>27</v>
      </c>
      <c r="E12" s="795">
        <v>21</v>
      </c>
      <c r="F12" s="795">
        <v>-144</v>
      </c>
      <c r="G12" s="795">
        <v>-38</v>
      </c>
      <c r="H12" s="795">
        <v>-5</v>
      </c>
      <c r="I12" s="795">
        <v>-9</v>
      </c>
    </row>
    <row r="13" spans="1:9" x14ac:dyDescent="0.25">
      <c r="B13" s="459" t="s">
        <v>13</v>
      </c>
      <c r="C13" s="795">
        <v>-37</v>
      </c>
      <c r="D13" s="795">
        <v>-42</v>
      </c>
      <c r="E13" s="795">
        <v>-30</v>
      </c>
      <c r="F13" s="795">
        <v>-37</v>
      </c>
      <c r="G13" s="795">
        <v>-37</v>
      </c>
      <c r="H13" s="795">
        <v>0</v>
      </c>
      <c r="I13" s="795">
        <v>0</v>
      </c>
    </row>
    <row r="14" spans="1:9" x14ac:dyDescent="0.25">
      <c r="B14" s="459" t="s">
        <v>104</v>
      </c>
      <c r="C14" s="795">
        <v>-4</v>
      </c>
      <c r="D14" s="795">
        <v>-15</v>
      </c>
      <c r="E14" s="795">
        <v>9</v>
      </c>
      <c r="F14" s="795">
        <v>15</v>
      </c>
      <c r="G14" s="795">
        <v>39</v>
      </c>
      <c r="H14" s="795">
        <v>33</v>
      </c>
      <c r="I14" s="795">
        <v>31</v>
      </c>
    </row>
    <row r="15" spans="1:9" x14ac:dyDescent="0.25">
      <c r="B15" s="459" t="s">
        <v>300</v>
      </c>
      <c r="C15" s="795">
        <v>-48</v>
      </c>
      <c r="D15" s="795">
        <v>11</v>
      </c>
      <c r="E15" s="795">
        <v>16</v>
      </c>
      <c r="F15" s="795">
        <v>-4</v>
      </c>
      <c r="G15" s="795">
        <v>7</v>
      </c>
      <c r="H15" s="795">
        <v>-8</v>
      </c>
      <c r="I15" s="795">
        <v>-17</v>
      </c>
    </row>
    <row r="16" spans="1:9" x14ac:dyDescent="0.25">
      <c r="B16" s="80" t="s">
        <v>320</v>
      </c>
      <c r="C16" s="795">
        <v>0</v>
      </c>
      <c r="D16" s="795">
        <v>-21</v>
      </c>
      <c r="E16" s="795">
        <v>0</v>
      </c>
      <c r="F16" s="795">
        <v>0</v>
      </c>
      <c r="G16" s="795">
        <v>0</v>
      </c>
      <c r="H16" s="795">
        <v>0</v>
      </c>
      <c r="I16" s="795">
        <v>0</v>
      </c>
    </row>
    <row r="17" spans="2:9" x14ac:dyDescent="0.25">
      <c r="B17" s="80" t="s">
        <v>301</v>
      </c>
      <c r="C17" s="795">
        <v>7</v>
      </c>
      <c r="D17" s="795">
        <v>4</v>
      </c>
      <c r="E17" s="795">
        <v>28</v>
      </c>
      <c r="F17" s="795">
        <v>22</v>
      </c>
      <c r="G17" s="795">
        <v>134</v>
      </c>
      <c r="H17" s="795">
        <v>156</v>
      </c>
      <c r="I17" s="795">
        <v>305</v>
      </c>
    </row>
    <row r="18" spans="2:9" x14ac:dyDescent="0.25">
      <c r="B18" s="80" t="s">
        <v>302</v>
      </c>
      <c r="C18" s="795">
        <v>-7</v>
      </c>
      <c r="D18" s="795">
        <v>2</v>
      </c>
      <c r="E18" s="795">
        <v>-16</v>
      </c>
      <c r="F18" s="795">
        <v>-2</v>
      </c>
      <c r="G18" s="795">
        <v>-11</v>
      </c>
      <c r="H18" s="795">
        <v>-49</v>
      </c>
      <c r="I18" s="795">
        <v>-6</v>
      </c>
    </row>
    <row r="19" spans="2:9" ht="14.25" thickBot="1" x14ac:dyDescent="0.3">
      <c r="B19" s="136" t="s">
        <v>303</v>
      </c>
      <c r="C19" s="796">
        <v>16</v>
      </c>
      <c r="D19" s="796">
        <v>24</v>
      </c>
      <c r="E19" s="796">
        <v>110</v>
      </c>
      <c r="F19" s="796" t="s">
        <v>1423</v>
      </c>
      <c r="G19" s="796">
        <v>-2</v>
      </c>
      <c r="H19" s="796">
        <v>-1</v>
      </c>
      <c r="I19" s="796">
        <v>3</v>
      </c>
    </row>
    <row r="20" spans="2:9" x14ac:dyDescent="0.25">
      <c r="B20" s="458" t="s">
        <v>14</v>
      </c>
      <c r="C20" s="797">
        <v>44384</v>
      </c>
      <c r="D20" s="797">
        <v>45277</v>
      </c>
      <c r="E20" s="797">
        <v>55010</v>
      </c>
      <c r="F20" s="797">
        <v>59963</v>
      </c>
      <c r="G20" s="797">
        <v>64884</v>
      </c>
      <c r="H20" s="797">
        <v>66746</v>
      </c>
      <c r="I20" s="797">
        <v>68778</v>
      </c>
    </row>
    <row r="21" spans="2:9" ht="14.25" thickBot="1" x14ac:dyDescent="0.3">
      <c r="B21" s="460" t="s">
        <v>3</v>
      </c>
      <c r="C21" s="790">
        <v>49.6</v>
      </c>
      <c r="D21" s="790">
        <v>48.1</v>
      </c>
      <c r="E21" s="790">
        <v>59.7</v>
      </c>
      <c r="F21" s="790">
        <v>61.5</v>
      </c>
      <c r="G21" s="790">
        <v>61.5</v>
      </c>
      <c r="H21" s="790">
        <v>58.6</v>
      </c>
      <c r="I21" s="790">
        <v>58.7</v>
      </c>
    </row>
    <row r="22" spans="2:9" ht="27" x14ac:dyDescent="0.25">
      <c r="B22" s="458" t="s">
        <v>679</v>
      </c>
      <c r="C22" s="798">
        <v>0.5</v>
      </c>
      <c r="D22" s="798">
        <v>0.5</v>
      </c>
      <c r="E22" s="798">
        <v>-0.8</v>
      </c>
      <c r="F22" s="798">
        <v>-2.6</v>
      </c>
      <c r="G22" s="798">
        <v>-4</v>
      </c>
      <c r="H22" s="798">
        <v>-6</v>
      </c>
      <c r="I22" s="798">
        <v>-7.2</v>
      </c>
    </row>
    <row r="23" spans="2:9" x14ac:dyDescent="0.25">
      <c r="B23" s="80" t="s">
        <v>304</v>
      </c>
      <c r="C23" s="795">
        <v>0.1</v>
      </c>
      <c r="D23" s="795">
        <v>0.2</v>
      </c>
      <c r="E23" s="795">
        <v>-0.6</v>
      </c>
      <c r="F23" s="795">
        <v>-1.3</v>
      </c>
      <c r="G23" s="795">
        <v>-1.2</v>
      </c>
      <c r="H23" s="795">
        <v>-2.4</v>
      </c>
      <c r="I23" s="795">
        <v>-2.5</v>
      </c>
    </row>
    <row r="24" spans="2:9" ht="14.25" thickBot="1" x14ac:dyDescent="0.3">
      <c r="B24" s="462" t="s">
        <v>305</v>
      </c>
      <c r="C24" s="799">
        <v>0.3</v>
      </c>
      <c r="D24" s="799">
        <v>0.3</v>
      </c>
      <c r="E24" s="799">
        <v>-0.2</v>
      </c>
      <c r="F24" s="799">
        <v>-1.2</v>
      </c>
      <c r="G24" s="799">
        <v>-2.8</v>
      </c>
      <c r="H24" s="799">
        <v>-3.6</v>
      </c>
      <c r="I24" s="799">
        <v>-4.7</v>
      </c>
    </row>
    <row r="25" spans="2:9" ht="14.25" thickBot="1" x14ac:dyDescent="0.3">
      <c r="B25" s="459" t="s">
        <v>323</v>
      </c>
      <c r="C25" s="799">
        <v>0</v>
      </c>
      <c r="D25" s="799">
        <v>0</v>
      </c>
      <c r="E25" s="799">
        <v>134</v>
      </c>
      <c r="F25" s="799">
        <v>0</v>
      </c>
      <c r="G25" s="799">
        <v>0</v>
      </c>
      <c r="H25" s="799">
        <v>0</v>
      </c>
      <c r="I25" s="799">
        <v>0</v>
      </c>
    </row>
    <row r="26" spans="2:9" x14ac:dyDescent="0.25">
      <c r="B26" s="877" t="s">
        <v>15</v>
      </c>
      <c r="C26" s="878"/>
      <c r="D26" s="878"/>
      <c r="E26" s="878"/>
      <c r="F26" s="878"/>
      <c r="G26" s="878"/>
      <c r="H26" s="463"/>
      <c r="I26" s="800"/>
    </row>
    <row r="27" spans="2:9" x14ac:dyDescent="0.25">
      <c r="B27" s="879" t="s">
        <v>1424</v>
      </c>
      <c r="C27" s="879"/>
      <c r="D27" s="879"/>
      <c r="E27" s="879"/>
      <c r="F27" s="879"/>
      <c r="G27" s="879"/>
      <c r="H27" s="464"/>
      <c r="I27" s="672" t="s">
        <v>2</v>
      </c>
    </row>
    <row r="30" spans="2:9" x14ac:dyDescent="0.25">
      <c r="B30" s="399" t="s">
        <v>1426</v>
      </c>
    </row>
    <row r="31" spans="2:9" ht="14.25" thickBot="1" x14ac:dyDescent="0.3">
      <c r="B31" s="136"/>
      <c r="C31" s="790">
        <v>2018</v>
      </c>
      <c r="D31" s="790">
        <v>2019</v>
      </c>
      <c r="E31" s="790">
        <v>2020</v>
      </c>
      <c r="F31" s="790" t="s">
        <v>799</v>
      </c>
      <c r="G31" s="790" t="s">
        <v>884</v>
      </c>
      <c r="H31" s="790" t="s">
        <v>885</v>
      </c>
      <c r="I31" s="790" t="s">
        <v>886</v>
      </c>
    </row>
    <row r="32" spans="2:9" ht="14.25" thickBot="1" x14ac:dyDescent="0.3">
      <c r="B32" s="457" t="s">
        <v>500</v>
      </c>
      <c r="C32" s="791">
        <v>43572</v>
      </c>
      <c r="D32" s="791">
        <v>44384</v>
      </c>
      <c r="E32" s="791">
        <v>45277</v>
      </c>
      <c r="F32" s="791">
        <v>55010</v>
      </c>
      <c r="G32" s="791">
        <v>59963</v>
      </c>
      <c r="H32" s="791">
        <v>64884</v>
      </c>
      <c r="I32" s="791">
        <v>66746</v>
      </c>
    </row>
    <row r="33" spans="2:9" ht="14.25" thickBot="1" x14ac:dyDescent="0.3">
      <c r="B33" s="465" t="s">
        <v>501</v>
      </c>
      <c r="C33" s="792">
        <v>811</v>
      </c>
      <c r="D33" s="792">
        <v>893</v>
      </c>
      <c r="E33" s="793">
        <v>9733</v>
      </c>
      <c r="F33" s="793">
        <v>4953</v>
      </c>
      <c r="G33" s="793">
        <v>4921</v>
      </c>
      <c r="H33" s="793">
        <v>1862</v>
      </c>
      <c r="I33" s="793">
        <v>2031</v>
      </c>
    </row>
    <row r="34" spans="2:9" x14ac:dyDescent="0.25">
      <c r="B34" s="80" t="s">
        <v>502</v>
      </c>
      <c r="C34" s="794">
        <v>1182</v>
      </c>
      <c r="D34" s="794">
        <v>2201</v>
      </c>
      <c r="E34" s="794">
        <v>7758</v>
      </c>
      <c r="F34" s="794">
        <v>8742</v>
      </c>
      <c r="G34" s="794">
        <v>5474</v>
      </c>
      <c r="H34" s="794">
        <v>3399</v>
      </c>
      <c r="I34" s="794">
        <v>3180</v>
      </c>
    </row>
    <row r="35" spans="2:9" ht="27" x14ac:dyDescent="0.25">
      <c r="B35" s="80" t="s">
        <v>503</v>
      </c>
      <c r="C35" s="795">
        <v>-498</v>
      </c>
      <c r="D35" s="794">
        <v>-1586</v>
      </c>
      <c r="E35" s="794">
        <v>1767</v>
      </c>
      <c r="F35" s="794">
        <v>-4235</v>
      </c>
      <c r="G35" s="795">
        <v>-711</v>
      </c>
      <c r="H35" s="794">
        <v>-1684</v>
      </c>
      <c r="I35" s="794">
        <v>-1473</v>
      </c>
    </row>
    <row r="36" spans="2:9" x14ac:dyDescent="0.25">
      <c r="B36" s="80" t="s">
        <v>504</v>
      </c>
      <c r="C36" s="795">
        <v>111</v>
      </c>
      <c r="D36" s="795">
        <v>248</v>
      </c>
      <c r="E36" s="795">
        <v>85</v>
      </c>
      <c r="F36" s="795">
        <v>-100</v>
      </c>
      <c r="G36" s="795">
        <v>38</v>
      </c>
      <c r="H36" s="795">
        <v>41</v>
      </c>
      <c r="I36" s="795">
        <v>22</v>
      </c>
    </row>
    <row r="37" spans="2:9" x14ac:dyDescent="0.25">
      <c r="B37" s="80" t="s">
        <v>505</v>
      </c>
      <c r="C37" s="795">
        <v>-3</v>
      </c>
      <c r="D37" s="795">
        <v>27</v>
      </c>
      <c r="E37" s="795">
        <v>21</v>
      </c>
      <c r="F37" s="795">
        <v>-144</v>
      </c>
      <c r="G37" s="795">
        <v>-38</v>
      </c>
      <c r="H37" s="795">
        <v>-5</v>
      </c>
      <c r="I37" s="795">
        <v>-9</v>
      </c>
    </row>
    <row r="38" spans="2:9" x14ac:dyDescent="0.25">
      <c r="B38" s="80" t="s">
        <v>506</v>
      </c>
      <c r="C38" s="795">
        <v>-37</v>
      </c>
      <c r="D38" s="795">
        <v>-42</v>
      </c>
      <c r="E38" s="795">
        <v>-30</v>
      </c>
      <c r="F38" s="795">
        <v>-37</v>
      </c>
      <c r="G38" s="795">
        <v>-37</v>
      </c>
      <c r="H38" s="795">
        <v>0</v>
      </c>
      <c r="I38" s="795">
        <v>0</v>
      </c>
    </row>
    <row r="39" spans="2:9" x14ac:dyDescent="0.25">
      <c r="B39" s="80" t="s">
        <v>507</v>
      </c>
      <c r="C39" s="795">
        <v>-4</v>
      </c>
      <c r="D39" s="795">
        <v>-15</v>
      </c>
      <c r="E39" s="795">
        <v>9</v>
      </c>
      <c r="F39" s="795">
        <v>15</v>
      </c>
      <c r="G39" s="795">
        <v>39</v>
      </c>
      <c r="H39" s="795">
        <v>33</v>
      </c>
      <c r="I39" s="795">
        <v>31</v>
      </c>
    </row>
    <row r="40" spans="2:9" x14ac:dyDescent="0.25">
      <c r="B40" s="459" t="s">
        <v>508</v>
      </c>
      <c r="C40" s="795">
        <v>-48</v>
      </c>
      <c r="D40" s="795">
        <v>11</v>
      </c>
      <c r="E40" s="795">
        <v>16</v>
      </c>
      <c r="F40" s="795">
        <v>-4</v>
      </c>
      <c r="G40" s="795">
        <v>7</v>
      </c>
      <c r="H40" s="795">
        <v>-8</v>
      </c>
      <c r="I40" s="795">
        <v>-17</v>
      </c>
    </row>
    <row r="41" spans="2:9" x14ac:dyDescent="0.25">
      <c r="B41" s="459" t="s">
        <v>509</v>
      </c>
      <c r="C41" s="795">
        <v>0</v>
      </c>
      <c r="D41" s="795">
        <v>-21</v>
      </c>
      <c r="E41" s="795">
        <v>0</v>
      </c>
      <c r="F41" s="795">
        <v>0</v>
      </c>
      <c r="G41" s="795">
        <v>0</v>
      </c>
      <c r="H41" s="795">
        <v>0</v>
      </c>
      <c r="I41" s="795">
        <v>0</v>
      </c>
    </row>
    <row r="42" spans="2:9" x14ac:dyDescent="0.25">
      <c r="B42" s="459" t="s">
        <v>510</v>
      </c>
      <c r="C42" s="795">
        <v>7</v>
      </c>
      <c r="D42" s="795">
        <v>4</v>
      </c>
      <c r="E42" s="795">
        <v>28</v>
      </c>
      <c r="F42" s="795">
        <v>22</v>
      </c>
      <c r="G42" s="795">
        <v>134</v>
      </c>
      <c r="H42" s="795">
        <v>156</v>
      </c>
      <c r="I42" s="795">
        <v>305</v>
      </c>
    </row>
    <row r="43" spans="2:9" x14ac:dyDescent="0.25">
      <c r="B43" s="459" t="s">
        <v>511</v>
      </c>
      <c r="C43" s="795">
        <v>-7</v>
      </c>
      <c r="D43" s="795">
        <v>2</v>
      </c>
      <c r="E43" s="795">
        <v>-16</v>
      </c>
      <c r="F43" s="795">
        <v>-2</v>
      </c>
      <c r="G43" s="795">
        <v>-11</v>
      </c>
      <c r="H43" s="795">
        <v>-49</v>
      </c>
      <c r="I43" s="795">
        <v>-6</v>
      </c>
    </row>
    <row r="44" spans="2:9" ht="14.25" thickBot="1" x14ac:dyDescent="0.3">
      <c r="B44" s="80" t="s">
        <v>512</v>
      </c>
      <c r="C44" s="796">
        <v>16</v>
      </c>
      <c r="D44" s="796">
        <v>24</v>
      </c>
      <c r="E44" s="796">
        <v>110</v>
      </c>
      <c r="F44" s="796" t="s">
        <v>1423</v>
      </c>
      <c r="G44" s="796">
        <v>-2</v>
      </c>
      <c r="H44" s="796">
        <v>-1</v>
      </c>
      <c r="I44" s="796">
        <v>3</v>
      </c>
    </row>
    <row r="45" spans="2:9" x14ac:dyDescent="0.25">
      <c r="B45" s="466" t="s">
        <v>513</v>
      </c>
      <c r="C45" s="797">
        <v>44384</v>
      </c>
      <c r="D45" s="797">
        <v>45277</v>
      </c>
      <c r="E45" s="797">
        <v>55010</v>
      </c>
      <c r="F45" s="797">
        <v>59963</v>
      </c>
      <c r="G45" s="797">
        <v>64884</v>
      </c>
      <c r="H45" s="797">
        <v>66746</v>
      </c>
      <c r="I45" s="797">
        <v>68778</v>
      </c>
    </row>
    <row r="46" spans="2:9" ht="14.25" thickBot="1" x14ac:dyDescent="0.3">
      <c r="B46" s="465" t="s">
        <v>514</v>
      </c>
      <c r="C46" s="790">
        <v>49.6</v>
      </c>
      <c r="D46" s="790">
        <v>48.1</v>
      </c>
      <c r="E46" s="790">
        <v>59.7</v>
      </c>
      <c r="F46" s="790">
        <v>61.5</v>
      </c>
      <c r="G46" s="790">
        <v>61.5</v>
      </c>
      <c r="H46" s="790">
        <v>58.6</v>
      </c>
      <c r="I46" s="790">
        <v>58.7</v>
      </c>
    </row>
    <row r="47" spans="2:9" ht="27.75" thickBot="1" x14ac:dyDescent="0.3">
      <c r="B47" s="467" t="s">
        <v>515</v>
      </c>
      <c r="C47" s="798">
        <v>0.5</v>
      </c>
      <c r="D47" s="798">
        <v>0.5</v>
      </c>
      <c r="E47" s="798">
        <v>-0.8</v>
      </c>
      <c r="F47" s="798">
        <v>-2.6</v>
      </c>
      <c r="G47" s="798">
        <v>-4</v>
      </c>
      <c r="H47" s="798">
        <v>-6</v>
      </c>
      <c r="I47" s="798">
        <v>-7.2</v>
      </c>
    </row>
    <row r="48" spans="2:9" x14ac:dyDescent="0.25">
      <c r="B48" s="459" t="s">
        <v>516</v>
      </c>
      <c r="C48" s="795">
        <v>0.1</v>
      </c>
      <c r="D48" s="795">
        <v>0.2</v>
      </c>
      <c r="E48" s="795">
        <v>-0.6</v>
      </c>
      <c r="F48" s="795">
        <v>-1.3</v>
      </c>
      <c r="G48" s="795">
        <v>-1.2</v>
      </c>
      <c r="H48" s="795">
        <v>-2.4</v>
      </c>
      <c r="I48" s="795">
        <v>-2.5</v>
      </c>
    </row>
    <row r="49" spans="2:9" ht="14.25" thickBot="1" x14ac:dyDescent="0.3">
      <c r="B49" s="468" t="s">
        <v>517</v>
      </c>
      <c r="C49" s="799">
        <v>0.3</v>
      </c>
      <c r="D49" s="799">
        <v>0.3</v>
      </c>
      <c r="E49" s="799">
        <v>-0.2</v>
      </c>
      <c r="F49" s="799">
        <v>-1.2</v>
      </c>
      <c r="G49" s="799">
        <v>-2.8</v>
      </c>
      <c r="H49" s="799">
        <v>-3.6</v>
      </c>
      <c r="I49" s="799">
        <v>-4.7</v>
      </c>
    </row>
    <row r="50" spans="2:9" ht="14.25" thickBot="1" x14ac:dyDescent="0.3">
      <c r="B50" s="470" t="s">
        <v>684</v>
      </c>
      <c r="C50" s="799">
        <v>0</v>
      </c>
      <c r="D50" s="799">
        <v>0</v>
      </c>
      <c r="E50" s="799">
        <v>134</v>
      </c>
      <c r="F50" s="799">
        <v>0</v>
      </c>
      <c r="G50" s="799">
        <v>0</v>
      </c>
      <c r="H50" s="799">
        <v>0</v>
      </c>
      <c r="I50" s="799">
        <v>0</v>
      </c>
    </row>
    <row r="51" spans="2:9" ht="31.5" customHeight="1" x14ac:dyDescent="0.25">
      <c r="B51" s="881" t="s">
        <v>518</v>
      </c>
      <c r="C51" s="881"/>
      <c r="D51" s="881"/>
      <c r="E51" s="881"/>
      <c r="F51" s="881"/>
      <c r="H51" s="469"/>
      <c r="I51" s="469" t="s">
        <v>474</v>
      </c>
    </row>
    <row r="52" spans="2:9" x14ac:dyDescent="0.25">
      <c r="B52" s="88" t="s">
        <v>1425</v>
      </c>
    </row>
  </sheetData>
  <mergeCells count="4">
    <mergeCell ref="B26:G26"/>
    <mergeCell ref="B27:G27"/>
    <mergeCell ref="B5:H5"/>
    <mergeCell ref="B51:F5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A4:K48"/>
  <sheetViews>
    <sheetView showGridLines="0" zoomScale="120" zoomScaleNormal="120" workbookViewId="0"/>
  </sheetViews>
  <sheetFormatPr defaultColWidth="9.140625" defaultRowHeight="13.5" x14ac:dyDescent="0.25"/>
  <cols>
    <col min="1" max="1" width="14.140625" style="88" bestFit="1" customWidth="1"/>
    <col min="2" max="2" width="9.140625" style="88"/>
    <col min="3" max="4" width="56.85546875" style="88" customWidth="1"/>
    <col min="5" max="10" width="9.140625" style="88"/>
    <col min="11" max="11" width="11.5703125" style="88" customWidth="1"/>
    <col min="12" max="16384" width="9.140625" style="88"/>
  </cols>
  <sheetData>
    <row r="4" spans="1:11" ht="15" x14ac:dyDescent="0.25">
      <c r="A4" s="1"/>
    </row>
    <row r="5" spans="1:11" x14ac:dyDescent="0.25">
      <c r="B5" s="882" t="s">
        <v>1162</v>
      </c>
      <c r="C5" s="882"/>
      <c r="D5" s="882"/>
      <c r="E5" s="882"/>
      <c r="F5" s="882"/>
      <c r="G5" s="882"/>
      <c r="H5" s="882"/>
      <c r="I5" s="882"/>
    </row>
    <row r="6" spans="1:11" x14ac:dyDescent="0.25">
      <c r="B6" s="882" t="s">
        <v>1163</v>
      </c>
      <c r="C6" s="882"/>
      <c r="D6" s="882"/>
      <c r="E6" s="882"/>
      <c r="F6" s="882"/>
      <c r="G6" s="882"/>
      <c r="H6" s="882"/>
      <c r="I6" s="882"/>
      <c r="J6" s="280"/>
    </row>
    <row r="7" spans="1:11" ht="14.25" thickBot="1" x14ac:dyDescent="0.3">
      <c r="B7" s="490"/>
      <c r="C7" s="491"/>
      <c r="D7" s="491"/>
      <c r="E7" s="492">
        <v>2020</v>
      </c>
      <c r="F7" s="492">
        <v>2021</v>
      </c>
      <c r="G7" s="492">
        <v>2022</v>
      </c>
      <c r="H7" s="492">
        <v>2023</v>
      </c>
      <c r="I7" s="492">
        <v>2024</v>
      </c>
    </row>
    <row r="8" spans="1:11" x14ac:dyDescent="0.25">
      <c r="C8" s="493" t="s">
        <v>690</v>
      </c>
      <c r="D8" s="493" t="s">
        <v>691</v>
      </c>
      <c r="E8" s="498">
        <v>-773</v>
      </c>
      <c r="F8" s="500">
        <f>('[72]Príloha č. 3'!$G$4+'[72]Príloha č. 3'!$G$5-'[65]"Príbeh"'!$I$5)*-1-F40</f>
        <v>-1462.73</v>
      </c>
      <c r="G8" s="95">
        <f>[66]Covid_pomoc_do_prilohy!I11*-1</f>
        <v>0</v>
      </c>
      <c r="H8" s="5" t="s">
        <v>610</v>
      </c>
      <c r="I8" s="5" t="s">
        <v>610</v>
      </c>
    </row>
    <row r="9" spans="1:11" x14ac:dyDescent="0.25">
      <c r="C9" s="493" t="s">
        <v>1159</v>
      </c>
      <c r="D9" s="493" t="s">
        <v>1166</v>
      </c>
      <c r="E9" s="500">
        <v>-59.34</v>
      </c>
      <c r="F9" s="734">
        <f>O13/-1000000</f>
        <v>0</v>
      </c>
      <c r="G9" s="5" t="s">
        <v>610</v>
      </c>
      <c r="H9" s="5" t="s">
        <v>610</v>
      </c>
      <c r="I9" s="5" t="s">
        <v>610</v>
      </c>
      <c r="K9" s="31"/>
    </row>
    <row r="10" spans="1:11" x14ac:dyDescent="0.25">
      <c r="C10" s="493" t="s">
        <v>692</v>
      </c>
      <c r="D10" s="493" t="s">
        <v>693</v>
      </c>
      <c r="E10" s="285">
        <v>-6</v>
      </c>
      <c r="F10" s="500">
        <f>('[72]Príloha č. 3'!$G$20+'[72]Príloha č. 3'!$G$21-'[65]"Príbeh"'!$I$24)*-1</f>
        <v>-227.5</v>
      </c>
      <c r="G10" s="5" t="s">
        <v>610</v>
      </c>
      <c r="H10" s="5" t="s">
        <v>610</v>
      </c>
      <c r="I10" s="5" t="s">
        <v>610</v>
      </c>
      <c r="K10" s="31"/>
    </row>
    <row r="11" spans="1:11" x14ac:dyDescent="0.25">
      <c r="C11" s="493" t="s">
        <v>694</v>
      </c>
      <c r="D11" s="493" t="s">
        <v>695</v>
      </c>
      <c r="E11" s="285" t="s">
        <v>610</v>
      </c>
      <c r="F11" s="500">
        <f>'[65]"Príbeh"'!$I$16+'[65]"Príbeh"'!$I$25</f>
        <v>-35</v>
      </c>
      <c r="G11" s="5" t="s">
        <v>610</v>
      </c>
      <c r="H11" s="5" t="s">
        <v>610</v>
      </c>
      <c r="I11" s="5" t="s">
        <v>610</v>
      </c>
      <c r="K11" s="31"/>
    </row>
    <row r="12" spans="1:11" x14ac:dyDescent="0.25">
      <c r="C12" s="494" t="s">
        <v>696</v>
      </c>
      <c r="D12" s="494" t="s">
        <v>697</v>
      </c>
      <c r="E12" s="499">
        <v>-40</v>
      </c>
      <c r="F12" s="500">
        <f>('[72]Príloha č. 3'!$G$22+'[72]Príloha č. 3'!$G$45-'[65]"Príbeh"'!$I$17)*-1</f>
        <v>-95</v>
      </c>
      <c r="G12" s="5" t="s">
        <v>610</v>
      </c>
      <c r="H12" s="5" t="s">
        <v>610</v>
      </c>
      <c r="I12" s="5" t="s">
        <v>610</v>
      </c>
    </row>
    <row r="13" spans="1:11" ht="14.25" customHeight="1" x14ac:dyDescent="0.25">
      <c r="C13" s="495" t="s">
        <v>698</v>
      </c>
      <c r="D13" s="495" t="s">
        <v>699</v>
      </c>
      <c r="E13" s="499">
        <v>-49</v>
      </c>
      <c r="F13" s="734" t="s">
        <v>610</v>
      </c>
      <c r="G13" s="5" t="s">
        <v>610</v>
      </c>
      <c r="H13" s="5" t="s">
        <v>610</v>
      </c>
      <c r="I13" s="5" t="s">
        <v>610</v>
      </c>
    </row>
    <row r="14" spans="1:11" ht="14.25" customHeight="1" x14ac:dyDescent="0.25">
      <c r="C14" s="496" t="s">
        <v>700</v>
      </c>
      <c r="D14" s="496" t="s">
        <v>701</v>
      </c>
      <c r="E14" s="499">
        <v>-15</v>
      </c>
      <c r="F14" s="500">
        <f>('[72]Príloha č. 3'!$G$7-'[65]"Príbeh"'!$I$6)*-1+M14</f>
        <v>-78</v>
      </c>
      <c r="G14" s="5">
        <f>[66]Covid_pomoc_do_prilohy!I18*-1</f>
        <v>-27</v>
      </c>
      <c r="H14" s="5" t="s">
        <v>610</v>
      </c>
      <c r="I14" s="5" t="s">
        <v>610</v>
      </c>
    </row>
    <row r="15" spans="1:11" ht="14.25" customHeight="1" x14ac:dyDescent="0.25">
      <c r="C15" s="496" t="s">
        <v>702</v>
      </c>
      <c r="D15" s="496" t="s">
        <v>703</v>
      </c>
      <c r="E15" s="499">
        <v>-13</v>
      </c>
      <c r="F15" s="500">
        <f>('[72]Príloha č. 3'!$G$8+'[72]Príloha č. 3'!$G$52)*-1</f>
        <v>-55.7</v>
      </c>
      <c r="G15" s="5">
        <f>[66]Covid_pomoc_do_prilohy!I19*-1</f>
        <v>-23.1</v>
      </c>
      <c r="H15" s="5" t="s">
        <v>610</v>
      </c>
      <c r="I15" s="5" t="s">
        <v>610</v>
      </c>
    </row>
    <row r="16" spans="1:11" ht="14.25" customHeight="1" x14ac:dyDescent="0.25">
      <c r="C16" s="496" t="s">
        <v>704</v>
      </c>
      <c r="D16" s="496" t="s">
        <v>705</v>
      </c>
      <c r="E16" s="499">
        <v>-32</v>
      </c>
      <c r="F16" s="500">
        <v>-40.1</v>
      </c>
      <c r="G16" s="5" t="s">
        <v>610</v>
      </c>
      <c r="H16" s="5" t="s">
        <v>610</v>
      </c>
      <c r="I16" s="5" t="s">
        <v>610</v>
      </c>
    </row>
    <row r="17" spans="3:11" x14ac:dyDescent="0.25">
      <c r="C17" s="496" t="s">
        <v>746</v>
      </c>
      <c r="D17" s="280" t="s">
        <v>1167</v>
      </c>
      <c r="E17" s="5" t="s">
        <v>610</v>
      </c>
      <c r="F17" s="500">
        <v>-74.599999999999994</v>
      </c>
      <c r="G17" s="5" t="s">
        <v>610</v>
      </c>
      <c r="H17" s="5" t="s">
        <v>610</v>
      </c>
      <c r="I17" s="5" t="s">
        <v>610</v>
      </c>
    </row>
    <row r="18" spans="3:11" x14ac:dyDescent="0.25">
      <c r="C18" s="496" t="s">
        <v>1110</v>
      </c>
      <c r="D18" s="497" t="s">
        <v>706</v>
      </c>
      <c r="E18" s="499">
        <v>-106</v>
      </c>
      <c r="F18" s="500">
        <v>-190.6</v>
      </c>
      <c r="G18" s="735">
        <v>-27</v>
      </c>
      <c r="H18" s="285" t="s">
        <v>610</v>
      </c>
      <c r="I18" s="285" t="s">
        <v>610</v>
      </c>
    </row>
    <row r="19" spans="3:11" x14ac:dyDescent="0.25">
      <c r="C19" s="496" t="s">
        <v>1111</v>
      </c>
      <c r="D19" s="497" t="s">
        <v>707</v>
      </c>
      <c r="E19" s="499">
        <v>-133</v>
      </c>
      <c r="F19" s="500">
        <v>-68.3</v>
      </c>
      <c r="G19" s="736">
        <v>-23.1</v>
      </c>
      <c r="H19" s="285" t="s">
        <v>610</v>
      </c>
      <c r="I19" s="285" t="s">
        <v>610</v>
      </c>
    </row>
    <row r="20" spans="3:11" x14ac:dyDescent="0.25">
      <c r="C20" s="494" t="s">
        <v>708</v>
      </c>
      <c r="D20" s="494" t="s">
        <v>709</v>
      </c>
      <c r="E20" s="500">
        <v>-57</v>
      </c>
      <c r="F20" s="737" t="s">
        <v>610</v>
      </c>
      <c r="G20" s="5" t="s">
        <v>610</v>
      </c>
      <c r="H20" s="5" t="s">
        <v>610</v>
      </c>
      <c r="I20" s="5" t="s">
        <v>610</v>
      </c>
      <c r="K20" s="89"/>
    </row>
    <row r="21" spans="3:11" x14ac:dyDescent="0.25">
      <c r="C21" s="494" t="s">
        <v>710</v>
      </c>
      <c r="D21" s="494" t="s">
        <v>711</v>
      </c>
      <c r="E21" s="500">
        <v>-28</v>
      </c>
      <c r="F21" s="737" t="s">
        <v>610</v>
      </c>
      <c r="G21" s="5" t="s">
        <v>610</v>
      </c>
      <c r="H21" s="5" t="s">
        <v>610</v>
      </c>
      <c r="I21" s="5" t="s">
        <v>610</v>
      </c>
    </row>
    <row r="22" spans="3:11" x14ac:dyDescent="0.25">
      <c r="C22" s="494" t="s">
        <v>712</v>
      </c>
      <c r="D22" s="494" t="s">
        <v>713</v>
      </c>
      <c r="E22" s="499">
        <v>-3.6</v>
      </c>
      <c r="F22" s="737">
        <v>-5.5</v>
      </c>
      <c r="G22" s="285" t="s">
        <v>610</v>
      </c>
      <c r="H22" s="285" t="s">
        <v>610</v>
      </c>
      <c r="I22" s="285" t="s">
        <v>610</v>
      </c>
    </row>
    <row r="23" spans="3:11" x14ac:dyDescent="0.25">
      <c r="C23" s="494" t="s">
        <v>714</v>
      </c>
      <c r="D23" s="494" t="s">
        <v>715</v>
      </c>
      <c r="E23" s="285" t="s">
        <v>610</v>
      </c>
      <c r="F23" s="500">
        <v>-10.3</v>
      </c>
      <c r="G23" s="5" t="s">
        <v>610</v>
      </c>
      <c r="H23" s="5" t="s">
        <v>610</v>
      </c>
      <c r="I23" s="5" t="s">
        <v>610</v>
      </c>
    </row>
    <row r="24" spans="3:11" x14ac:dyDescent="0.25">
      <c r="C24" s="493" t="s">
        <v>716</v>
      </c>
      <c r="D24" s="291" t="s">
        <v>717</v>
      </c>
      <c r="E24" s="499">
        <v>-13</v>
      </c>
      <c r="F24" s="500">
        <f>('[72]Príloha č. 3'!$G$15+'[72]Príloha č. 3'!$G$16-'[65]"Príbeh"'!$I$13)*-1</f>
        <v>-48.900000000000006</v>
      </c>
      <c r="G24" s="5">
        <f>[66]Covid_pomoc_do_prilohy!I30*-1</f>
        <v>-153.01000000000002</v>
      </c>
      <c r="H24" s="5" t="s">
        <v>610</v>
      </c>
      <c r="I24" s="5" t="s">
        <v>610</v>
      </c>
    </row>
    <row r="25" spans="3:11" x14ac:dyDescent="0.25">
      <c r="C25" s="493" t="s">
        <v>1160</v>
      </c>
      <c r="D25" s="291" t="s">
        <v>719</v>
      </c>
      <c r="E25" s="499">
        <v>-138</v>
      </c>
      <c r="F25" s="734" t="s">
        <v>610</v>
      </c>
      <c r="G25" s="5" t="s">
        <v>610</v>
      </c>
      <c r="H25" s="5" t="s">
        <v>610</v>
      </c>
      <c r="I25" s="5" t="s">
        <v>610</v>
      </c>
      <c r="K25" s="94"/>
    </row>
    <row r="26" spans="3:11" x14ac:dyDescent="0.25">
      <c r="C26" s="493" t="s">
        <v>720</v>
      </c>
      <c r="D26" s="291" t="s">
        <v>721</v>
      </c>
      <c r="E26" s="499">
        <v>-39</v>
      </c>
      <c r="F26" s="734" t="s">
        <v>610</v>
      </c>
      <c r="G26" s="5" t="s">
        <v>610</v>
      </c>
      <c r="H26" s="5" t="s">
        <v>610</v>
      </c>
      <c r="I26" s="5" t="s">
        <v>610</v>
      </c>
      <c r="K26" s="94"/>
    </row>
    <row r="27" spans="3:11" x14ac:dyDescent="0.25">
      <c r="C27" s="495" t="s">
        <v>722</v>
      </c>
      <c r="D27" s="291" t="s">
        <v>723</v>
      </c>
      <c r="E27" s="499">
        <v>-124</v>
      </c>
      <c r="F27" s="500">
        <f>('[72]Príloha č. 3'!$G$17+'[72]Príloha č. 3'!$G$24+'[72]Príloha č. 3'!$G$25+'[72]Príloha č. 3'!$G$27+'[72]Príloha č. 3'!$G$35+'[72]Príloha č. 3'!$G$42+'[72]Príloha č. 3'!$G$49-'[65]"Príbeh"'!$I$10-'[65]"Príbeh"'!$I$14-SUM('[65]"Príbeh"'!$I$18:$I$23))*-1</f>
        <v>-437.16499999999996</v>
      </c>
      <c r="G27" s="5" t="s">
        <v>610</v>
      </c>
      <c r="H27" s="5" t="s">
        <v>610</v>
      </c>
      <c r="I27" s="5" t="s">
        <v>610</v>
      </c>
      <c r="K27" s="94"/>
    </row>
    <row r="28" spans="3:11" x14ac:dyDescent="0.25">
      <c r="C28" s="494" t="s">
        <v>724</v>
      </c>
      <c r="D28" s="291" t="s">
        <v>725</v>
      </c>
      <c r="E28" s="499">
        <v>0</v>
      </c>
      <c r="F28" s="500">
        <f>('[72]Príloha č. 3'!$G$10+'[72]Príloha č. 3'!$G$11+'[72]Príloha č. 3'!$G$37+'[72]Príloha č. 3'!$G$43-'[65]"Príbeh"'!$I$7-'[65]"Príbeh"'!$I$8-'[65]"Príbeh"'!$I$9-'[65]"Príbeh"'!$I$11)*-1</f>
        <v>-154.708</v>
      </c>
      <c r="G28" s="738">
        <f>[66]Covid_pomoc_do_prilohy!I34*-1</f>
        <v>0</v>
      </c>
      <c r="H28" s="5" t="s">
        <v>610</v>
      </c>
      <c r="I28" s="5" t="s">
        <v>610</v>
      </c>
      <c r="K28" s="94"/>
    </row>
    <row r="29" spans="3:11" x14ac:dyDescent="0.25">
      <c r="C29" s="495" t="s">
        <v>726</v>
      </c>
      <c r="D29" s="291" t="s">
        <v>727</v>
      </c>
      <c r="E29" s="499">
        <v>-63</v>
      </c>
      <c r="F29" s="500">
        <f>('[72]Príloha č. 3'!$G$18+'[72]Príloha č. 3'!$G$38)*-1</f>
        <v>-0.64300000000000002</v>
      </c>
      <c r="G29" s="5" t="s">
        <v>610</v>
      </c>
      <c r="H29" s="5" t="s">
        <v>610</v>
      </c>
      <c r="I29" s="5" t="s">
        <v>610</v>
      </c>
    </row>
    <row r="30" spans="3:11" x14ac:dyDescent="0.25">
      <c r="C30" s="495" t="s">
        <v>728</v>
      </c>
      <c r="D30" s="291" t="s">
        <v>729</v>
      </c>
      <c r="E30" s="499">
        <v>-33</v>
      </c>
      <c r="F30" s="734" t="s">
        <v>610</v>
      </c>
      <c r="G30" s="5" t="s">
        <v>610</v>
      </c>
      <c r="H30" s="5" t="s">
        <v>610</v>
      </c>
      <c r="I30" s="5" t="s">
        <v>610</v>
      </c>
    </row>
    <row r="31" spans="3:11" x14ac:dyDescent="0.25">
      <c r="C31" s="495" t="s">
        <v>730</v>
      </c>
      <c r="D31" s="291" t="s">
        <v>731</v>
      </c>
      <c r="E31" s="499">
        <v>-64</v>
      </c>
      <c r="F31" s="734" t="s">
        <v>610</v>
      </c>
      <c r="G31" s="5" t="s">
        <v>610</v>
      </c>
      <c r="H31" s="5" t="s">
        <v>610</v>
      </c>
      <c r="I31" s="5" t="s">
        <v>610</v>
      </c>
    </row>
    <row r="32" spans="3:11" x14ac:dyDescent="0.25">
      <c r="C32" s="495" t="s">
        <v>732</v>
      </c>
      <c r="D32" s="291" t="s">
        <v>733</v>
      </c>
      <c r="E32" s="499">
        <v>-22</v>
      </c>
      <c r="F32" s="734" t="s">
        <v>610</v>
      </c>
      <c r="G32" s="5" t="s">
        <v>610</v>
      </c>
      <c r="H32" s="5" t="s">
        <v>610</v>
      </c>
      <c r="I32" s="5" t="s">
        <v>610</v>
      </c>
    </row>
    <row r="33" spans="3:9" x14ac:dyDescent="0.25">
      <c r="C33" s="495" t="s">
        <v>734</v>
      </c>
      <c r="D33" s="291" t="s">
        <v>735</v>
      </c>
      <c r="E33" s="499">
        <v>-16</v>
      </c>
      <c r="F33" s="500">
        <f>('[72]Príloha č. 3'!$G$19+'[72]Príloha č. 3'!$G$23-'[65]"Príbeh"'!$I$15)*-1</f>
        <v>-33.200000000000003</v>
      </c>
      <c r="G33" s="5" t="s">
        <v>610</v>
      </c>
      <c r="H33" s="5" t="s">
        <v>610</v>
      </c>
      <c r="I33" s="5" t="s">
        <v>610</v>
      </c>
    </row>
    <row r="34" spans="3:9" x14ac:dyDescent="0.25">
      <c r="C34" s="494" t="s">
        <v>736</v>
      </c>
      <c r="D34" s="291" t="s">
        <v>737</v>
      </c>
      <c r="E34" s="499">
        <v>-24</v>
      </c>
      <c r="F34" s="500">
        <f>('[72]Príloha č. 3'!$G$14+'[72]Príloha č. 3'!$G$47-'[65]"Príbeh"'!$I$12)*-1</f>
        <v>-109</v>
      </c>
      <c r="G34" s="738">
        <f>[66]Covid_pomoc_do_prilohy!I41*-1</f>
        <v>-9</v>
      </c>
      <c r="H34" s="5" t="s">
        <v>610</v>
      </c>
      <c r="I34" s="5" t="s">
        <v>610</v>
      </c>
    </row>
    <row r="35" spans="3:9" x14ac:dyDescent="0.25">
      <c r="C35" s="494" t="s">
        <v>738</v>
      </c>
      <c r="D35" s="291" t="s">
        <v>739</v>
      </c>
      <c r="E35" s="499">
        <v>-50</v>
      </c>
      <c r="F35" s="734" t="s">
        <v>610</v>
      </c>
      <c r="G35" s="5" t="s">
        <v>610</v>
      </c>
      <c r="H35" s="5" t="s">
        <v>610</v>
      </c>
      <c r="I35" s="5" t="s">
        <v>610</v>
      </c>
    </row>
    <row r="36" spans="3:9" x14ac:dyDescent="0.25">
      <c r="C36" s="494" t="s">
        <v>740</v>
      </c>
      <c r="D36" s="291" t="s">
        <v>741</v>
      </c>
      <c r="E36" s="499">
        <v>-13</v>
      </c>
      <c r="F36" s="734" t="s">
        <v>610</v>
      </c>
      <c r="G36" s="5" t="s">
        <v>610</v>
      </c>
      <c r="H36" s="5" t="s">
        <v>610</v>
      </c>
      <c r="I36" s="5" t="s">
        <v>610</v>
      </c>
    </row>
    <row r="37" spans="3:9" x14ac:dyDescent="0.25">
      <c r="C37" s="494" t="s">
        <v>1120</v>
      </c>
      <c r="D37" s="280" t="s">
        <v>1169</v>
      </c>
      <c r="E37" s="5" t="s">
        <v>610</v>
      </c>
      <c r="F37" s="734">
        <f>-'[72]Príloha č. 3'!$G$44</f>
        <v>-42</v>
      </c>
      <c r="G37" s="5" t="s">
        <v>610</v>
      </c>
      <c r="H37" s="5" t="s">
        <v>610</v>
      </c>
      <c r="I37" s="5" t="s">
        <v>610</v>
      </c>
    </row>
    <row r="38" spans="3:9" x14ac:dyDescent="0.25">
      <c r="C38" s="494" t="s">
        <v>1161</v>
      </c>
      <c r="D38" s="291" t="s">
        <v>1168</v>
      </c>
      <c r="E38" s="499">
        <v>-25</v>
      </c>
      <c r="F38" s="734" t="s">
        <v>610</v>
      </c>
      <c r="G38" s="5" t="s">
        <v>610</v>
      </c>
      <c r="H38" s="5" t="s">
        <v>610</v>
      </c>
      <c r="I38" s="5" t="s">
        <v>610</v>
      </c>
    </row>
    <row r="39" spans="3:9" x14ac:dyDescent="0.25">
      <c r="C39" s="494" t="s">
        <v>742</v>
      </c>
      <c r="D39" s="291" t="s">
        <v>369</v>
      </c>
      <c r="E39" s="500">
        <f>('[73]24sept'!$D$91+'[73]24sept'!$D$24)*-1</f>
        <v>-18.100608999999999</v>
      </c>
      <c r="F39" s="500">
        <f>('[72]Príloha č. 3'!$G$12+'[72]Príloha č. 3'!$G$13+'[72]Príloha č. 3'!$G$26+'[72]Príloha č. 3'!$G$36+'[72]Príloha č. 3'!$G$40+'[72]Príloha č. 3'!$G$41+'[72]Príloha č. 3'!$G$34+'[72]Príloha č. 3'!$G$39+'[72]Príloha č. 3'!$G$48+'[72]Príloha č. 3'!$G$50+'[72]Príloha č. 3'!$G$6)*-1-M14+O13/1000000</f>
        <v>-22.594000000000005</v>
      </c>
      <c r="G39" s="5">
        <f>[66]Covid_pomoc_do_prilohy!I45*-1</f>
        <v>0</v>
      </c>
      <c r="H39" s="5" t="s">
        <v>610</v>
      </c>
      <c r="I39" s="5" t="s">
        <v>610</v>
      </c>
    </row>
    <row r="40" spans="3:9" x14ac:dyDescent="0.25">
      <c r="C40" s="494" t="s">
        <v>743</v>
      </c>
      <c r="D40" s="291" t="s">
        <v>744</v>
      </c>
      <c r="E40" s="499">
        <v>343</v>
      </c>
      <c r="F40" s="734">
        <f>138.33+10</f>
        <v>148.33000000000001</v>
      </c>
      <c r="G40" s="5" t="s">
        <v>610</v>
      </c>
      <c r="H40" s="5" t="s">
        <v>610</v>
      </c>
      <c r="I40" s="5" t="s">
        <v>610</v>
      </c>
    </row>
    <row r="41" spans="3:9" x14ac:dyDescent="0.25">
      <c r="C41" s="732" t="s">
        <v>617</v>
      </c>
      <c r="D41" s="90" t="s">
        <v>622</v>
      </c>
      <c r="E41" s="739">
        <v>71</v>
      </c>
      <c r="F41" s="740">
        <v>130</v>
      </c>
      <c r="G41" s="741" t="s">
        <v>610</v>
      </c>
      <c r="H41" s="741" t="s">
        <v>610</v>
      </c>
      <c r="I41" s="741" t="s">
        <v>610</v>
      </c>
    </row>
    <row r="42" spans="3:9" ht="14.25" thickBot="1" x14ac:dyDescent="0.3">
      <c r="C42" s="733" t="s">
        <v>745</v>
      </c>
      <c r="D42" s="279" t="s">
        <v>395</v>
      </c>
      <c r="E42" s="742">
        <f>SUM(E8:E41)</f>
        <v>-1543.0406090000001</v>
      </c>
      <c r="F42" s="743">
        <f>SUM(F8:F41)</f>
        <v>-2913.2100000000005</v>
      </c>
      <c r="G42" s="743">
        <f>SUM(G8:G41)</f>
        <v>-262.21000000000004</v>
      </c>
      <c r="H42" s="743">
        <f>SUM(H8:H41)</f>
        <v>0</v>
      </c>
      <c r="I42" s="743">
        <f>SUM(I8:I41)</f>
        <v>0</v>
      </c>
    </row>
    <row r="44" spans="3:9" x14ac:dyDescent="0.25">
      <c r="E44" s="230"/>
    </row>
    <row r="48" spans="3:9" x14ac:dyDescent="0.25">
      <c r="E48" s="249"/>
    </row>
  </sheetData>
  <mergeCells count="2">
    <mergeCell ref="B5:I5"/>
    <mergeCell ref="B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X43"/>
  <sheetViews>
    <sheetView showGridLines="0" zoomScale="80" zoomScaleNormal="80" workbookViewId="0">
      <selection activeCell="AF42" sqref="AF42"/>
    </sheetView>
  </sheetViews>
  <sheetFormatPr defaultColWidth="8.85546875" defaultRowHeight="13.5" x14ac:dyDescent="0.25"/>
  <cols>
    <col min="1" max="1" width="14.140625" style="88" bestFit="1" customWidth="1"/>
    <col min="2" max="2" width="11.140625" style="88" customWidth="1"/>
    <col min="3" max="9" width="8.85546875" style="88"/>
    <col min="10" max="10" width="18.140625" style="88" bestFit="1" customWidth="1"/>
    <col min="11" max="11" width="20.85546875" style="88" bestFit="1" customWidth="1"/>
    <col min="12" max="17" width="8.85546875" style="88"/>
    <col min="18" max="18" width="8.85546875" style="94"/>
    <col min="19" max="16384" width="8.85546875" style="88"/>
  </cols>
  <sheetData>
    <row r="1" spans="1:24" ht="15" x14ac:dyDescent="0.25">
      <c r="A1" s="1"/>
    </row>
    <row r="3" spans="1:24" x14ac:dyDescent="0.25">
      <c r="J3" s="227" t="s">
        <v>127</v>
      </c>
      <c r="K3" s="227" t="s">
        <v>370</v>
      </c>
    </row>
    <row r="4" spans="1:24" x14ac:dyDescent="0.25">
      <c r="L4" s="141"/>
      <c r="M4" s="141"/>
      <c r="N4" s="141"/>
      <c r="O4" s="141"/>
      <c r="P4" s="141"/>
      <c r="Q4" s="141"/>
      <c r="R4" s="141"/>
    </row>
    <row r="5" spans="1:24" x14ac:dyDescent="0.25">
      <c r="L5" s="488"/>
      <c r="M5" s="488"/>
      <c r="N5" s="488"/>
      <c r="O5" s="488"/>
      <c r="P5" s="488"/>
      <c r="Q5" s="488"/>
      <c r="R5" s="488"/>
    </row>
    <row r="6" spans="1:24" x14ac:dyDescent="0.25">
      <c r="B6" s="807" t="s">
        <v>630</v>
      </c>
      <c r="C6" s="808"/>
      <c r="D6" s="808"/>
      <c r="E6" s="808"/>
      <c r="F6" s="808"/>
      <c r="G6" s="808"/>
      <c r="H6" s="808"/>
      <c r="J6" s="227" t="s">
        <v>128</v>
      </c>
      <c r="K6" s="227" t="s">
        <v>371</v>
      </c>
    </row>
    <row r="7" spans="1:24" x14ac:dyDescent="0.25">
      <c r="J7" s="139"/>
      <c r="K7" s="139"/>
      <c r="L7" s="139">
        <v>2018</v>
      </c>
      <c r="M7" s="139">
        <v>2019</v>
      </c>
      <c r="N7" s="139">
        <v>2020</v>
      </c>
      <c r="O7" s="139">
        <v>2021</v>
      </c>
      <c r="P7" s="139">
        <v>2022</v>
      </c>
      <c r="Q7" s="139">
        <v>2023</v>
      </c>
      <c r="R7" s="139">
        <v>2024</v>
      </c>
    </row>
    <row r="8" spans="1:24" x14ac:dyDescent="0.25">
      <c r="J8" s="489" t="s">
        <v>86</v>
      </c>
      <c r="K8" s="227" t="s">
        <v>375</v>
      </c>
      <c r="L8" s="141">
        <v>3.6501233577796333</v>
      </c>
      <c r="M8" s="141">
        <v>2.5115881409905283</v>
      </c>
      <c r="N8" s="141">
        <v>-4.7543253411001078</v>
      </c>
      <c r="O8" s="141">
        <v>3.6718484361970116</v>
      </c>
      <c r="P8" s="141">
        <v>4.2056758055444288</v>
      </c>
      <c r="Q8" s="141">
        <v>4.997439849067109</v>
      </c>
      <c r="R8" s="141">
        <v>0.71357348082539129</v>
      </c>
    </row>
    <row r="9" spans="1:24" x14ac:dyDescent="0.25">
      <c r="J9" s="489" t="s">
        <v>334</v>
      </c>
      <c r="K9" s="227" t="s">
        <v>522</v>
      </c>
      <c r="L9" s="141">
        <v>2.2805001149225865</v>
      </c>
      <c r="M9" s="141">
        <v>1.5004336246172412</v>
      </c>
      <c r="N9" s="141">
        <v>-0.56561676129077687</v>
      </c>
      <c r="O9" s="141">
        <v>0.12373731521296205</v>
      </c>
      <c r="P9" s="141">
        <v>1.3534147838371042</v>
      </c>
      <c r="Q9" s="141">
        <v>1.9776658984428188</v>
      </c>
      <c r="R9" s="141">
        <v>2.1364536692879219</v>
      </c>
    </row>
    <row r="10" spans="1:24" x14ac:dyDescent="0.25">
      <c r="J10" s="489" t="s">
        <v>335</v>
      </c>
      <c r="K10" s="227" t="s">
        <v>523</v>
      </c>
      <c r="L10" s="141">
        <v>1.7148104957413705E-2</v>
      </c>
      <c r="M10" s="141">
        <v>0.81756022973607179</v>
      </c>
      <c r="N10" s="141">
        <v>4.5722335219422421E-2</v>
      </c>
      <c r="O10" s="141">
        <v>0.93703840384667847</v>
      </c>
      <c r="P10" s="141">
        <v>0.78436114674398594</v>
      </c>
      <c r="Q10" s="141">
        <v>0.35281946859430002</v>
      </c>
      <c r="R10" s="141">
        <v>-7.652141760233061E-2</v>
      </c>
    </row>
    <row r="11" spans="1:24" x14ac:dyDescent="0.25">
      <c r="J11" s="489" t="s">
        <v>336</v>
      </c>
      <c r="K11" s="227" t="s">
        <v>524</v>
      </c>
      <c r="L11" s="141">
        <v>0.57122687909435843</v>
      </c>
      <c r="M11" s="141">
        <v>1.3782457942689599</v>
      </c>
      <c r="N11" s="141">
        <v>-2.6097939234161767</v>
      </c>
      <c r="O11" s="141">
        <v>-5.189821275357237E-2</v>
      </c>
      <c r="P11" s="141">
        <v>3.2130317275813156</v>
      </c>
      <c r="Q11" s="141">
        <v>3.2865682560880884</v>
      </c>
      <c r="R11" s="141">
        <v>-2.8807226279287632</v>
      </c>
    </row>
    <row r="12" spans="1:24" x14ac:dyDescent="0.25">
      <c r="D12" s="229"/>
      <c r="J12" s="489" t="s">
        <v>337</v>
      </c>
      <c r="K12" s="227" t="s">
        <v>526</v>
      </c>
      <c r="L12" s="141">
        <v>0.37327639228089293</v>
      </c>
      <c r="M12" s="141">
        <v>-1.1887289197734816</v>
      </c>
      <c r="N12" s="141">
        <v>0.61087359508445116</v>
      </c>
      <c r="O12" s="141">
        <v>-0.1285073348048032</v>
      </c>
      <c r="P12" s="141">
        <v>-0.66285527316618742</v>
      </c>
      <c r="Q12" s="141">
        <v>-0.36015136651940988</v>
      </c>
      <c r="R12" s="141">
        <v>1.5626460591283542</v>
      </c>
    </row>
    <row r="13" spans="1:24" x14ac:dyDescent="0.25">
      <c r="D13" s="229"/>
      <c r="J13" s="227" t="s">
        <v>338</v>
      </c>
      <c r="K13" s="227" t="s">
        <v>525</v>
      </c>
      <c r="L13" s="141">
        <v>0.4079718665243921</v>
      </c>
      <c r="M13" s="141">
        <v>4.077412141715496E-3</v>
      </c>
      <c r="N13" s="141">
        <v>-2.2355105866970235</v>
      </c>
      <c r="O13" s="141">
        <v>2.791478264695745</v>
      </c>
      <c r="P13" s="141">
        <v>-0.48227657945181152</v>
      </c>
      <c r="Q13" s="141">
        <v>-0.25946240753865341</v>
      </c>
      <c r="R13" s="141">
        <v>-2.8282202059790665E-2</v>
      </c>
    </row>
    <row r="14" spans="1:24" x14ac:dyDescent="0.25">
      <c r="D14" s="229"/>
    </row>
    <row r="15" spans="1:24" x14ac:dyDescent="0.25">
      <c r="D15" s="229"/>
      <c r="L15" s="230"/>
      <c r="M15" s="230"/>
      <c r="N15" s="230"/>
      <c r="O15" s="230"/>
      <c r="P15" s="230"/>
      <c r="Q15" s="230"/>
    </row>
    <row r="16" spans="1:24" x14ac:dyDescent="0.25">
      <c r="D16" s="229"/>
      <c r="J16" s="227" t="s">
        <v>129</v>
      </c>
      <c r="K16" s="227" t="s">
        <v>372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spans="2:24" x14ac:dyDescent="0.25">
      <c r="B17" s="227"/>
      <c r="D17" s="229"/>
      <c r="J17" s="139"/>
      <c r="K17" s="139"/>
      <c r="L17" s="139"/>
      <c r="M17" s="139" t="s">
        <v>539</v>
      </c>
      <c r="N17" s="139" t="s">
        <v>540</v>
      </c>
      <c r="O17" s="139" t="s">
        <v>541</v>
      </c>
      <c r="P17" s="139" t="s">
        <v>542</v>
      </c>
      <c r="Q17" s="139" t="s">
        <v>543</v>
      </c>
      <c r="R17" s="139" t="s">
        <v>544</v>
      </c>
      <c r="S17" s="139" t="s">
        <v>545</v>
      </c>
      <c r="T17" s="139" t="s">
        <v>546</v>
      </c>
      <c r="U17" s="139" t="s">
        <v>547</v>
      </c>
      <c r="V17" s="139" t="s">
        <v>548</v>
      </c>
      <c r="W17" s="139" t="s">
        <v>549</v>
      </c>
      <c r="X17" s="139" t="s">
        <v>550</v>
      </c>
    </row>
    <row r="18" spans="2:24" x14ac:dyDescent="0.25">
      <c r="D18" s="229"/>
      <c r="J18" s="227"/>
      <c r="K18" s="227"/>
      <c r="L18" s="231"/>
      <c r="M18" s="139" t="s">
        <v>551</v>
      </c>
      <c r="N18" s="139" t="s">
        <v>552</v>
      </c>
      <c r="O18" s="139" t="s">
        <v>553</v>
      </c>
      <c r="P18" s="139" t="s">
        <v>554</v>
      </c>
      <c r="Q18" s="139" t="s">
        <v>555</v>
      </c>
      <c r="R18" s="139" t="s">
        <v>556</v>
      </c>
      <c r="S18" s="139" t="s">
        <v>557</v>
      </c>
      <c r="T18" s="139" t="s">
        <v>558</v>
      </c>
      <c r="U18" s="139" t="s">
        <v>559</v>
      </c>
      <c r="V18" s="139" t="s">
        <v>560</v>
      </c>
      <c r="W18" s="139" t="s">
        <v>561</v>
      </c>
      <c r="X18" s="139" t="s">
        <v>562</v>
      </c>
    </row>
    <row r="19" spans="2:24" x14ac:dyDescent="0.25">
      <c r="D19" s="229"/>
      <c r="J19" s="227"/>
      <c r="K19" s="227"/>
      <c r="L19" s="232">
        <v>2018</v>
      </c>
      <c r="M19" s="141">
        <v>5878.3</v>
      </c>
      <c r="N19" s="141">
        <v>6200.9</v>
      </c>
      <c r="O19" s="141">
        <v>6919</v>
      </c>
      <c r="P19" s="141">
        <v>6365.8</v>
      </c>
      <c r="Q19" s="94">
        <v>6838.1</v>
      </c>
      <c r="R19" s="88">
        <v>6946.3</v>
      </c>
      <c r="S19" s="88">
        <v>5913.7</v>
      </c>
      <c r="T19" s="88">
        <v>6163</v>
      </c>
      <c r="U19" s="88">
        <v>6926.1</v>
      </c>
      <c r="V19" s="88">
        <v>7676.7</v>
      </c>
      <c r="W19" s="88">
        <v>7639.8</v>
      </c>
      <c r="X19" s="88">
        <v>5676.9</v>
      </c>
    </row>
    <row r="20" spans="2:24" x14ac:dyDescent="0.25">
      <c r="D20" s="229"/>
      <c r="J20" s="227"/>
      <c r="K20" s="227"/>
      <c r="L20" s="232">
        <v>2019</v>
      </c>
      <c r="M20" s="141">
        <v>6736.6</v>
      </c>
      <c r="N20" s="141">
        <v>6666</v>
      </c>
      <c r="O20" s="141">
        <v>7279.2</v>
      </c>
      <c r="P20" s="141">
        <v>6569.5</v>
      </c>
      <c r="Q20" s="94">
        <v>6944.2</v>
      </c>
      <c r="R20" s="88">
        <v>6466</v>
      </c>
      <c r="S20" s="88">
        <v>5826</v>
      </c>
      <c r="T20" s="88">
        <v>5892.3</v>
      </c>
      <c r="U20" s="88">
        <v>7016.2</v>
      </c>
      <c r="V20" s="88">
        <v>7823.1</v>
      </c>
      <c r="W20" s="88">
        <v>7346</v>
      </c>
      <c r="X20" s="88">
        <v>5772.6</v>
      </c>
    </row>
    <row r="21" spans="2:24" x14ac:dyDescent="0.25">
      <c r="D21" s="229"/>
      <c r="J21" s="227"/>
      <c r="K21" s="227"/>
      <c r="L21" s="232">
        <v>2020</v>
      </c>
      <c r="M21" s="141">
        <v>6657</v>
      </c>
      <c r="N21" s="141">
        <v>6734.4</v>
      </c>
      <c r="O21" s="141">
        <v>5982</v>
      </c>
      <c r="P21" s="141">
        <v>3578.5</v>
      </c>
      <c r="Q21" s="94">
        <v>4617</v>
      </c>
      <c r="R21" s="88">
        <v>6597</v>
      </c>
      <c r="S21" s="88">
        <v>6070.2</v>
      </c>
      <c r="T21" s="88">
        <v>6338</v>
      </c>
      <c r="U21" s="88">
        <v>7453.1</v>
      </c>
      <c r="V21" s="88">
        <v>7998.2</v>
      </c>
      <c r="W21" s="88">
        <v>7613</v>
      </c>
      <c r="X21" s="88">
        <v>6433.1</v>
      </c>
    </row>
    <row r="22" spans="2:24" x14ac:dyDescent="0.25">
      <c r="L22" s="232">
        <v>2021</v>
      </c>
      <c r="M22" s="141">
        <v>6540</v>
      </c>
      <c r="N22" s="141">
        <v>7221.8</v>
      </c>
      <c r="O22" s="141">
        <v>8490.7000000000007</v>
      </c>
      <c r="P22" s="141">
        <v>7297.7</v>
      </c>
      <c r="Q22" s="94">
        <v>6968.3</v>
      </c>
      <c r="R22" s="88">
        <v>7723</v>
      </c>
      <c r="S22" s="88">
        <v>6734.5</v>
      </c>
    </row>
    <row r="23" spans="2:24" x14ac:dyDescent="0.25">
      <c r="L23" s="141"/>
      <c r="M23" s="141"/>
      <c r="N23" s="141"/>
      <c r="O23" s="141"/>
      <c r="P23" s="141"/>
      <c r="Q23" s="141"/>
    </row>
    <row r="24" spans="2:24" x14ac:dyDescent="0.25">
      <c r="L24" s="230"/>
      <c r="M24" s="230"/>
      <c r="N24" s="230"/>
      <c r="O24" s="230"/>
      <c r="P24" s="230"/>
      <c r="Q24" s="230"/>
    </row>
    <row r="25" spans="2:24" x14ac:dyDescent="0.25">
      <c r="B25" s="807" t="s">
        <v>1434</v>
      </c>
      <c r="C25" s="808"/>
      <c r="D25" s="808"/>
      <c r="E25" s="808"/>
      <c r="F25" s="808"/>
      <c r="G25" s="808"/>
      <c r="H25" s="808"/>
      <c r="J25" s="233" t="s">
        <v>631</v>
      </c>
      <c r="L25" s="141"/>
      <c r="M25" s="141"/>
      <c r="N25" s="141"/>
      <c r="O25" s="141"/>
      <c r="P25" s="141"/>
      <c r="Q25" s="141"/>
    </row>
    <row r="26" spans="2:24" x14ac:dyDescent="0.25">
      <c r="K26" s="234"/>
      <c r="L26" s="141"/>
      <c r="M26" s="141"/>
      <c r="N26" s="141"/>
      <c r="O26" s="141"/>
      <c r="P26" s="233" t="s">
        <v>1435</v>
      </c>
      <c r="Q26" s="141"/>
    </row>
    <row r="27" spans="2:24" x14ac:dyDescent="0.25">
      <c r="L27" s="234"/>
      <c r="M27" s="234"/>
      <c r="N27" s="234"/>
      <c r="O27" s="234"/>
      <c r="Q27" s="141"/>
    </row>
    <row r="28" spans="2:24" x14ac:dyDescent="0.25">
      <c r="L28" s="141"/>
      <c r="M28" s="141"/>
      <c r="N28" s="141"/>
      <c r="O28" s="141"/>
      <c r="P28" s="141"/>
      <c r="Q28" s="141"/>
    </row>
    <row r="29" spans="2:24" x14ac:dyDescent="0.25">
      <c r="L29" s="141"/>
      <c r="M29" s="141"/>
      <c r="N29" s="141"/>
      <c r="O29" s="141"/>
      <c r="P29" s="141"/>
      <c r="Q29" s="141"/>
    </row>
    <row r="30" spans="2:24" x14ac:dyDescent="0.25">
      <c r="L30" s="141"/>
      <c r="M30" s="141"/>
      <c r="N30" s="141"/>
      <c r="O30" s="141"/>
      <c r="P30" s="141"/>
      <c r="Q30" s="141"/>
    </row>
    <row r="38" spans="12:17" x14ac:dyDescent="0.25">
      <c r="L38" s="141"/>
      <c r="M38" s="141"/>
      <c r="N38" s="141"/>
      <c r="O38" s="141"/>
      <c r="P38" s="141"/>
      <c r="Q38" s="141"/>
    </row>
    <row r="39" spans="12:17" x14ac:dyDescent="0.25">
      <c r="L39" s="141"/>
      <c r="M39" s="141"/>
      <c r="N39" s="141"/>
      <c r="O39" s="141"/>
      <c r="P39" s="141"/>
      <c r="Q39" s="141"/>
    </row>
    <row r="40" spans="12:17" x14ac:dyDescent="0.25">
      <c r="L40" s="141"/>
      <c r="M40" s="141"/>
      <c r="N40" s="141"/>
      <c r="O40" s="141"/>
      <c r="P40" s="141"/>
      <c r="Q40" s="141"/>
    </row>
    <row r="41" spans="12:17" x14ac:dyDescent="0.25">
      <c r="L41" s="141"/>
      <c r="M41" s="141"/>
      <c r="N41" s="141"/>
      <c r="O41" s="141"/>
      <c r="P41" s="141"/>
      <c r="Q41" s="141"/>
    </row>
    <row r="42" spans="12:17" x14ac:dyDescent="0.25">
      <c r="L42" s="141"/>
      <c r="M42" s="141"/>
      <c r="N42" s="141"/>
      <c r="O42" s="141"/>
      <c r="P42" s="141"/>
      <c r="Q42" s="141"/>
    </row>
    <row r="43" spans="12:17" x14ac:dyDescent="0.25">
      <c r="L43" s="141"/>
      <c r="M43" s="141"/>
      <c r="N43" s="141"/>
      <c r="O43" s="141"/>
      <c r="P43" s="141"/>
      <c r="Q43" s="141"/>
    </row>
  </sheetData>
  <mergeCells count="2">
    <mergeCell ref="B6:H6"/>
    <mergeCell ref="B25:H25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I27"/>
  <sheetViews>
    <sheetView showGridLines="0" zoomScaleNormal="100" workbookViewId="0"/>
  </sheetViews>
  <sheetFormatPr defaultColWidth="9.140625" defaultRowHeight="13.5" x14ac:dyDescent="0.25"/>
  <cols>
    <col min="1" max="1" width="14.140625" style="88" bestFit="1" customWidth="1"/>
    <col min="2" max="2" width="10" style="113" customWidth="1"/>
    <col min="3" max="4" width="60.85546875" style="88" customWidth="1"/>
    <col min="5" max="5" width="10" style="88" customWidth="1"/>
    <col min="6" max="8" width="9.140625" style="88" bestFit="1" customWidth="1"/>
    <col min="9" max="9" width="9.85546875" style="88" bestFit="1" customWidth="1"/>
    <col min="10" max="16384" width="9.140625" style="88"/>
  </cols>
  <sheetData>
    <row r="1" spans="1:9" ht="15" x14ac:dyDescent="0.25">
      <c r="A1" s="1"/>
    </row>
    <row r="2" spans="1:9" x14ac:dyDescent="0.25">
      <c r="B2" s="88"/>
    </row>
    <row r="3" spans="1:9" ht="16.5" customHeight="1" x14ac:dyDescent="0.25">
      <c r="C3" s="91"/>
      <c r="D3" s="91"/>
      <c r="E3" s="114"/>
      <c r="F3" s="115"/>
      <c r="G3" s="115"/>
      <c r="H3" s="116"/>
      <c r="I3" s="116"/>
    </row>
    <row r="4" spans="1:9" ht="16.5" customHeight="1" x14ac:dyDescent="0.25">
      <c r="F4" s="117"/>
      <c r="G4" s="117"/>
      <c r="H4" s="117"/>
      <c r="I4" s="117"/>
    </row>
    <row r="5" spans="1:9" ht="16.5" customHeight="1" thickBot="1" x14ac:dyDescent="0.3">
      <c r="C5" s="118" t="s">
        <v>1164</v>
      </c>
      <c r="D5" s="118" t="s">
        <v>1165</v>
      </c>
      <c r="E5" s="119"/>
      <c r="F5" s="120">
        <v>2018</v>
      </c>
      <c r="G5" s="120">
        <v>2019</v>
      </c>
      <c r="H5" s="120">
        <v>2020</v>
      </c>
      <c r="I5" s="120">
        <v>2021</v>
      </c>
    </row>
    <row r="6" spans="1:9" ht="16.5" customHeight="1" thickBot="1" x14ac:dyDescent="0.3">
      <c r="C6" s="121"/>
      <c r="D6" s="121"/>
      <c r="E6" s="122"/>
      <c r="F6" s="441">
        <v>2019</v>
      </c>
      <c r="G6" s="441">
        <v>2020</v>
      </c>
      <c r="H6" s="441">
        <v>2021</v>
      </c>
      <c r="I6" s="441">
        <v>2022</v>
      </c>
    </row>
    <row r="7" spans="1:9" x14ac:dyDescent="0.25">
      <c r="C7" s="123" t="s">
        <v>124</v>
      </c>
      <c r="D7" s="123" t="s">
        <v>404</v>
      </c>
      <c r="E7" s="5" t="s">
        <v>1</v>
      </c>
      <c r="F7" s="723">
        <v>39973</v>
      </c>
      <c r="G7" s="723">
        <v>43816</v>
      </c>
      <c r="H7" s="723">
        <v>48531</v>
      </c>
      <c r="I7" s="723">
        <v>49387</v>
      </c>
    </row>
    <row r="8" spans="1:9" ht="16.5" customHeight="1" x14ac:dyDescent="0.25">
      <c r="C8" s="33" t="s">
        <v>97</v>
      </c>
      <c r="D8" s="33" t="s">
        <v>405</v>
      </c>
      <c r="E8" s="5" t="s">
        <v>1</v>
      </c>
      <c r="F8" s="724">
        <v>1163</v>
      </c>
      <c r="G8" s="724">
        <v>1105</v>
      </c>
      <c r="H8" s="725">
        <v>925</v>
      </c>
      <c r="I8" s="725">
        <v>918</v>
      </c>
    </row>
    <row r="9" spans="1:9" ht="16.5" customHeight="1" x14ac:dyDescent="0.25">
      <c r="B9" s="124"/>
      <c r="C9" s="33" t="s">
        <v>96</v>
      </c>
      <c r="D9" s="33" t="s">
        <v>406</v>
      </c>
      <c r="E9" s="5" t="s">
        <v>1</v>
      </c>
      <c r="F9" s="725">
        <v>587</v>
      </c>
      <c r="G9" s="725">
        <v>574</v>
      </c>
      <c r="H9" s="725">
        <v>715</v>
      </c>
      <c r="I9" s="725">
        <v>613</v>
      </c>
    </row>
    <row r="10" spans="1:9" ht="16.5" customHeight="1" x14ac:dyDescent="0.25">
      <c r="C10" s="125" t="s">
        <v>98</v>
      </c>
      <c r="D10" s="125" t="s">
        <v>407</v>
      </c>
      <c r="E10" s="5" t="s">
        <v>1</v>
      </c>
      <c r="F10" s="725">
        <v>890</v>
      </c>
      <c r="G10" s="725">
        <v>931</v>
      </c>
      <c r="H10" s="724">
        <v>1205</v>
      </c>
      <c r="I10" s="724">
        <v>1568</v>
      </c>
    </row>
    <row r="11" spans="1:9" ht="16.5" customHeight="1" x14ac:dyDescent="0.25">
      <c r="C11" s="126" t="s">
        <v>99</v>
      </c>
      <c r="D11" s="126" t="s">
        <v>408</v>
      </c>
      <c r="E11" s="5" t="s">
        <v>1</v>
      </c>
      <c r="F11" s="724">
        <v>2763</v>
      </c>
      <c r="G11" s="724">
        <v>2617</v>
      </c>
      <c r="H11" s="724">
        <v>3355</v>
      </c>
      <c r="I11" s="724">
        <v>4175</v>
      </c>
    </row>
    <row r="12" spans="1:9" x14ac:dyDescent="0.25">
      <c r="C12" s="126" t="s">
        <v>100</v>
      </c>
      <c r="D12" s="126" t="s">
        <v>409</v>
      </c>
      <c r="E12" s="5" t="s">
        <v>1</v>
      </c>
      <c r="F12" s="724">
        <v>2505</v>
      </c>
      <c r="G12" s="724">
        <v>2596</v>
      </c>
      <c r="H12" s="724">
        <v>2834</v>
      </c>
      <c r="I12" s="724">
        <v>3228</v>
      </c>
    </row>
    <row r="13" spans="1:9" x14ac:dyDescent="0.25">
      <c r="B13" s="127"/>
      <c r="C13" s="128" t="s">
        <v>101</v>
      </c>
      <c r="D13" s="128" t="s">
        <v>410</v>
      </c>
      <c r="E13" s="5" t="s">
        <v>1</v>
      </c>
      <c r="F13" s="725">
        <v>-27</v>
      </c>
      <c r="G13" s="725">
        <v>52</v>
      </c>
      <c r="H13" s="725">
        <v>25</v>
      </c>
      <c r="I13" s="725">
        <v>6</v>
      </c>
    </row>
    <row r="14" spans="1:9" x14ac:dyDescent="0.25">
      <c r="C14" s="31" t="s">
        <v>102</v>
      </c>
      <c r="D14" s="31" t="s">
        <v>411</v>
      </c>
      <c r="E14" s="5" t="s">
        <v>1</v>
      </c>
      <c r="F14" s="725">
        <v>0</v>
      </c>
      <c r="G14" s="725">
        <v>0</v>
      </c>
      <c r="H14" s="725">
        <v>0</v>
      </c>
      <c r="I14" s="725">
        <v>0</v>
      </c>
    </row>
    <row r="15" spans="1:9" ht="14.25" thickBot="1" x14ac:dyDescent="0.3">
      <c r="C15" s="129" t="s">
        <v>103</v>
      </c>
      <c r="D15" s="129" t="s">
        <v>412</v>
      </c>
      <c r="E15" s="130" t="s">
        <v>1</v>
      </c>
      <c r="F15" s="726">
        <v>37688</v>
      </c>
      <c r="G15" s="726">
        <v>41707</v>
      </c>
      <c r="H15" s="726">
        <v>45855</v>
      </c>
      <c r="I15" s="726">
        <v>45947</v>
      </c>
    </row>
    <row r="16" spans="1:9" ht="15" thickTop="1" thickBot="1" x14ac:dyDescent="0.3">
      <c r="C16" s="131" t="s">
        <v>153</v>
      </c>
      <c r="D16" s="131" t="s">
        <v>413</v>
      </c>
      <c r="E16" s="132" t="s">
        <v>1</v>
      </c>
      <c r="F16" s="727">
        <v>2712</v>
      </c>
      <c r="G16" s="727">
        <v>4019</v>
      </c>
      <c r="H16" s="727">
        <v>4148</v>
      </c>
      <c r="I16" s="728">
        <v>92</v>
      </c>
    </row>
    <row r="17" spans="3:9" ht="16.350000000000001" customHeight="1" thickTop="1" x14ac:dyDescent="0.25">
      <c r="C17" s="133" t="s">
        <v>8</v>
      </c>
      <c r="D17" s="133" t="s">
        <v>414</v>
      </c>
      <c r="E17" s="114" t="s">
        <v>1</v>
      </c>
      <c r="F17" s="725">
        <v>177</v>
      </c>
      <c r="G17" s="725">
        <v>-449</v>
      </c>
      <c r="H17" s="725">
        <v>59</v>
      </c>
      <c r="I17" s="725">
        <v>51</v>
      </c>
    </row>
    <row r="18" spans="3:9" x14ac:dyDescent="0.25">
      <c r="C18" s="133" t="s">
        <v>154</v>
      </c>
      <c r="D18" s="133" t="s">
        <v>415</v>
      </c>
      <c r="E18" s="114" t="s">
        <v>1</v>
      </c>
      <c r="F18" s="725">
        <v>0</v>
      </c>
      <c r="G18" s="725">
        <v>-89</v>
      </c>
      <c r="H18" s="725">
        <v>73</v>
      </c>
      <c r="I18" s="725">
        <v>16</v>
      </c>
    </row>
    <row r="19" spans="3:9" x14ac:dyDescent="0.25">
      <c r="C19" s="133" t="s">
        <v>155</v>
      </c>
      <c r="D19" s="133" t="s">
        <v>416</v>
      </c>
      <c r="E19" s="114" t="s">
        <v>1</v>
      </c>
      <c r="F19" s="725">
        <v>0</v>
      </c>
      <c r="G19" s="724">
        <v>-1525</v>
      </c>
      <c r="H19" s="724">
        <v>-1502</v>
      </c>
      <c r="I19" s="724">
        <v>2260</v>
      </c>
    </row>
    <row r="20" spans="3:9" ht="14.25" thickBot="1" x14ac:dyDescent="0.3">
      <c r="C20" s="134" t="s">
        <v>156</v>
      </c>
      <c r="D20" s="134" t="s">
        <v>417</v>
      </c>
      <c r="E20" s="130" t="s">
        <v>1</v>
      </c>
      <c r="F20" s="725">
        <v>0</v>
      </c>
      <c r="G20" s="725">
        <v>0</v>
      </c>
      <c r="H20" s="725">
        <v>0</v>
      </c>
      <c r="I20" s="725">
        <v>0</v>
      </c>
    </row>
    <row r="21" spans="3:9" ht="17.100000000000001" customHeight="1" thickTop="1" x14ac:dyDescent="0.25">
      <c r="C21" s="80" t="s">
        <v>157</v>
      </c>
      <c r="D21" s="80" t="s">
        <v>418</v>
      </c>
      <c r="E21" s="135" t="s">
        <v>9</v>
      </c>
      <c r="F21" s="729">
        <v>7.2</v>
      </c>
      <c r="G21" s="729">
        <v>7.6</v>
      </c>
      <c r="H21" s="729">
        <v>6.4</v>
      </c>
      <c r="I21" s="729">
        <v>5.0999999999999996</v>
      </c>
    </row>
    <row r="22" spans="3:9" ht="14.25" thickBot="1" x14ac:dyDescent="0.3">
      <c r="C22" s="136" t="s">
        <v>158</v>
      </c>
      <c r="D22" s="136" t="s">
        <v>419</v>
      </c>
      <c r="E22" s="104" t="s">
        <v>9</v>
      </c>
      <c r="F22" s="725">
        <v>4.5999999999999996</v>
      </c>
      <c r="G22" s="725">
        <v>5</v>
      </c>
      <c r="H22" s="725">
        <v>5.0999999999999996</v>
      </c>
      <c r="I22" s="725">
        <v>1.1000000000000001</v>
      </c>
    </row>
    <row r="23" spans="3:9" x14ac:dyDescent="0.25">
      <c r="C23" s="133" t="s">
        <v>159</v>
      </c>
      <c r="D23" s="133" t="s">
        <v>420</v>
      </c>
      <c r="E23" s="114" t="s">
        <v>10</v>
      </c>
      <c r="F23" s="730">
        <v>2</v>
      </c>
      <c r="G23" s="730">
        <v>2.8</v>
      </c>
      <c r="H23" s="730">
        <v>1.9</v>
      </c>
      <c r="I23" s="730">
        <v>1.6</v>
      </c>
    </row>
    <row r="24" spans="3:9" ht="14.25" thickBot="1" x14ac:dyDescent="0.3">
      <c r="C24" s="77" t="s">
        <v>125</v>
      </c>
      <c r="D24" s="119"/>
      <c r="E24" s="78" t="s">
        <v>9</v>
      </c>
      <c r="F24" s="731">
        <v>2.5</v>
      </c>
      <c r="G24" s="731">
        <v>2.5</v>
      </c>
      <c r="H24" s="731">
        <v>1.3</v>
      </c>
      <c r="I24" s="731">
        <v>3.9</v>
      </c>
    </row>
    <row r="26" spans="3:9" x14ac:dyDescent="0.25">
      <c r="C26" s="84"/>
      <c r="D26" s="84"/>
      <c r="E26" s="94"/>
      <c r="F26" s="85"/>
      <c r="G26" s="85"/>
      <c r="H26" s="85"/>
      <c r="I26" s="85"/>
    </row>
    <row r="27" spans="3:9" x14ac:dyDescent="0.25">
      <c r="C27" s="94"/>
      <c r="D27" s="94"/>
      <c r="E27" s="94"/>
      <c r="F27" s="2"/>
      <c r="G27" s="2"/>
      <c r="H27" s="2"/>
      <c r="I27" s="2"/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4:G35"/>
  <sheetViews>
    <sheetView showGridLines="0" workbookViewId="0"/>
  </sheetViews>
  <sheetFormatPr defaultColWidth="9.140625" defaultRowHeight="13.5" x14ac:dyDescent="0.25"/>
  <cols>
    <col min="1" max="1" width="61.140625" style="88" customWidth="1"/>
    <col min="2" max="2" width="53.85546875" style="88" customWidth="1"/>
    <col min="3" max="16384" width="9.140625" style="88"/>
  </cols>
  <sheetData>
    <row r="4" spans="1:7" ht="15" x14ac:dyDescent="0.25">
      <c r="A4" s="1"/>
      <c r="B4" s="1"/>
    </row>
    <row r="5" spans="1:7" ht="14.25" thickBot="1" x14ac:dyDescent="0.3">
      <c r="A5" s="137" t="s">
        <v>1158</v>
      </c>
      <c r="B5" s="137"/>
    </row>
    <row r="6" spans="1:7" ht="14.25" thickBot="1" x14ac:dyDescent="0.3">
      <c r="A6" s="595" t="s">
        <v>317</v>
      </c>
      <c r="B6" s="595"/>
      <c r="C6" s="595">
        <v>2020</v>
      </c>
      <c r="D6" s="595">
        <v>2021</v>
      </c>
      <c r="E6" s="595">
        <v>2022</v>
      </c>
      <c r="F6" s="595">
        <v>2023</v>
      </c>
      <c r="G6" s="595">
        <v>2024</v>
      </c>
    </row>
    <row r="7" spans="1:7" ht="13.35" customHeight="1" x14ac:dyDescent="0.25">
      <c r="A7" s="717" t="s">
        <v>1145</v>
      </c>
      <c r="B7" s="88" t="s">
        <v>1238</v>
      </c>
      <c r="C7" s="718">
        <v>11.1</v>
      </c>
      <c r="D7" s="718">
        <v>20.6</v>
      </c>
      <c r="E7" s="718">
        <v>0</v>
      </c>
      <c r="F7" s="718">
        <v>0</v>
      </c>
      <c r="G7" s="718">
        <v>0</v>
      </c>
    </row>
    <row r="8" spans="1:7" ht="13.35" customHeight="1" x14ac:dyDescent="0.25">
      <c r="A8" s="717" t="s">
        <v>295</v>
      </c>
      <c r="B8" s="88" t="s">
        <v>1220</v>
      </c>
      <c r="C8" s="718">
        <v>-23</v>
      </c>
      <c r="D8" s="718">
        <v>0</v>
      </c>
      <c r="E8" s="718">
        <v>0</v>
      </c>
      <c r="F8" s="718">
        <v>0</v>
      </c>
      <c r="G8" s="718">
        <v>0</v>
      </c>
    </row>
    <row r="9" spans="1:7" ht="13.35" customHeight="1" x14ac:dyDescent="0.25">
      <c r="A9" s="717" t="s">
        <v>351</v>
      </c>
      <c r="B9" s="88" t="s">
        <v>1215</v>
      </c>
      <c r="C9" s="718">
        <v>-24</v>
      </c>
      <c r="D9" s="718">
        <v>0</v>
      </c>
      <c r="E9" s="718">
        <v>0</v>
      </c>
      <c r="F9" s="718">
        <v>0</v>
      </c>
      <c r="G9" s="718">
        <v>0</v>
      </c>
    </row>
    <row r="10" spans="1:7" ht="13.35" customHeight="1" x14ac:dyDescent="0.25">
      <c r="A10" s="717" t="s">
        <v>331</v>
      </c>
      <c r="B10" s="88" t="s">
        <v>1217</v>
      </c>
      <c r="C10" s="718">
        <v>0</v>
      </c>
      <c r="D10" s="718">
        <v>109</v>
      </c>
      <c r="E10" s="718">
        <v>90</v>
      </c>
      <c r="F10" s="718">
        <v>69</v>
      </c>
      <c r="G10" s="718">
        <v>0</v>
      </c>
    </row>
    <row r="11" spans="1:7" ht="13.35" customHeight="1" x14ac:dyDescent="0.25">
      <c r="A11" s="717" t="s">
        <v>1146</v>
      </c>
      <c r="B11" s="88" t="s">
        <v>1219</v>
      </c>
      <c r="C11" s="718">
        <v>0</v>
      </c>
      <c r="D11" s="718">
        <v>0</v>
      </c>
      <c r="E11" s="718">
        <v>0</v>
      </c>
      <c r="F11" s="718">
        <v>49</v>
      </c>
      <c r="G11" s="718">
        <v>-4</v>
      </c>
    </row>
    <row r="12" spans="1:7" ht="13.35" customHeight="1" x14ac:dyDescent="0.25">
      <c r="A12" s="717" t="s">
        <v>1147</v>
      </c>
      <c r="B12" s="88" t="s">
        <v>1218</v>
      </c>
      <c r="C12" s="718">
        <v>-49</v>
      </c>
      <c r="D12" s="718">
        <v>-28</v>
      </c>
      <c r="E12" s="718">
        <v>-66</v>
      </c>
      <c r="F12" s="718">
        <v>-63</v>
      </c>
      <c r="G12" s="718">
        <v>-69</v>
      </c>
    </row>
    <row r="13" spans="1:7" ht="13.35" customHeight="1" x14ac:dyDescent="0.25">
      <c r="A13" s="717" t="s">
        <v>1148</v>
      </c>
      <c r="B13" s="88" t="s">
        <v>1237</v>
      </c>
      <c r="C13" s="718">
        <v>0</v>
      </c>
      <c r="D13" s="718">
        <v>-17</v>
      </c>
      <c r="E13" s="718">
        <v>0</v>
      </c>
      <c r="F13" s="718">
        <v>0</v>
      </c>
      <c r="G13" s="718">
        <v>0</v>
      </c>
    </row>
    <row r="14" spans="1:7" ht="13.35" customHeight="1" x14ac:dyDescent="0.25">
      <c r="A14" s="717" t="s">
        <v>618</v>
      </c>
      <c r="B14" s="88" t="s">
        <v>1216</v>
      </c>
      <c r="C14" s="718">
        <v>1</v>
      </c>
      <c r="D14" s="718">
        <v>-120</v>
      </c>
      <c r="E14" s="718">
        <v>0</v>
      </c>
      <c r="F14" s="718">
        <v>0</v>
      </c>
      <c r="G14" s="718">
        <v>0</v>
      </c>
    </row>
    <row r="15" spans="1:7" ht="13.35" customHeight="1" x14ac:dyDescent="0.25">
      <c r="A15" s="717" t="s">
        <v>352</v>
      </c>
      <c r="B15" s="88" t="s">
        <v>1222</v>
      </c>
      <c r="C15" s="718">
        <v>0</v>
      </c>
      <c r="D15" s="718">
        <v>-11</v>
      </c>
      <c r="E15" s="718">
        <v>0</v>
      </c>
      <c r="F15" s="718">
        <v>0</v>
      </c>
      <c r="G15" s="718">
        <v>0</v>
      </c>
    </row>
    <row r="16" spans="1:7" ht="13.35" customHeight="1" x14ac:dyDescent="0.25">
      <c r="A16" s="717" t="s">
        <v>353</v>
      </c>
      <c r="B16" s="88" t="s">
        <v>1223</v>
      </c>
      <c r="C16" s="718">
        <v>0</v>
      </c>
      <c r="D16" s="718">
        <v>36</v>
      </c>
      <c r="E16" s="718">
        <v>-6</v>
      </c>
      <c r="F16" s="718">
        <v>0</v>
      </c>
      <c r="G16" s="718">
        <v>0</v>
      </c>
    </row>
    <row r="17" spans="1:7" ht="13.35" customHeight="1" x14ac:dyDescent="0.25">
      <c r="A17" s="717" t="s">
        <v>354</v>
      </c>
      <c r="B17" s="88" t="s">
        <v>1224</v>
      </c>
      <c r="C17" s="718">
        <v>0</v>
      </c>
      <c r="D17" s="718">
        <v>-15</v>
      </c>
      <c r="E17" s="718">
        <v>0</v>
      </c>
      <c r="F17" s="718">
        <v>0</v>
      </c>
      <c r="G17" s="718">
        <v>0</v>
      </c>
    </row>
    <row r="18" spans="1:7" ht="13.35" customHeight="1" x14ac:dyDescent="0.25">
      <c r="A18" s="717" t="s">
        <v>1149</v>
      </c>
      <c r="B18" s="92" t="s">
        <v>1240</v>
      </c>
      <c r="C18" s="718">
        <v>-38</v>
      </c>
      <c r="D18" s="718">
        <v>19</v>
      </c>
      <c r="E18" s="718">
        <v>0</v>
      </c>
      <c r="F18" s="718">
        <v>0</v>
      </c>
      <c r="G18" s="718">
        <v>0</v>
      </c>
    </row>
    <row r="19" spans="1:7" ht="13.35" customHeight="1" x14ac:dyDescent="0.25">
      <c r="A19" s="717" t="s">
        <v>1150</v>
      </c>
      <c r="B19" s="88" t="s">
        <v>1239</v>
      </c>
      <c r="C19" s="718">
        <v>-19</v>
      </c>
      <c r="D19" s="718">
        <v>0</v>
      </c>
      <c r="E19" s="718">
        <v>0</v>
      </c>
      <c r="F19" s="718">
        <v>0</v>
      </c>
      <c r="G19" s="718">
        <v>0</v>
      </c>
    </row>
    <row r="20" spans="1:7" ht="13.35" customHeight="1" x14ac:dyDescent="0.25">
      <c r="A20" s="717" t="s">
        <v>332</v>
      </c>
      <c r="B20" s="88" t="s">
        <v>1221</v>
      </c>
      <c r="C20" s="718">
        <v>-111</v>
      </c>
      <c r="D20" s="718">
        <v>0</v>
      </c>
      <c r="E20" s="718">
        <v>0</v>
      </c>
      <c r="F20" s="718">
        <v>0</v>
      </c>
      <c r="G20" s="718">
        <v>0</v>
      </c>
    </row>
    <row r="21" spans="1:7" ht="13.35" customHeight="1" x14ac:dyDescent="0.25">
      <c r="A21" s="717" t="s">
        <v>330</v>
      </c>
      <c r="B21" s="88" t="s">
        <v>1214</v>
      </c>
      <c r="C21" s="718">
        <v>-81</v>
      </c>
      <c r="D21" s="718">
        <v>0</v>
      </c>
      <c r="E21" s="718">
        <v>0</v>
      </c>
      <c r="F21" s="718">
        <v>0</v>
      </c>
      <c r="G21" s="718">
        <v>0</v>
      </c>
    </row>
    <row r="22" spans="1:7" ht="13.35" customHeight="1" x14ac:dyDescent="0.25">
      <c r="A22" s="717" t="s">
        <v>1151</v>
      </c>
      <c r="B22" s="88" t="s">
        <v>1225</v>
      </c>
      <c r="C22" s="718">
        <v>-6</v>
      </c>
      <c r="D22" s="718">
        <v>-12</v>
      </c>
      <c r="E22" s="718">
        <v>0</v>
      </c>
      <c r="F22" s="718">
        <v>0</v>
      </c>
      <c r="G22" s="718">
        <v>0</v>
      </c>
    </row>
    <row r="23" spans="1:7" ht="13.35" customHeight="1" x14ac:dyDescent="0.25">
      <c r="A23" s="717" t="s">
        <v>619</v>
      </c>
      <c r="B23" s="88" t="s">
        <v>1226</v>
      </c>
      <c r="C23" s="718">
        <v>-34</v>
      </c>
      <c r="D23" s="718">
        <v>0</v>
      </c>
      <c r="E23" s="718">
        <v>0</v>
      </c>
      <c r="F23" s="718">
        <v>0</v>
      </c>
      <c r="G23" s="718">
        <v>0</v>
      </c>
    </row>
    <row r="24" spans="1:7" ht="13.35" customHeight="1" x14ac:dyDescent="0.25">
      <c r="A24" s="717" t="s">
        <v>1152</v>
      </c>
      <c r="B24" s="88" t="s">
        <v>1227</v>
      </c>
      <c r="C24" s="718">
        <v>74</v>
      </c>
      <c r="D24" s="718">
        <v>2</v>
      </c>
      <c r="E24" s="718">
        <v>0</v>
      </c>
      <c r="F24" s="718">
        <v>0</v>
      </c>
      <c r="G24" s="718">
        <v>0</v>
      </c>
    </row>
    <row r="25" spans="1:7" ht="13.35" customHeight="1" x14ac:dyDescent="0.25">
      <c r="A25" s="717" t="s">
        <v>1153</v>
      </c>
      <c r="B25" s="88" t="s">
        <v>1228</v>
      </c>
      <c r="C25" s="718">
        <v>-13</v>
      </c>
      <c r="D25" s="718">
        <v>13</v>
      </c>
      <c r="E25" s="718">
        <v>0</v>
      </c>
      <c r="F25" s="718">
        <v>0</v>
      </c>
      <c r="G25" s="718">
        <v>0</v>
      </c>
    </row>
    <row r="26" spans="1:7" ht="13.35" customHeight="1" x14ac:dyDescent="0.25">
      <c r="A26" s="717" t="s">
        <v>615</v>
      </c>
      <c r="B26" s="88" t="s">
        <v>1229</v>
      </c>
      <c r="C26" s="718">
        <v>-58</v>
      </c>
      <c r="D26" s="718">
        <v>58</v>
      </c>
      <c r="E26" s="718">
        <v>0</v>
      </c>
      <c r="F26" s="718">
        <v>0</v>
      </c>
      <c r="G26" s="718">
        <v>0</v>
      </c>
    </row>
    <row r="27" spans="1:7" ht="13.35" customHeight="1" x14ac:dyDescent="0.25">
      <c r="A27" s="717" t="s">
        <v>620</v>
      </c>
      <c r="B27" s="88" t="s">
        <v>1230</v>
      </c>
      <c r="C27" s="718">
        <v>-28</v>
      </c>
      <c r="D27" s="718">
        <v>28</v>
      </c>
      <c r="E27" s="718">
        <v>0</v>
      </c>
      <c r="F27" s="718">
        <v>0</v>
      </c>
      <c r="G27" s="718">
        <v>0</v>
      </c>
    </row>
    <row r="28" spans="1:7" ht="13.35" customHeight="1" x14ac:dyDescent="0.25">
      <c r="A28" s="717" t="s">
        <v>573</v>
      </c>
      <c r="B28" s="88" t="s">
        <v>1231</v>
      </c>
      <c r="C28" s="718">
        <v>0</v>
      </c>
      <c r="D28" s="718">
        <v>-22</v>
      </c>
      <c r="E28" s="718">
        <v>0</v>
      </c>
      <c r="F28" s="718">
        <v>0</v>
      </c>
      <c r="G28" s="718">
        <v>0</v>
      </c>
    </row>
    <row r="29" spans="1:7" ht="13.35" customHeight="1" x14ac:dyDescent="0.25">
      <c r="A29" s="717" t="s">
        <v>574</v>
      </c>
      <c r="B29" s="88" t="s">
        <v>1232</v>
      </c>
      <c r="C29" s="718">
        <v>0</v>
      </c>
      <c r="D29" s="718">
        <v>11</v>
      </c>
      <c r="E29" s="718">
        <v>12</v>
      </c>
      <c r="F29" s="718">
        <v>0</v>
      </c>
      <c r="G29" s="718">
        <v>0</v>
      </c>
    </row>
    <row r="30" spans="1:7" ht="13.35" customHeight="1" x14ac:dyDescent="0.25">
      <c r="A30" s="717" t="s">
        <v>621</v>
      </c>
      <c r="B30" s="88" t="s">
        <v>1233</v>
      </c>
      <c r="C30" s="718">
        <v>-23.7</v>
      </c>
      <c r="D30" s="718">
        <v>0</v>
      </c>
      <c r="E30" s="718">
        <v>0</v>
      </c>
      <c r="F30" s="718">
        <v>0</v>
      </c>
      <c r="G30" s="718">
        <v>0</v>
      </c>
    </row>
    <row r="31" spans="1:7" ht="13.35" customHeight="1" x14ac:dyDescent="0.25">
      <c r="A31" s="717" t="s">
        <v>1154</v>
      </c>
      <c r="B31" s="88" t="s">
        <v>1236</v>
      </c>
      <c r="C31" s="718">
        <v>0</v>
      </c>
      <c r="D31" s="718">
        <v>-21</v>
      </c>
      <c r="E31" s="718">
        <v>4</v>
      </c>
      <c r="F31" s="718">
        <v>13</v>
      </c>
      <c r="G31" s="718">
        <v>0</v>
      </c>
    </row>
    <row r="32" spans="1:7" ht="13.35" customHeight="1" x14ac:dyDescent="0.25">
      <c r="A32" s="717" t="s">
        <v>1155</v>
      </c>
      <c r="B32" s="88" t="s">
        <v>1234</v>
      </c>
      <c r="C32" s="718">
        <v>-28</v>
      </c>
      <c r="D32" s="718">
        <v>19</v>
      </c>
      <c r="E32" s="718">
        <v>7</v>
      </c>
      <c r="F32" s="718">
        <v>0</v>
      </c>
      <c r="G32" s="718">
        <v>0</v>
      </c>
    </row>
    <row r="33" spans="1:7" ht="13.35" customHeight="1" x14ac:dyDescent="0.25">
      <c r="A33" s="717" t="s">
        <v>1156</v>
      </c>
      <c r="B33" s="88" t="s">
        <v>1235</v>
      </c>
      <c r="C33" s="718">
        <v>0</v>
      </c>
      <c r="D33" s="718">
        <v>-10</v>
      </c>
      <c r="E33" s="718">
        <v>10</v>
      </c>
      <c r="F33" s="718">
        <v>0</v>
      </c>
      <c r="G33" s="718">
        <v>0</v>
      </c>
    </row>
    <row r="34" spans="1:7" ht="13.35" customHeight="1" thickBot="1" x14ac:dyDescent="0.3">
      <c r="A34" s="719" t="s">
        <v>1157</v>
      </c>
      <c r="B34" s="719"/>
      <c r="C34" s="720">
        <v>0</v>
      </c>
      <c r="D34" s="720">
        <v>0</v>
      </c>
      <c r="E34" s="720">
        <v>0</v>
      </c>
      <c r="F34" s="720">
        <v>408</v>
      </c>
      <c r="G34" s="720">
        <v>384</v>
      </c>
    </row>
    <row r="35" spans="1:7" ht="14.25" thickBot="1" x14ac:dyDescent="0.3">
      <c r="A35" s="721" t="s">
        <v>151</v>
      </c>
      <c r="B35" s="721"/>
      <c r="C35" s="722">
        <v>-449.4</v>
      </c>
      <c r="D35" s="722">
        <v>58.8</v>
      </c>
      <c r="E35" s="722">
        <v>50.9</v>
      </c>
      <c r="F35" s="722">
        <v>476</v>
      </c>
      <c r="G35" s="722">
        <v>312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/>
  <dimension ref="A2:N68"/>
  <sheetViews>
    <sheetView showGridLines="0" workbookViewId="0"/>
  </sheetViews>
  <sheetFormatPr defaultColWidth="9.140625" defaultRowHeight="12" x14ac:dyDescent="0.2"/>
  <cols>
    <col min="1" max="1" width="56.85546875" style="138" customWidth="1"/>
    <col min="2" max="2" width="50.85546875" style="138" customWidth="1"/>
    <col min="3" max="12" width="6.85546875" style="138" customWidth="1"/>
    <col min="13" max="16384" width="9.140625" style="138"/>
  </cols>
  <sheetData>
    <row r="2" spans="1:14" ht="15" x14ac:dyDescent="0.25">
      <c r="A2" s="1"/>
      <c r="B2" s="1"/>
    </row>
    <row r="4" spans="1:14" ht="13.5" x14ac:dyDescent="0.25">
      <c r="A4" s="137" t="s">
        <v>1101</v>
      </c>
      <c r="B4" s="137"/>
      <c r="C4" s="88"/>
      <c r="D4" s="88"/>
      <c r="E4" s="88"/>
      <c r="F4" s="88"/>
      <c r="G4" s="94"/>
      <c r="H4" s="140"/>
      <c r="I4" s="140"/>
      <c r="J4" s="140"/>
      <c r="K4" s="140"/>
      <c r="L4" s="140"/>
      <c r="M4" s="140"/>
      <c r="N4" s="140"/>
    </row>
    <row r="5" spans="1:14" ht="13.5" thickBot="1" x14ac:dyDescent="0.25">
      <c r="A5" s="685"/>
      <c r="B5" s="685"/>
      <c r="C5" s="685"/>
      <c r="D5" s="685"/>
      <c r="E5" s="886">
        <v>2020</v>
      </c>
      <c r="F5" s="887"/>
      <c r="G5" s="883">
        <v>2021</v>
      </c>
      <c r="H5" s="887"/>
      <c r="I5" s="883">
        <v>2022</v>
      </c>
      <c r="J5" s="887"/>
      <c r="K5" s="883" t="s">
        <v>151</v>
      </c>
      <c r="L5" s="884"/>
      <c r="M5" s="471"/>
      <c r="N5" s="140"/>
    </row>
    <row r="6" spans="1:14" ht="13.5" thickBot="1" x14ac:dyDescent="0.25">
      <c r="A6" s="687"/>
      <c r="B6" s="687"/>
      <c r="C6" s="688" t="s">
        <v>1102</v>
      </c>
      <c r="D6" s="688" t="s">
        <v>1103</v>
      </c>
      <c r="E6" s="686" t="s">
        <v>1104</v>
      </c>
      <c r="F6" s="688" t="s">
        <v>0</v>
      </c>
      <c r="G6" s="686" t="s">
        <v>1104</v>
      </c>
      <c r="H6" s="688" t="s">
        <v>0</v>
      </c>
      <c r="I6" s="686" t="s">
        <v>1104</v>
      </c>
      <c r="J6" s="688" t="s">
        <v>0</v>
      </c>
      <c r="K6" s="686" t="s">
        <v>1104</v>
      </c>
      <c r="L6" s="686" t="s">
        <v>0</v>
      </c>
      <c r="M6" s="471"/>
      <c r="N6" s="140"/>
    </row>
    <row r="7" spans="1:14" ht="13.5" thickBot="1" x14ac:dyDescent="0.25">
      <c r="A7" s="689" t="s">
        <v>1105</v>
      </c>
      <c r="B7" s="689" t="s">
        <v>1170</v>
      </c>
      <c r="C7" s="689"/>
      <c r="D7" s="689"/>
      <c r="E7" s="686">
        <v>1959</v>
      </c>
      <c r="F7" s="688">
        <v>2.13</v>
      </c>
      <c r="G7" s="686">
        <v>3182</v>
      </c>
      <c r="H7" s="688">
        <v>3.27</v>
      </c>
      <c r="I7" s="686">
        <v>767</v>
      </c>
      <c r="J7" s="688">
        <v>0.73</v>
      </c>
      <c r="K7" s="686">
        <v>5908</v>
      </c>
      <c r="L7" s="686">
        <v>6.12</v>
      </c>
      <c r="M7" s="471"/>
      <c r="N7" s="140"/>
    </row>
    <row r="8" spans="1:14" ht="13.5" thickBot="1" x14ac:dyDescent="0.25">
      <c r="A8" s="689" t="s">
        <v>1023</v>
      </c>
      <c r="B8" s="689" t="s">
        <v>1024</v>
      </c>
      <c r="C8" s="689"/>
      <c r="D8" s="689"/>
      <c r="E8" s="686">
        <v>927</v>
      </c>
      <c r="F8" s="688">
        <v>1.01</v>
      </c>
      <c r="G8" s="686">
        <v>1844</v>
      </c>
      <c r="H8" s="688">
        <v>1.86</v>
      </c>
      <c r="I8" s="686">
        <v>330</v>
      </c>
      <c r="J8" s="688">
        <v>0.31</v>
      </c>
      <c r="K8" s="686">
        <v>3067</v>
      </c>
      <c r="L8" s="686">
        <v>3.18</v>
      </c>
      <c r="M8" s="471"/>
      <c r="N8" s="140"/>
    </row>
    <row r="9" spans="1:14" ht="12.75" x14ac:dyDescent="0.2">
      <c r="A9" s="690" t="s">
        <v>690</v>
      </c>
      <c r="B9" s="690" t="s">
        <v>691</v>
      </c>
      <c r="C9" s="691">
        <v>642032</v>
      </c>
      <c r="D9" s="691" t="s">
        <v>1106</v>
      </c>
      <c r="E9" s="692">
        <v>773</v>
      </c>
      <c r="F9" s="691">
        <v>0.84</v>
      </c>
      <c r="G9" s="692">
        <v>1463</v>
      </c>
      <c r="H9" s="691">
        <v>1.49</v>
      </c>
      <c r="I9" s="692">
        <v>330</v>
      </c>
      <c r="J9" s="691">
        <v>0.31</v>
      </c>
      <c r="K9" s="692">
        <v>2556</v>
      </c>
      <c r="L9" s="692">
        <v>2.64</v>
      </c>
      <c r="M9" s="471"/>
      <c r="N9" s="140"/>
    </row>
    <row r="10" spans="1:14" ht="15" x14ac:dyDescent="0.2">
      <c r="A10" s="690" t="s">
        <v>1107</v>
      </c>
      <c r="B10" s="690" t="s">
        <v>1213</v>
      </c>
      <c r="C10" s="691">
        <v>642032</v>
      </c>
      <c r="D10" s="691" t="s">
        <v>1106</v>
      </c>
      <c r="E10" s="692">
        <v>59</v>
      </c>
      <c r="F10" s="691">
        <v>0.06</v>
      </c>
      <c r="G10" s="692">
        <v>24</v>
      </c>
      <c r="H10" s="691"/>
      <c r="I10" s="693"/>
      <c r="J10" s="691"/>
      <c r="K10" s="692">
        <v>59</v>
      </c>
      <c r="L10" s="692">
        <v>0.06</v>
      </c>
      <c r="M10" s="471"/>
      <c r="N10" s="140"/>
    </row>
    <row r="11" spans="1:14" ht="15" x14ac:dyDescent="0.2">
      <c r="A11" s="690" t="s">
        <v>692</v>
      </c>
      <c r="B11" s="690" t="s">
        <v>1171</v>
      </c>
      <c r="C11" s="691">
        <v>644</v>
      </c>
      <c r="D11" s="691" t="s">
        <v>139</v>
      </c>
      <c r="E11" s="692">
        <v>6</v>
      </c>
      <c r="F11" s="691"/>
      <c r="G11" s="694">
        <v>228</v>
      </c>
      <c r="H11" s="691">
        <v>0.23</v>
      </c>
      <c r="I11" s="693"/>
      <c r="J11" s="691"/>
      <c r="K11" s="692">
        <v>234</v>
      </c>
      <c r="L11" s="692">
        <v>0.23</v>
      </c>
      <c r="M11" s="471"/>
      <c r="N11" s="140"/>
    </row>
    <row r="12" spans="1:14" ht="15" x14ac:dyDescent="0.2">
      <c r="A12" s="690" t="s">
        <v>694</v>
      </c>
      <c r="B12" s="690" t="s">
        <v>1172</v>
      </c>
      <c r="C12" s="691">
        <v>644</v>
      </c>
      <c r="D12" s="691" t="s">
        <v>139</v>
      </c>
      <c r="E12" s="693"/>
      <c r="F12" s="691"/>
      <c r="G12" s="694">
        <v>35</v>
      </c>
      <c r="H12" s="691">
        <v>0.04</v>
      </c>
      <c r="I12" s="693"/>
      <c r="J12" s="691"/>
      <c r="K12" s="692">
        <v>35</v>
      </c>
      <c r="L12" s="692">
        <v>0.04</v>
      </c>
      <c r="M12" s="471"/>
      <c r="N12" s="140"/>
    </row>
    <row r="13" spans="1:14" ht="15" x14ac:dyDescent="0.25">
      <c r="A13" s="690" t="s">
        <v>696</v>
      </c>
      <c r="B13" s="690" t="s">
        <v>1173</v>
      </c>
      <c r="C13" s="691">
        <v>644</v>
      </c>
      <c r="D13" s="691" t="s">
        <v>139</v>
      </c>
      <c r="E13" s="692">
        <v>40</v>
      </c>
      <c r="F13" s="691">
        <v>0.04</v>
      </c>
      <c r="G13" s="694">
        <v>95</v>
      </c>
      <c r="H13" s="691">
        <v>0.1</v>
      </c>
      <c r="I13" s="684"/>
      <c r="J13" s="691"/>
      <c r="K13" s="692">
        <v>135</v>
      </c>
      <c r="L13" s="692">
        <v>0.14000000000000001</v>
      </c>
      <c r="M13" s="471"/>
      <c r="N13" s="140"/>
    </row>
    <row r="14" spans="1:14" ht="15.75" thickBot="1" x14ac:dyDescent="0.3">
      <c r="A14" s="695" t="s">
        <v>698</v>
      </c>
      <c r="B14" s="695" t="s">
        <v>1174</v>
      </c>
      <c r="C14" s="691">
        <v>642</v>
      </c>
      <c r="D14" s="691" t="s">
        <v>1106</v>
      </c>
      <c r="E14" s="694">
        <v>49</v>
      </c>
      <c r="F14" s="696">
        <v>0.05</v>
      </c>
      <c r="G14" s="684"/>
      <c r="H14" s="696"/>
      <c r="I14" s="684"/>
      <c r="J14" s="696"/>
      <c r="K14" s="694">
        <v>49</v>
      </c>
      <c r="L14" s="694">
        <v>0.05</v>
      </c>
      <c r="M14" s="471"/>
      <c r="N14" s="140"/>
    </row>
    <row r="15" spans="1:14" ht="13.5" thickBot="1" x14ac:dyDescent="0.25">
      <c r="A15" s="697" t="s">
        <v>1108</v>
      </c>
      <c r="B15" s="697" t="s">
        <v>1175</v>
      </c>
      <c r="C15" s="698"/>
      <c r="D15" s="698"/>
      <c r="E15" s="699">
        <v>301</v>
      </c>
      <c r="F15" s="698">
        <v>0.33</v>
      </c>
      <c r="G15" s="699">
        <v>504</v>
      </c>
      <c r="H15" s="698">
        <v>0.52</v>
      </c>
      <c r="I15" s="699">
        <v>145</v>
      </c>
      <c r="J15" s="698">
        <v>0.14000000000000001</v>
      </c>
      <c r="K15" s="699">
        <v>953</v>
      </c>
      <c r="L15" s="699">
        <v>0.98</v>
      </c>
      <c r="M15" s="471"/>
      <c r="N15" s="140"/>
    </row>
    <row r="16" spans="1:14" ht="12.75" x14ac:dyDescent="0.2">
      <c r="A16" s="690" t="s">
        <v>700</v>
      </c>
      <c r="B16" s="690" t="s">
        <v>1176</v>
      </c>
      <c r="C16" s="691">
        <v>642032</v>
      </c>
      <c r="D16" s="691" t="s">
        <v>1106</v>
      </c>
      <c r="E16" s="692">
        <v>15</v>
      </c>
      <c r="F16" s="691">
        <v>0.02</v>
      </c>
      <c r="G16" s="692">
        <v>74</v>
      </c>
      <c r="H16" s="691">
        <v>0.08</v>
      </c>
      <c r="I16" s="692">
        <v>45</v>
      </c>
      <c r="J16" s="691">
        <v>0.04</v>
      </c>
      <c r="K16" s="692">
        <v>138</v>
      </c>
      <c r="L16" s="692">
        <v>0.14000000000000001</v>
      </c>
      <c r="M16" s="471"/>
      <c r="N16" s="140"/>
    </row>
    <row r="17" spans="1:14" ht="12.75" x14ac:dyDescent="0.2">
      <c r="A17" s="690" t="s">
        <v>1109</v>
      </c>
      <c r="B17" s="690" t="s">
        <v>703</v>
      </c>
      <c r="C17" s="691">
        <v>642041</v>
      </c>
      <c r="D17" s="691" t="s">
        <v>1106</v>
      </c>
      <c r="E17" s="692">
        <v>13</v>
      </c>
      <c r="F17" s="691">
        <v>0.01</v>
      </c>
      <c r="G17" s="692">
        <v>56</v>
      </c>
      <c r="H17" s="691">
        <v>0.06</v>
      </c>
      <c r="I17" s="692">
        <v>50</v>
      </c>
      <c r="J17" s="691">
        <v>0.05</v>
      </c>
      <c r="K17" s="692">
        <v>119</v>
      </c>
      <c r="L17" s="692">
        <v>0.12</v>
      </c>
      <c r="M17" s="471"/>
      <c r="N17" s="140"/>
    </row>
    <row r="18" spans="1:14" ht="15" x14ac:dyDescent="0.2">
      <c r="A18" s="690" t="s">
        <v>704</v>
      </c>
      <c r="B18" s="690" t="s">
        <v>705</v>
      </c>
      <c r="C18" s="691">
        <v>642033</v>
      </c>
      <c r="D18" s="691" t="s">
        <v>1106</v>
      </c>
      <c r="E18" s="692">
        <v>32</v>
      </c>
      <c r="F18" s="691">
        <v>0.04</v>
      </c>
      <c r="G18" s="692">
        <v>40</v>
      </c>
      <c r="H18" s="691">
        <v>0.04</v>
      </c>
      <c r="I18" s="693"/>
      <c r="J18" s="691"/>
      <c r="K18" s="692">
        <v>72</v>
      </c>
      <c r="L18" s="692">
        <v>0.08</v>
      </c>
      <c r="M18" s="471"/>
      <c r="N18" s="140"/>
    </row>
    <row r="19" spans="1:14" ht="15" x14ac:dyDescent="0.2">
      <c r="A19" s="690" t="s">
        <v>746</v>
      </c>
      <c r="B19" s="690" t="s">
        <v>1167</v>
      </c>
      <c r="C19" s="691"/>
      <c r="D19" s="691"/>
      <c r="E19" s="693"/>
      <c r="F19" s="691"/>
      <c r="G19" s="692">
        <v>75</v>
      </c>
      <c r="H19" s="691">
        <v>0.08</v>
      </c>
      <c r="I19" s="693"/>
      <c r="J19" s="691"/>
      <c r="K19" s="692">
        <v>75</v>
      </c>
      <c r="L19" s="692">
        <v>0.08</v>
      </c>
      <c r="M19" s="471"/>
      <c r="N19" s="140"/>
    </row>
    <row r="20" spans="1:14" ht="12.75" x14ac:dyDescent="0.2">
      <c r="A20" s="690" t="s">
        <v>1110</v>
      </c>
      <c r="B20" s="690" t="s">
        <v>1177</v>
      </c>
      <c r="C20" s="691">
        <v>642015</v>
      </c>
      <c r="D20" s="691" t="s">
        <v>1106</v>
      </c>
      <c r="E20" s="692">
        <v>106</v>
      </c>
      <c r="F20" s="691">
        <v>0.12</v>
      </c>
      <c r="G20" s="692">
        <v>191</v>
      </c>
      <c r="H20" s="691">
        <v>0.2</v>
      </c>
      <c r="I20" s="692">
        <v>27</v>
      </c>
      <c r="J20" s="691">
        <v>0.03</v>
      </c>
      <c r="K20" s="692">
        <v>324</v>
      </c>
      <c r="L20" s="692">
        <v>0.34</v>
      </c>
      <c r="M20" s="471"/>
      <c r="N20" s="140"/>
    </row>
    <row r="21" spans="1:14" ht="13.5" thickBot="1" x14ac:dyDescent="0.25">
      <c r="A21" s="690" t="s">
        <v>1111</v>
      </c>
      <c r="B21" s="690" t="s">
        <v>1178</v>
      </c>
      <c r="C21" s="691">
        <v>642015</v>
      </c>
      <c r="D21" s="691" t="s">
        <v>1106</v>
      </c>
      <c r="E21" s="692">
        <v>133</v>
      </c>
      <c r="F21" s="691">
        <v>0.14000000000000001</v>
      </c>
      <c r="G21" s="692">
        <v>68</v>
      </c>
      <c r="H21" s="691">
        <v>7.0000000000000007E-2</v>
      </c>
      <c r="I21" s="692">
        <v>23</v>
      </c>
      <c r="J21" s="691">
        <v>0.02</v>
      </c>
      <c r="K21" s="692">
        <v>225</v>
      </c>
      <c r="L21" s="692">
        <v>0.24</v>
      </c>
      <c r="M21" s="471"/>
      <c r="N21" s="140"/>
    </row>
    <row r="22" spans="1:14" ht="13.5" thickBot="1" x14ac:dyDescent="0.25">
      <c r="A22" s="697" t="s">
        <v>1112</v>
      </c>
      <c r="B22" s="697" t="s">
        <v>1028</v>
      </c>
      <c r="C22" s="698"/>
      <c r="D22" s="698"/>
      <c r="E22" s="699">
        <v>88</v>
      </c>
      <c r="F22" s="698">
        <v>0.1</v>
      </c>
      <c r="G22" s="699">
        <v>16</v>
      </c>
      <c r="H22" s="698">
        <v>0.02</v>
      </c>
      <c r="I22" s="699"/>
      <c r="J22" s="698"/>
      <c r="K22" s="699">
        <v>104</v>
      </c>
      <c r="L22" s="699">
        <v>0.11</v>
      </c>
      <c r="M22" s="471"/>
      <c r="N22" s="140"/>
    </row>
    <row r="23" spans="1:14" ht="15" x14ac:dyDescent="0.25">
      <c r="A23" s="690" t="s">
        <v>708</v>
      </c>
      <c r="B23" s="690" t="s">
        <v>1179</v>
      </c>
      <c r="C23" s="691"/>
      <c r="D23" s="691" t="s">
        <v>39</v>
      </c>
      <c r="E23" s="692">
        <v>57</v>
      </c>
      <c r="F23" s="691">
        <v>0.06</v>
      </c>
      <c r="G23" s="684"/>
      <c r="H23" s="691"/>
      <c r="I23" s="684"/>
      <c r="J23" s="691"/>
      <c r="K23" s="692">
        <v>57</v>
      </c>
      <c r="L23" s="692">
        <v>0.06</v>
      </c>
      <c r="M23" s="471"/>
      <c r="N23" s="140"/>
    </row>
    <row r="24" spans="1:14" ht="15" x14ac:dyDescent="0.25">
      <c r="A24" s="690" t="s">
        <v>710</v>
      </c>
      <c r="B24" s="690" t="s">
        <v>711</v>
      </c>
      <c r="C24" s="691"/>
      <c r="D24" s="691" t="s">
        <v>1113</v>
      </c>
      <c r="E24" s="692">
        <v>28</v>
      </c>
      <c r="F24" s="691">
        <v>0.03</v>
      </c>
      <c r="G24" s="684"/>
      <c r="H24" s="691"/>
      <c r="I24" s="684"/>
      <c r="J24" s="691"/>
      <c r="K24" s="692">
        <v>28</v>
      </c>
      <c r="L24" s="692">
        <v>0.03</v>
      </c>
      <c r="M24" s="471"/>
      <c r="N24" s="140"/>
    </row>
    <row r="25" spans="1:14" ht="15" x14ac:dyDescent="0.25">
      <c r="A25" s="690" t="s">
        <v>712</v>
      </c>
      <c r="B25" s="690" t="s">
        <v>1180</v>
      </c>
      <c r="C25" s="691"/>
      <c r="D25" s="691" t="s">
        <v>39</v>
      </c>
      <c r="E25" s="692">
        <v>4</v>
      </c>
      <c r="F25" s="691">
        <v>0</v>
      </c>
      <c r="G25" s="692">
        <v>6</v>
      </c>
      <c r="H25" s="691"/>
      <c r="I25" s="684"/>
      <c r="J25" s="691"/>
      <c r="K25" s="692">
        <v>9</v>
      </c>
      <c r="L25" s="692">
        <v>0</v>
      </c>
      <c r="M25" s="471"/>
      <c r="N25" s="140"/>
    </row>
    <row r="26" spans="1:14" ht="15.75" thickBot="1" x14ac:dyDescent="0.3">
      <c r="A26" s="690" t="s">
        <v>714</v>
      </c>
      <c r="B26" s="690" t="s">
        <v>1181</v>
      </c>
      <c r="C26" s="691"/>
      <c r="D26" s="691" t="s">
        <v>1114</v>
      </c>
      <c r="E26" s="684"/>
      <c r="F26" s="691"/>
      <c r="G26" s="692">
        <v>10</v>
      </c>
      <c r="H26" s="691">
        <v>0.01</v>
      </c>
      <c r="I26" s="684"/>
      <c r="J26" s="691"/>
      <c r="K26" s="692">
        <v>10</v>
      </c>
      <c r="L26" s="692">
        <v>0.01</v>
      </c>
      <c r="M26" s="471"/>
      <c r="N26" s="140"/>
    </row>
    <row r="27" spans="1:14" ht="13.5" thickBot="1" x14ac:dyDescent="0.25">
      <c r="A27" s="697" t="s">
        <v>1029</v>
      </c>
      <c r="B27" s="697" t="s">
        <v>1182</v>
      </c>
      <c r="C27" s="698"/>
      <c r="D27" s="698"/>
      <c r="E27" s="699">
        <v>377</v>
      </c>
      <c r="F27" s="698">
        <v>0.41</v>
      </c>
      <c r="G27" s="699">
        <v>641</v>
      </c>
      <c r="H27" s="698">
        <v>0.66</v>
      </c>
      <c r="I27" s="699">
        <v>193</v>
      </c>
      <c r="J27" s="698">
        <v>0.18</v>
      </c>
      <c r="K27" s="699">
        <v>1211</v>
      </c>
      <c r="L27" s="699">
        <v>1.25</v>
      </c>
      <c r="M27" s="471"/>
      <c r="N27" s="140"/>
    </row>
    <row r="28" spans="1:14" ht="12.75" x14ac:dyDescent="0.2">
      <c r="A28" s="690" t="s">
        <v>716</v>
      </c>
      <c r="B28" s="690" t="s">
        <v>1183</v>
      </c>
      <c r="C28" s="691" t="s">
        <v>1115</v>
      </c>
      <c r="D28" s="691" t="s">
        <v>138</v>
      </c>
      <c r="E28" s="692">
        <v>13</v>
      </c>
      <c r="F28" s="691">
        <v>0.01</v>
      </c>
      <c r="G28" s="692">
        <v>49</v>
      </c>
      <c r="H28" s="691">
        <v>0.05</v>
      </c>
      <c r="I28" s="692">
        <v>40</v>
      </c>
      <c r="J28" s="691">
        <v>0.04</v>
      </c>
      <c r="K28" s="692">
        <v>102</v>
      </c>
      <c r="L28" s="692">
        <v>0.1</v>
      </c>
      <c r="M28" s="471"/>
      <c r="N28" s="140"/>
    </row>
    <row r="29" spans="1:14" ht="15" x14ac:dyDescent="0.25">
      <c r="A29" s="690" t="s">
        <v>718</v>
      </c>
      <c r="B29" s="690" t="s">
        <v>1184</v>
      </c>
      <c r="C29" s="691"/>
      <c r="D29" s="691" t="s">
        <v>1116</v>
      </c>
      <c r="E29" s="692">
        <v>138</v>
      </c>
      <c r="F29" s="691">
        <v>0.15</v>
      </c>
      <c r="G29" s="693"/>
      <c r="H29" s="700"/>
      <c r="I29" s="684"/>
      <c r="J29" s="700"/>
      <c r="K29" s="692">
        <v>138</v>
      </c>
      <c r="L29" s="692">
        <v>0.15</v>
      </c>
      <c r="M29" s="471"/>
      <c r="N29" s="140"/>
    </row>
    <row r="30" spans="1:14" ht="15" x14ac:dyDescent="0.2">
      <c r="A30" s="690" t="s">
        <v>720</v>
      </c>
      <c r="B30" s="690" t="s">
        <v>1185</v>
      </c>
      <c r="C30" s="691">
        <v>630</v>
      </c>
      <c r="D30" s="696" t="s">
        <v>46</v>
      </c>
      <c r="E30" s="692">
        <v>39</v>
      </c>
      <c r="F30" s="691">
        <v>0.04</v>
      </c>
      <c r="G30" s="693"/>
      <c r="H30" s="691"/>
      <c r="I30" s="693"/>
      <c r="J30" s="691"/>
      <c r="K30" s="692">
        <v>39</v>
      </c>
      <c r="L30" s="692">
        <v>0.04</v>
      </c>
      <c r="M30" s="471"/>
      <c r="N30" s="140"/>
    </row>
    <row r="31" spans="1:14" ht="15" x14ac:dyDescent="0.25">
      <c r="A31" s="695" t="s">
        <v>722</v>
      </c>
      <c r="B31" s="695" t="s">
        <v>1186</v>
      </c>
      <c r="C31" s="696" t="s">
        <v>1117</v>
      </c>
      <c r="D31" s="696" t="s">
        <v>1118</v>
      </c>
      <c r="E31" s="694">
        <v>124</v>
      </c>
      <c r="F31" s="696">
        <v>0.13</v>
      </c>
      <c r="G31" s="692">
        <v>437</v>
      </c>
      <c r="H31" s="696">
        <v>0.45</v>
      </c>
      <c r="I31" s="684"/>
      <c r="J31" s="696"/>
      <c r="K31" s="694">
        <v>561</v>
      </c>
      <c r="L31" s="694">
        <v>0.57999999999999996</v>
      </c>
      <c r="M31" s="471"/>
      <c r="N31" s="140"/>
    </row>
    <row r="32" spans="1:14" ht="15" x14ac:dyDescent="0.25">
      <c r="A32" s="690" t="s">
        <v>1119</v>
      </c>
      <c r="B32" s="690" t="s">
        <v>1187</v>
      </c>
      <c r="C32" s="691">
        <v>630</v>
      </c>
      <c r="D32" s="691" t="s">
        <v>46</v>
      </c>
      <c r="E32" s="684"/>
      <c r="F32" s="691">
        <v>0</v>
      </c>
      <c r="G32" s="692">
        <v>155</v>
      </c>
      <c r="H32" s="691">
        <v>0.16</v>
      </c>
      <c r="I32" s="692">
        <v>153</v>
      </c>
      <c r="J32" s="691">
        <v>0.14000000000000001</v>
      </c>
      <c r="K32" s="692">
        <v>308</v>
      </c>
      <c r="L32" s="692">
        <v>0.3</v>
      </c>
      <c r="M32" s="471"/>
      <c r="N32" s="140"/>
    </row>
    <row r="33" spans="1:14" ht="15.75" thickBot="1" x14ac:dyDescent="0.3">
      <c r="A33" s="695" t="s">
        <v>726</v>
      </c>
      <c r="B33" s="695" t="s">
        <v>1188</v>
      </c>
      <c r="C33" s="691">
        <v>630</v>
      </c>
      <c r="D33" s="696" t="s">
        <v>46</v>
      </c>
      <c r="E33" s="694">
        <v>63</v>
      </c>
      <c r="F33" s="696">
        <v>7.0000000000000007E-2</v>
      </c>
      <c r="G33" s="692">
        <v>1</v>
      </c>
      <c r="H33" s="696"/>
      <c r="I33" s="684"/>
      <c r="J33" s="696"/>
      <c r="K33" s="694">
        <v>63</v>
      </c>
      <c r="L33" s="694">
        <v>7.0000000000000007E-2</v>
      </c>
      <c r="M33" s="471"/>
      <c r="N33" s="140"/>
    </row>
    <row r="34" spans="1:14" ht="13.5" thickBot="1" x14ac:dyDescent="0.25">
      <c r="A34" s="697" t="s">
        <v>1031</v>
      </c>
      <c r="B34" s="697" t="s">
        <v>1032</v>
      </c>
      <c r="C34" s="698"/>
      <c r="D34" s="698"/>
      <c r="E34" s="699">
        <v>266</v>
      </c>
      <c r="F34" s="698">
        <v>0.28999999999999998</v>
      </c>
      <c r="G34" s="699">
        <v>187</v>
      </c>
      <c r="H34" s="698">
        <v>0.21</v>
      </c>
      <c r="I34" s="699">
        <v>99</v>
      </c>
      <c r="J34" s="698">
        <v>0.09</v>
      </c>
      <c r="K34" s="699">
        <v>572</v>
      </c>
      <c r="L34" s="699">
        <v>0.6</v>
      </c>
      <c r="M34" s="471"/>
      <c r="N34" s="140"/>
    </row>
    <row r="35" spans="1:14" ht="15" x14ac:dyDescent="0.25">
      <c r="A35" s="695" t="s">
        <v>728</v>
      </c>
      <c r="B35" s="695" t="s">
        <v>729</v>
      </c>
      <c r="C35" s="696">
        <v>630</v>
      </c>
      <c r="D35" s="696" t="s">
        <v>46</v>
      </c>
      <c r="E35" s="694">
        <v>33</v>
      </c>
      <c r="F35" s="696">
        <v>0.04</v>
      </c>
      <c r="G35" s="684"/>
      <c r="H35" s="696">
        <v>0</v>
      </c>
      <c r="I35" s="684"/>
      <c r="J35" s="696"/>
      <c r="K35" s="694">
        <v>33</v>
      </c>
      <c r="L35" s="694">
        <v>0.04</v>
      </c>
      <c r="M35" s="471"/>
      <c r="N35" s="140"/>
    </row>
    <row r="36" spans="1:14" ht="15" x14ac:dyDescent="0.25">
      <c r="A36" s="695" t="s">
        <v>730</v>
      </c>
      <c r="B36" s="695" t="s">
        <v>1189</v>
      </c>
      <c r="C36" s="696" t="s">
        <v>1115</v>
      </c>
      <c r="D36" s="696" t="s">
        <v>138</v>
      </c>
      <c r="E36" s="694">
        <v>64</v>
      </c>
      <c r="F36" s="696">
        <v>7.0000000000000007E-2</v>
      </c>
      <c r="G36" s="684"/>
      <c r="H36" s="696"/>
      <c r="I36" s="684"/>
      <c r="J36" s="696"/>
      <c r="K36" s="694">
        <v>64</v>
      </c>
      <c r="L36" s="694">
        <v>7.0000000000000007E-2</v>
      </c>
      <c r="M36" s="471"/>
      <c r="N36" s="140"/>
    </row>
    <row r="37" spans="1:14" ht="15" x14ac:dyDescent="0.25">
      <c r="A37" s="695" t="s">
        <v>732</v>
      </c>
      <c r="B37" s="695" t="s">
        <v>733</v>
      </c>
      <c r="C37" s="691">
        <v>630</v>
      </c>
      <c r="D37" s="696" t="s">
        <v>46</v>
      </c>
      <c r="E37" s="694">
        <v>22</v>
      </c>
      <c r="F37" s="696">
        <v>0.02</v>
      </c>
      <c r="G37" s="684"/>
      <c r="H37" s="696"/>
      <c r="I37" s="684"/>
      <c r="J37" s="696"/>
      <c r="K37" s="694">
        <v>22</v>
      </c>
      <c r="L37" s="694">
        <v>0.02</v>
      </c>
      <c r="M37" s="471"/>
      <c r="N37" s="140"/>
    </row>
    <row r="38" spans="1:14" ht="15" x14ac:dyDescent="0.25">
      <c r="A38" s="695" t="s">
        <v>734</v>
      </c>
      <c r="B38" s="695" t="s">
        <v>735</v>
      </c>
      <c r="C38" s="696">
        <v>644</v>
      </c>
      <c r="D38" s="696" t="s">
        <v>139</v>
      </c>
      <c r="E38" s="694">
        <v>16</v>
      </c>
      <c r="F38" s="696">
        <v>0.02</v>
      </c>
      <c r="G38" s="694">
        <v>33</v>
      </c>
      <c r="H38" s="696">
        <v>0.03</v>
      </c>
      <c r="I38" s="684"/>
      <c r="J38" s="696"/>
      <c r="K38" s="694">
        <v>49</v>
      </c>
      <c r="L38" s="694">
        <v>0.05</v>
      </c>
      <c r="M38" s="471"/>
      <c r="N38" s="140"/>
    </row>
    <row r="39" spans="1:14" ht="12.75" x14ac:dyDescent="0.2">
      <c r="A39" s="690" t="s">
        <v>736</v>
      </c>
      <c r="B39" s="690" t="s">
        <v>737</v>
      </c>
      <c r="C39" s="691">
        <v>630</v>
      </c>
      <c r="D39" s="691" t="s">
        <v>46</v>
      </c>
      <c r="E39" s="692">
        <v>24</v>
      </c>
      <c r="F39" s="691">
        <v>0.03</v>
      </c>
      <c r="G39" s="694">
        <v>109</v>
      </c>
      <c r="H39" s="691">
        <v>0.11</v>
      </c>
      <c r="I39" s="692">
        <v>90</v>
      </c>
      <c r="J39" s="691">
        <v>0.09</v>
      </c>
      <c r="K39" s="694">
        <v>223</v>
      </c>
      <c r="L39" s="694">
        <v>0.22</v>
      </c>
      <c r="M39" s="471"/>
      <c r="N39" s="140"/>
    </row>
    <row r="40" spans="1:14" ht="15" x14ac:dyDescent="0.25">
      <c r="A40" s="690" t="s">
        <v>738</v>
      </c>
      <c r="B40" s="690" t="s">
        <v>739</v>
      </c>
      <c r="C40" s="691"/>
      <c r="D40" s="691" t="s">
        <v>1116</v>
      </c>
      <c r="E40" s="692">
        <v>50</v>
      </c>
      <c r="F40" s="691">
        <v>0.05</v>
      </c>
      <c r="G40" s="684"/>
      <c r="H40" s="691"/>
      <c r="I40" s="684"/>
      <c r="J40" s="691"/>
      <c r="K40" s="694">
        <v>50</v>
      </c>
      <c r="L40" s="694">
        <v>0.05</v>
      </c>
      <c r="M40" s="471"/>
      <c r="N40" s="140"/>
    </row>
    <row r="41" spans="1:14" s="88" customFormat="1" ht="15" x14ac:dyDescent="0.25">
      <c r="A41" s="690" t="s">
        <v>740</v>
      </c>
      <c r="B41" s="690" t="s">
        <v>741</v>
      </c>
      <c r="C41" s="691"/>
      <c r="D41" s="691" t="s">
        <v>1116</v>
      </c>
      <c r="E41" s="692">
        <v>13</v>
      </c>
      <c r="F41" s="691">
        <v>0.01</v>
      </c>
      <c r="G41" s="684"/>
      <c r="H41" s="691"/>
      <c r="I41" s="684"/>
      <c r="J41" s="691"/>
      <c r="K41" s="694">
        <v>13</v>
      </c>
      <c r="L41" s="694">
        <v>0.01</v>
      </c>
      <c r="M41" s="94"/>
      <c r="N41" s="94"/>
    </row>
    <row r="42" spans="1:14" ht="15" x14ac:dyDescent="0.25">
      <c r="A42" s="690" t="s">
        <v>1120</v>
      </c>
      <c r="B42" s="690" t="s">
        <v>1169</v>
      </c>
      <c r="C42" s="691">
        <v>640</v>
      </c>
      <c r="D42" s="691" t="s">
        <v>1121</v>
      </c>
      <c r="E42" s="684"/>
      <c r="F42" s="691"/>
      <c r="G42" s="694">
        <v>42</v>
      </c>
      <c r="H42" s="691"/>
      <c r="I42" s="684"/>
      <c r="J42" s="691"/>
      <c r="K42" s="694">
        <v>42</v>
      </c>
      <c r="L42" s="694">
        <v>0</v>
      </c>
    </row>
    <row r="43" spans="1:14" ht="13.5" thickBot="1" x14ac:dyDescent="0.25">
      <c r="A43" s="687" t="s">
        <v>742</v>
      </c>
      <c r="B43" s="687" t="s">
        <v>369</v>
      </c>
      <c r="C43" s="701">
        <v>630</v>
      </c>
      <c r="D43" s="701" t="s">
        <v>46</v>
      </c>
      <c r="E43" s="702">
        <v>43</v>
      </c>
      <c r="F43" s="701">
        <v>0.05</v>
      </c>
      <c r="G43" s="694">
        <v>3</v>
      </c>
      <c r="H43" s="701">
        <v>0.02</v>
      </c>
      <c r="I43" s="702">
        <v>9</v>
      </c>
      <c r="J43" s="701">
        <v>0.01</v>
      </c>
      <c r="K43" s="702">
        <v>75</v>
      </c>
      <c r="L43" s="702">
        <v>0.08</v>
      </c>
    </row>
    <row r="44" spans="1:14" ht="13.5" thickBot="1" x14ac:dyDescent="0.25">
      <c r="A44" s="689" t="s">
        <v>743</v>
      </c>
      <c r="B44" s="689" t="s">
        <v>1190</v>
      </c>
      <c r="C44" s="689"/>
      <c r="D44" s="689"/>
      <c r="E44" s="686">
        <v>343</v>
      </c>
      <c r="F44" s="701">
        <v>0.37</v>
      </c>
      <c r="G44" s="703">
        <v>148</v>
      </c>
      <c r="H44" s="701">
        <v>0.14000000000000001</v>
      </c>
      <c r="I44" s="702"/>
      <c r="J44" s="701"/>
      <c r="K44" s="686">
        <v>481</v>
      </c>
      <c r="L44" s="686">
        <v>0.51</v>
      </c>
    </row>
    <row r="45" spans="1:14" ht="13.5" thickBot="1" x14ac:dyDescent="0.25">
      <c r="A45" s="689" t="s">
        <v>1122</v>
      </c>
      <c r="B45" s="689" t="s">
        <v>1191</v>
      </c>
      <c r="C45" s="689"/>
      <c r="D45" s="689"/>
      <c r="E45" s="686">
        <v>1616</v>
      </c>
      <c r="F45" s="688">
        <v>1.76</v>
      </c>
      <c r="G45" s="686">
        <v>3043</v>
      </c>
      <c r="H45" s="688">
        <v>3.12</v>
      </c>
      <c r="I45" s="686">
        <v>767</v>
      </c>
      <c r="J45" s="688">
        <v>0.73</v>
      </c>
      <c r="K45" s="686">
        <v>5426</v>
      </c>
      <c r="L45" s="686">
        <v>5.61</v>
      </c>
    </row>
    <row r="46" spans="1:14" ht="15.75" thickBot="1" x14ac:dyDescent="0.3">
      <c r="A46" s="704"/>
      <c r="B46" s="704"/>
      <c r="C46" s="704"/>
      <c r="D46" s="704"/>
      <c r="E46" s="684"/>
      <c r="F46" s="691"/>
      <c r="G46" s="684"/>
      <c r="H46" s="691"/>
      <c r="I46" s="684"/>
      <c r="J46" s="691"/>
      <c r="K46" s="686">
        <v>0</v>
      </c>
      <c r="L46" s="686">
        <v>0</v>
      </c>
    </row>
    <row r="47" spans="1:14" ht="13.5" thickBot="1" x14ac:dyDescent="0.25">
      <c r="A47" s="697" t="s">
        <v>1123</v>
      </c>
      <c r="B47" s="697" t="s">
        <v>1192</v>
      </c>
      <c r="C47" s="697"/>
      <c r="D47" s="697"/>
      <c r="E47" s="699">
        <v>459</v>
      </c>
      <c r="F47" s="698">
        <v>0.5</v>
      </c>
      <c r="G47" s="699">
        <v>57</v>
      </c>
      <c r="H47" s="698">
        <v>0.06</v>
      </c>
      <c r="I47" s="699"/>
      <c r="J47" s="698"/>
      <c r="K47" s="686">
        <v>516</v>
      </c>
      <c r="L47" s="686">
        <v>0.56000000000000005</v>
      </c>
    </row>
    <row r="48" spans="1:14" ht="15" x14ac:dyDescent="0.25">
      <c r="A48" s="690" t="s">
        <v>1124</v>
      </c>
      <c r="B48" s="690" t="s">
        <v>1193</v>
      </c>
      <c r="C48" s="690"/>
      <c r="D48" s="690"/>
      <c r="E48" s="692">
        <v>187</v>
      </c>
      <c r="F48" s="691">
        <v>0.2</v>
      </c>
      <c r="G48" s="684"/>
      <c r="H48" s="691"/>
      <c r="I48" s="684"/>
      <c r="J48" s="691"/>
      <c r="K48" s="692">
        <v>187</v>
      </c>
      <c r="L48" s="692">
        <v>0.2</v>
      </c>
    </row>
    <row r="49" spans="1:12" ht="15" x14ac:dyDescent="0.25">
      <c r="A49" s="690" t="s">
        <v>1125</v>
      </c>
      <c r="B49" s="690" t="s">
        <v>1194</v>
      </c>
      <c r="C49" s="690"/>
      <c r="D49" s="690"/>
      <c r="E49" s="692">
        <v>249</v>
      </c>
      <c r="F49" s="691">
        <v>0.27</v>
      </c>
      <c r="G49" s="684"/>
      <c r="H49" s="691"/>
      <c r="I49" s="684"/>
      <c r="J49" s="691"/>
      <c r="K49" s="692">
        <v>249</v>
      </c>
      <c r="L49" s="692">
        <v>0.27</v>
      </c>
    </row>
    <row r="50" spans="1:12" ht="15" x14ac:dyDescent="0.25">
      <c r="A50" s="690" t="s">
        <v>1126</v>
      </c>
      <c r="B50" s="690" t="s">
        <v>1195</v>
      </c>
      <c r="C50" s="690"/>
      <c r="D50" s="690"/>
      <c r="E50" s="692">
        <v>6</v>
      </c>
      <c r="F50" s="691">
        <v>0.01</v>
      </c>
      <c r="G50" s="684"/>
      <c r="H50" s="691"/>
      <c r="I50" s="684"/>
      <c r="J50" s="691"/>
      <c r="K50" s="692">
        <v>6</v>
      </c>
      <c r="L50" s="692">
        <v>0.01</v>
      </c>
    </row>
    <row r="51" spans="1:12" ht="15" x14ac:dyDescent="0.25">
      <c r="A51" s="690" t="s">
        <v>1127</v>
      </c>
      <c r="B51" s="690" t="s">
        <v>1196</v>
      </c>
      <c r="C51" s="690"/>
      <c r="D51" s="690"/>
      <c r="E51" s="692">
        <v>17</v>
      </c>
      <c r="F51" s="691">
        <v>0.02</v>
      </c>
      <c r="G51" s="684"/>
      <c r="H51" s="691"/>
      <c r="I51" s="684"/>
      <c r="J51" s="691"/>
      <c r="K51" s="692">
        <v>17</v>
      </c>
      <c r="L51" s="692">
        <v>0.02</v>
      </c>
    </row>
    <row r="52" spans="1:12" ht="15" x14ac:dyDescent="0.25">
      <c r="A52" s="690" t="s">
        <v>1128</v>
      </c>
      <c r="B52" s="690" t="s">
        <v>1197</v>
      </c>
      <c r="C52" s="690"/>
      <c r="D52" s="690"/>
      <c r="E52" s="684"/>
      <c r="F52" s="691"/>
      <c r="G52" s="692">
        <v>28</v>
      </c>
      <c r="H52" s="691">
        <v>0.03</v>
      </c>
      <c r="I52" s="684"/>
      <c r="J52" s="691"/>
      <c r="K52" s="692">
        <v>28</v>
      </c>
      <c r="L52" s="692">
        <v>0.03</v>
      </c>
    </row>
    <row r="53" spans="1:12" ht="15" x14ac:dyDescent="0.25">
      <c r="A53" s="690" t="s">
        <v>1129</v>
      </c>
      <c r="B53" s="690" t="s">
        <v>1198</v>
      </c>
      <c r="C53" s="690"/>
      <c r="D53" s="690"/>
      <c r="E53" s="684"/>
      <c r="F53" s="691"/>
      <c r="G53" s="692">
        <v>5</v>
      </c>
      <c r="H53" s="691">
        <v>0</v>
      </c>
      <c r="I53" s="684"/>
      <c r="J53" s="691"/>
      <c r="K53" s="692">
        <v>5</v>
      </c>
      <c r="L53" s="692">
        <v>0</v>
      </c>
    </row>
    <row r="54" spans="1:12" ht="15.75" thickBot="1" x14ac:dyDescent="0.3">
      <c r="A54" s="690" t="s">
        <v>1130</v>
      </c>
      <c r="B54" s="690" t="s">
        <v>1199</v>
      </c>
      <c r="C54" s="690"/>
      <c r="D54" s="690"/>
      <c r="E54" s="684"/>
      <c r="F54" s="691"/>
      <c r="G54" s="692">
        <v>24</v>
      </c>
      <c r="H54" s="691">
        <v>0.02</v>
      </c>
      <c r="I54" s="684"/>
      <c r="J54" s="691"/>
      <c r="K54" s="692">
        <v>24</v>
      </c>
      <c r="L54" s="692">
        <v>0.02</v>
      </c>
    </row>
    <row r="55" spans="1:12" ht="13.5" thickBot="1" x14ac:dyDescent="0.25">
      <c r="A55" s="697" t="s">
        <v>1131</v>
      </c>
      <c r="B55" s="697" t="s">
        <v>1200</v>
      </c>
      <c r="C55" s="697"/>
      <c r="D55" s="697"/>
      <c r="E55" s="699">
        <v>1038</v>
      </c>
      <c r="F55" s="698">
        <v>1.1299999999999999</v>
      </c>
      <c r="G55" s="699">
        <v>337</v>
      </c>
      <c r="H55" s="698">
        <v>0.35</v>
      </c>
      <c r="I55" s="699"/>
      <c r="J55" s="698"/>
      <c r="K55" s="699">
        <v>1375</v>
      </c>
      <c r="L55" s="699">
        <v>1.47</v>
      </c>
    </row>
    <row r="56" spans="1:12" ht="15" x14ac:dyDescent="0.25">
      <c r="A56" s="690" t="s">
        <v>1132</v>
      </c>
      <c r="B56" s="690" t="s">
        <v>1201</v>
      </c>
      <c r="C56" s="690"/>
      <c r="D56" s="690"/>
      <c r="E56" s="692">
        <v>65</v>
      </c>
      <c r="F56" s="691">
        <v>7.0000000000000007E-2</v>
      </c>
      <c r="G56" s="692">
        <v>41</v>
      </c>
      <c r="H56" s="691">
        <v>0.04</v>
      </c>
      <c r="I56" s="684"/>
      <c r="J56" s="691"/>
      <c r="K56" s="692">
        <v>106</v>
      </c>
      <c r="L56" s="692">
        <v>0.11</v>
      </c>
    </row>
    <row r="57" spans="1:12" ht="15" x14ac:dyDescent="0.25">
      <c r="A57" s="690" t="s">
        <v>1133</v>
      </c>
      <c r="B57" s="690" t="s">
        <v>1202</v>
      </c>
      <c r="C57" s="690"/>
      <c r="D57" s="690"/>
      <c r="E57" s="692">
        <v>81</v>
      </c>
      <c r="F57" s="691">
        <v>0.09</v>
      </c>
      <c r="G57" s="692">
        <v>15</v>
      </c>
      <c r="H57" s="691">
        <v>0.01</v>
      </c>
      <c r="I57" s="684"/>
      <c r="J57" s="691"/>
      <c r="K57" s="692">
        <v>96</v>
      </c>
      <c r="L57" s="692">
        <v>0.1</v>
      </c>
    </row>
    <row r="58" spans="1:12" ht="15" x14ac:dyDescent="0.25">
      <c r="A58" s="690" t="s">
        <v>1134</v>
      </c>
      <c r="B58" s="690" t="s">
        <v>1203</v>
      </c>
      <c r="C58" s="690"/>
      <c r="D58" s="690"/>
      <c r="E58" s="692">
        <v>343</v>
      </c>
      <c r="F58" s="691">
        <v>0.37</v>
      </c>
      <c r="G58" s="692">
        <v>131</v>
      </c>
      <c r="H58" s="691">
        <v>0.13</v>
      </c>
      <c r="I58" s="684"/>
      <c r="J58" s="691"/>
      <c r="K58" s="692">
        <v>474</v>
      </c>
      <c r="L58" s="692">
        <v>0.51</v>
      </c>
    </row>
    <row r="59" spans="1:12" ht="13.5" thickBot="1" x14ac:dyDescent="0.25">
      <c r="A59" s="705" t="s">
        <v>1135</v>
      </c>
      <c r="B59" s="705" t="s">
        <v>1204</v>
      </c>
      <c r="C59" s="705"/>
      <c r="D59" s="705"/>
      <c r="E59" s="706">
        <v>550</v>
      </c>
      <c r="F59" s="707">
        <v>0.6</v>
      </c>
      <c r="G59" s="706">
        <v>150</v>
      </c>
      <c r="H59" s="707">
        <v>0.15</v>
      </c>
      <c r="I59" s="706"/>
      <c r="J59" s="707"/>
      <c r="K59" s="706">
        <v>700</v>
      </c>
      <c r="L59" s="706">
        <v>0.75</v>
      </c>
    </row>
    <row r="60" spans="1:12" ht="13.5" thickBot="1" x14ac:dyDescent="0.25">
      <c r="A60" s="708" t="s">
        <v>1136</v>
      </c>
      <c r="B60" s="708" t="s">
        <v>1205</v>
      </c>
      <c r="C60" s="708"/>
      <c r="D60" s="709"/>
      <c r="E60" s="710">
        <v>489</v>
      </c>
      <c r="F60" s="688">
        <v>0.53</v>
      </c>
      <c r="G60" s="686">
        <v>96</v>
      </c>
      <c r="H60" s="688">
        <v>0.1</v>
      </c>
      <c r="I60" s="686"/>
      <c r="J60" s="688"/>
      <c r="K60" s="686">
        <v>585</v>
      </c>
      <c r="L60" s="686">
        <v>0.63</v>
      </c>
    </row>
    <row r="61" spans="1:12" ht="13.5" thickBot="1" x14ac:dyDescent="0.25">
      <c r="A61" s="689" t="s">
        <v>1137</v>
      </c>
      <c r="B61" s="689" t="s">
        <v>1206</v>
      </c>
      <c r="C61" s="689"/>
      <c r="D61" s="711"/>
      <c r="E61" s="710">
        <v>979</v>
      </c>
      <c r="F61" s="688">
        <v>1.06</v>
      </c>
      <c r="G61" s="686">
        <v>300</v>
      </c>
      <c r="H61" s="688">
        <v>0.31</v>
      </c>
      <c r="I61" s="686"/>
      <c r="J61" s="688"/>
      <c r="K61" s="712">
        <v>1279</v>
      </c>
      <c r="L61" s="686">
        <v>1.37</v>
      </c>
    </row>
    <row r="62" spans="1:12" ht="15" x14ac:dyDescent="0.25">
      <c r="A62" s="695" t="s">
        <v>1138</v>
      </c>
      <c r="B62" s="695" t="s">
        <v>1207</v>
      </c>
      <c r="C62" s="695"/>
      <c r="D62" s="684"/>
      <c r="E62" s="713">
        <v>120</v>
      </c>
      <c r="F62" s="691">
        <v>0.13</v>
      </c>
      <c r="G62" s="684"/>
      <c r="H62" s="696"/>
      <c r="I62" s="684"/>
      <c r="J62" s="696"/>
      <c r="K62" s="694">
        <v>120</v>
      </c>
      <c r="L62" s="694">
        <v>0.13</v>
      </c>
    </row>
    <row r="63" spans="1:12" ht="15" x14ac:dyDescent="0.25">
      <c r="A63" s="695" t="s">
        <v>1139</v>
      </c>
      <c r="B63" s="695" t="s">
        <v>1208</v>
      </c>
      <c r="C63" s="695"/>
      <c r="D63" s="684"/>
      <c r="E63" s="713">
        <v>152</v>
      </c>
      <c r="F63" s="691">
        <v>0.16</v>
      </c>
      <c r="G63" s="684"/>
      <c r="H63" s="696"/>
      <c r="I63" s="684"/>
      <c r="J63" s="696"/>
      <c r="K63" s="694">
        <v>152</v>
      </c>
      <c r="L63" s="694">
        <v>0.16</v>
      </c>
    </row>
    <row r="64" spans="1:12" ht="15" x14ac:dyDescent="0.25">
      <c r="A64" s="695" t="s">
        <v>1140</v>
      </c>
      <c r="B64" s="695" t="s">
        <v>1209</v>
      </c>
      <c r="C64" s="695"/>
      <c r="D64" s="684"/>
      <c r="E64" s="714">
        <v>198</v>
      </c>
      <c r="F64" s="691">
        <v>0.22</v>
      </c>
      <c r="G64" s="684"/>
      <c r="H64" s="696"/>
      <c r="I64" s="684"/>
      <c r="J64" s="696"/>
      <c r="K64" s="694">
        <v>198</v>
      </c>
      <c r="L64" s="694">
        <v>0.22</v>
      </c>
    </row>
    <row r="65" spans="1:12" ht="15" x14ac:dyDescent="0.25">
      <c r="A65" s="695" t="s">
        <v>1141</v>
      </c>
      <c r="B65" s="695" t="s">
        <v>1210</v>
      </c>
      <c r="C65" s="695"/>
      <c r="D65" s="684"/>
      <c r="E65" s="714">
        <v>459</v>
      </c>
      <c r="F65" s="691">
        <v>0.5</v>
      </c>
      <c r="G65" s="694">
        <v>300</v>
      </c>
      <c r="H65" s="696">
        <v>0.31</v>
      </c>
      <c r="I65" s="684"/>
      <c r="J65" s="696"/>
      <c r="K65" s="694">
        <v>759</v>
      </c>
      <c r="L65" s="694">
        <v>0.81</v>
      </c>
    </row>
    <row r="66" spans="1:12" ht="13.5" thickBot="1" x14ac:dyDescent="0.25">
      <c r="A66" s="705" t="s">
        <v>1142</v>
      </c>
      <c r="B66" s="705" t="s">
        <v>1211</v>
      </c>
      <c r="C66" s="705"/>
      <c r="D66" s="715"/>
      <c r="E66" s="716">
        <v>50</v>
      </c>
      <c r="F66" s="701">
        <v>0.05</v>
      </c>
      <c r="G66" s="706"/>
      <c r="H66" s="707"/>
      <c r="I66" s="706"/>
      <c r="J66" s="707"/>
      <c r="K66" s="706">
        <v>50</v>
      </c>
      <c r="L66" s="706">
        <v>0.05</v>
      </c>
    </row>
    <row r="67" spans="1:12" ht="14.25" thickBot="1" x14ac:dyDescent="0.3">
      <c r="A67" s="708" t="s">
        <v>1143</v>
      </c>
      <c r="B67" s="744" t="s">
        <v>1212</v>
      </c>
      <c r="C67" s="708"/>
      <c r="D67" s="708"/>
      <c r="E67" s="712">
        <v>4924</v>
      </c>
      <c r="F67" s="688">
        <v>5.35</v>
      </c>
      <c r="G67" s="712">
        <v>3971</v>
      </c>
      <c r="H67" s="688">
        <v>4.08</v>
      </c>
      <c r="I67" s="686">
        <v>767</v>
      </c>
      <c r="J67" s="688">
        <v>0.73</v>
      </c>
      <c r="K67" s="712">
        <v>9662</v>
      </c>
      <c r="L67" s="686">
        <v>10.15</v>
      </c>
    </row>
    <row r="68" spans="1:12" ht="12.75" x14ac:dyDescent="0.2">
      <c r="A68" s="885" t="s">
        <v>1144</v>
      </c>
      <c r="B68" s="885"/>
      <c r="C68" s="885"/>
      <c r="D68" s="885"/>
      <c r="E68" s="885"/>
      <c r="F68" s="885"/>
      <c r="G68" s="885"/>
      <c r="H68" s="885"/>
      <c r="I68" s="885"/>
      <c r="J68" s="885"/>
      <c r="K68" s="885"/>
      <c r="L68" s="885"/>
    </row>
  </sheetData>
  <mergeCells count="5">
    <mergeCell ref="K5:L5"/>
    <mergeCell ref="A68:L68"/>
    <mergeCell ref="E5:F5"/>
    <mergeCell ref="G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O26"/>
  <sheetViews>
    <sheetView zoomScale="90" zoomScaleNormal="90" workbookViewId="0">
      <selection activeCell="P26" sqref="P26:W26"/>
    </sheetView>
  </sheetViews>
  <sheetFormatPr defaultColWidth="9.140625" defaultRowHeight="15" x14ac:dyDescent="0.25"/>
  <cols>
    <col min="1" max="11" width="9.140625" style="501"/>
    <col min="12" max="12" width="25.85546875" style="501" bestFit="1" customWidth="1"/>
    <col min="13" max="13" width="28.85546875" style="501" bestFit="1" customWidth="1"/>
    <col min="14" max="16384" width="9.140625" style="501"/>
  </cols>
  <sheetData>
    <row r="4" spans="3:41" x14ac:dyDescent="0.25">
      <c r="L4" s="502" t="s">
        <v>127</v>
      </c>
      <c r="M4" s="502" t="s">
        <v>370</v>
      </c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3"/>
    </row>
    <row r="5" spans="3:41" x14ac:dyDescent="0.25"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3"/>
    </row>
    <row r="6" spans="3:41" x14ac:dyDescent="0.25">
      <c r="L6" s="502" t="s">
        <v>130</v>
      </c>
      <c r="M6" s="502" t="s">
        <v>373</v>
      </c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3"/>
    </row>
    <row r="7" spans="3:41" x14ac:dyDescent="0.25">
      <c r="C7" s="807" t="s">
        <v>747</v>
      </c>
      <c r="D7" s="808"/>
      <c r="E7" s="808"/>
      <c r="F7" s="808"/>
      <c r="G7" s="808"/>
      <c r="H7" s="808"/>
      <c r="I7" s="808"/>
      <c r="J7" s="808"/>
      <c r="L7" s="504"/>
      <c r="M7" s="504"/>
      <c r="N7" s="506">
        <v>2011</v>
      </c>
      <c r="O7" s="506">
        <v>2012</v>
      </c>
      <c r="P7" s="506">
        <v>2013</v>
      </c>
      <c r="Q7" s="506">
        <v>2014</v>
      </c>
      <c r="R7" s="506">
        <v>2015</v>
      </c>
      <c r="S7" s="506">
        <v>2016</v>
      </c>
      <c r="T7" s="506">
        <v>2017</v>
      </c>
      <c r="U7" s="506">
        <v>2018</v>
      </c>
      <c r="V7" s="506">
        <v>2019</v>
      </c>
      <c r="W7" s="506">
        <v>2020</v>
      </c>
      <c r="X7" s="506">
        <v>2021</v>
      </c>
      <c r="Y7" s="506">
        <v>2022</v>
      </c>
      <c r="Z7" s="506">
        <v>2023</v>
      </c>
      <c r="AA7" s="506">
        <v>2024</v>
      </c>
      <c r="AB7" s="503"/>
    </row>
    <row r="8" spans="3:41" x14ac:dyDescent="0.25">
      <c r="L8" s="502" t="s">
        <v>749</v>
      </c>
      <c r="M8" s="502" t="s">
        <v>748</v>
      </c>
      <c r="N8" s="507">
        <v>1283.3699292199999</v>
      </c>
      <c r="O8" s="507">
        <v>1165.08914671</v>
      </c>
      <c r="P8" s="507">
        <v>1104.08107602</v>
      </c>
      <c r="Q8" s="507">
        <v>1075.1658763</v>
      </c>
      <c r="R8" s="507">
        <v>2816.5415109599999</v>
      </c>
      <c r="S8" s="507">
        <v>360.88635676000007</v>
      </c>
      <c r="T8" s="507">
        <v>544.8147242</v>
      </c>
      <c r="U8" s="507">
        <v>1008.06776471</v>
      </c>
      <c r="V8" s="507">
        <v>905.44998711999983</v>
      </c>
      <c r="W8" s="507">
        <v>835.23682229999997</v>
      </c>
      <c r="X8" s="507">
        <v>825.00475349500005</v>
      </c>
      <c r="Y8" s="507">
        <v>1600.4804533757112</v>
      </c>
      <c r="Z8" s="507">
        <v>3501.8862395497958</v>
      </c>
      <c r="AA8" s="507">
        <v>816.81455587868038</v>
      </c>
    </row>
    <row r="9" spans="3:41" x14ac:dyDescent="0.25">
      <c r="L9" s="502" t="s">
        <v>750</v>
      </c>
      <c r="M9" s="502" t="s">
        <v>750</v>
      </c>
      <c r="N9" s="508">
        <v>0</v>
      </c>
      <c r="O9" s="508">
        <v>0</v>
      </c>
      <c r="P9" s="508">
        <v>0</v>
      </c>
      <c r="Q9" s="508">
        <v>0</v>
      </c>
      <c r="R9" s="508">
        <v>0</v>
      </c>
      <c r="S9" s="508">
        <v>0</v>
      </c>
      <c r="T9" s="508">
        <v>0</v>
      </c>
      <c r="U9" s="508">
        <v>0</v>
      </c>
      <c r="V9" s="508">
        <v>0</v>
      </c>
      <c r="W9" s="508">
        <v>0</v>
      </c>
      <c r="X9" s="508">
        <v>75.682692845949106</v>
      </c>
      <c r="Y9" s="508">
        <v>1095.9084965811419</v>
      </c>
      <c r="Z9" s="508">
        <v>1150.9542905226874</v>
      </c>
      <c r="AA9" s="508">
        <v>1157.2036974390423</v>
      </c>
    </row>
    <row r="11" spans="3:41" x14ac:dyDescent="0.25">
      <c r="L11" s="502" t="s">
        <v>131</v>
      </c>
      <c r="M11" s="502" t="s">
        <v>374</v>
      </c>
    </row>
    <row r="12" spans="3:41" x14ac:dyDescent="0.25">
      <c r="L12" s="505"/>
      <c r="M12" s="505"/>
      <c r="N12" s="509" t="s">
        <v>751</v>
      </c>
      <c r="O12" s="509" t="s">
        <v>752</v>
      </c>
      <c r="P12" s="509" t="s">
        <v>753</v>
      </c>
      <c r="Q12" s="509" t="s">
        <v>754</v>
      </c>
      <c r="R12" s="509" t="s">
        <v>755</v>
      </c>
      <c r="S12" s="509" t="s">
        <v>756</v>
      </c>
      <c r="T12" s="509" t="s">
        <v>757</v>
      </c>
      <c r="U12" s="509" t="s">
        <v>758</v>
      </c>
      <c r="V12" s="509" t="s">
        <v>759</v>
      </c>
      <c r="W12" s="509" t="s">
        <v>760</v>
      </c>
      <c r="X12" s="509" t="s">
        <v>761</v>
      </c>
      <c r="Y12" s="509" t="s">
        <v>762</v>
      </c>
      <c r="Z12" s="509" t="s">
        <v>763</v>
      </c>
      <c r="AA12" s="509" t="s">
        <v>764</v>
      </c>
      <c r="AB12" s="509" t="s">
        <v>765</v>
      </c>
      <c r="AC12" s="509" t="s">
        <v>766</v>
      </c>
      <c r="AD12" s="509" t="s">
        <v>767</v>
      </c>
      <c r="AE12" s="509" t="s">
        <v>768</v>
      </c>
      <c r="AF12" s="509" t="s">
        <v>769</v>
      </c>
      <c r="AG12" s="509" t="s">
        <v>770</v>
      </c>
      <c r="AH12" s="509" t="s">
        <v>771</v>
      </c>
      <c r="AI12" s="509" t="s">
        <v>772</v>
      </c>
      <c r="AJ12" s="509" t="s">
        <v>773</v>
      </c>
      <c r="AK12" s="509" t="s">
        <v>774</v>
      </c>
      <c r="AL12" s="509" t="s">
        <v>775</v>
      </c>
      <c r="AM12" s="509" t="s">
        <v>776</v>
      </c>
      <c r="AN12" s="509" t="s">
        <v>777</v>
      </c>
      <c r="AO12" s="509" t="s">
        <v>778</v>
      </c>
    </row>
    <row r="13" spans="3:41" x14ac:dyDescent="0.25">
      <c r="L13" s="502" t="s">
        <v>779</v>
      </c>
      <c r="M13" s="502" t="s">
        <v>782</v>
      </c>
      <c r="N13" s="510">
        <v>95.899272272028341</v>
      </c>
      <c r="O13" s="510">
        <v>97.091077390349213</v>
      </c>
      <c r="P13" s="510">
        <v>98.029726839493662</v>
      </c>
      <c r="Q13" s="510">
        <v>98.480717178103589</v>
      </c>
      <c r="R13" s="510">
        <v>99.104460148408123</v>
      </c>
      <c r="S13" s="510">
        <v>99.41274675138267</v>
      </c>
      <c r="T13" s="510">
        <v>99.778955154470154</v>
      </c>
      <c r="U13" s="510">
        <v>100.02840254235632</v>
      </c>
      <c r="V13" s="510">
        <v>100.49764592807637</v>
      </c>
      <c r="W13" s="510">
        <v>101.67433401213061</v>
      </c>
      <c r="X13" s="510">
        <v>102.06790320081527</v>
      </c>
      <c r="Y13" s="510">
        <v>102.8565238221596</v>
      </c>
      <c r="Z13" s="510">
        <v>103.7970557780326</v>
      </c>
      <c r="AA13" s="510">
        <v>104.43937052948564</v>
      </c>
      <c r="AB13" s="510">
        <v>104.7942899127943</v>
      </c>
      <c r="AC13" s="510">
        <v>104.96275379853924</v>
      </c>
      <c r="AD13" s="510">
        <v>105.83169777078881</v>
      </c>
      <c r="AE13" s="510">
        <v>106.81554920169604</v>
      </c>
      <c r="AF13" s="510">
        <v>107.80766229043839</v>
      </c>
      <c r="AG13" s="510">
        <v>108.76449692551759</v>
      </c>
      <c r="AH13" s="510">
        <v>109.8516357941435</v>
      </c>
      <c r="AI13" s="510">
        <v>110.79607594673023</v>
      </c>
      <c r="AJ13" s="510">
        <v>111.57278698614313</v>
      </c>
      <c r="AK13" s="510">
        <v>112.31880006445303</v>
      </c>
      <c r="AL13" s="511"/>
      <c r="AM13" s="511"/>
      <c r="AN13" s="511"/>
      <c r="AO13" s="511"/>
    </row>
    <row r="14" spans="3:41" x14ac:dyDescent="0.25">
      <c r="L14" s="502" t="s">
        <v>780</v>
      </c>
      <c r="M14" s="502" t="s">
        <v>783</v>
      </c>
      <c r="N14" s="510">
        <v>95.62586629998998</v>
      </c>
      <c r="O14" s="510">
        <v>96.66613968952305</v>
      </c>
      <c r="P14" s="510">
        <v>97.586172977627598</v>
      </c>
      <c r="Q14" s="510">
        <v>98.074380811682047</v>
      </c>
      <c r="R14" s="510">
        <v>98.912606144583535</v>
      </c>
      <c r="S14" s="510">
        <v>99.27797777974672</v>
      </c>
      <c r="T14" s="510">
        <v>99.505746338566439</v>
      </c>
      <c r="U14" s="510">
        <v>100</v>
      </c>
      <c r="V14" s="510">
        <v>95.719341202275757</v>
      </c>
      <c r="W14" s="510">
        <v>88.88806183523586</v>
      </c>
      <c r="X14" s="510">
        <v>96.843829871470916</v>
      </c>
      <c r="Y14" s="510">
        <v>97.337319943600065</v>
      </c>
      <c r="Z14" s="510">
        <v>96.002653026328844</v>
      </c>
      <c r="AA14" s="510">
        <v>97.932349151684917</v>
      </c>
      <c r="AB14" s="510">
        <v>99.454384595917574</v>
      </c>
      <c r="AC14" s="510">
        <v>99.307707633062108</v>
      </c>
      <c r="AD14" s="510">
        <v>100.8791448527584</v>
      </c>
      <c r="AE14" s="510">
        <v>101.83412898999818</v>
      </c>
      <c r="AF14" s="510">
        <v>102.63915075018832</v>
      </c>
      <c r="AG14" s="510">
        <v>103.86023650259939</v>
      </c>
      <c r="AH14" s="510">
        <v>106.00265596976313</v>
      </c>
      <c r="AI14" s="510">
        <v>107.36626996413912</v>
      </c>
      <c r="AJ14" s="510">
        <v>108.07462675572872</v>
      </c>
      <c r="AK14" s="510">
        <v>108.21926499893011</v>
      </c>
      <c r="AL14" s="510">
        <v>108.18249478202738</v>
      </c>
      <c r="AM14" s="510">
        <v>107.96624409440257</v>
      </c>
      <c r="AN14" s="510">
        <v>108.07475161329624</v>
      </c>
      <c r="AO14" s="510">
        <v>108.50528712282754</v>
      </c>
    </row>
    <row r="15" spans="3:41" x14ac:dyDescent="0.25">
      <c r="L15" s="502" t="s">
        <v>781</v>
      </c>
      <c r="M15" s="502" t="s">
        <v>784</v>
      </c>
      <c r="N15" s="510">
        <v>95.62586629998998</v>
      </c>
      <c r="O15" s="510">
        <v>96.66613968952305</v>
      </c>
      <c r="P15" s="510">
        <v>97.586172977627598</v>
      </c>
      <c r="Q15" s="510">
        <v>98.074380811682047</v>
      </c>
      <c r="R15" s="510">
        <v>98.912606144583535</v>
      </c>
      <c r="S15" s="510">
        <v>99.27797777974672</v>
      </c>
      <c r="T15" s="510">
        <v>99.505746338566439</v>
      </c>
      <c r="U15" s="510">
        <v>100</v>
      </c>
      <c r="V15" s="510">
        <v>95.719341202275757</v>
      </c>
      <c r="W15" s="510">
        <v>88.88806183523586</v>
      </c>
      <c r="X15" s="510">
        <v>96.843829871470916</v>
      </c>
      <c r="Y15" s="510">
        <v>97.337319943600065</v>
      </c>
      <c r="Z15" s="510">
        <v>96.002653026328844</v>
      </c>
      <c r="AA15" s="510">
        <v>97.932349151684917</v>
      </c>
      <c r="AB15" s="510">
        <v>99.205469690656827</v>
      </c>
      <c r="AC15" s="510">
        <v>99.007058751275494</v>
      </c>
      <c r="AD15" s="510">
        <v>99.693275075010817</v>
      </c>
      <c r="AE15" s="510">
        <v>100.02161540201892</v>
      </c>
      <c r="AF15" s="510">
        <v>100.36470581424641</v>
      </c>
      <c r="AG15" s="510">
        <v>101.30155529560258</v>
      </c>
      <c r="AH15" s="510">
        <v>103.32832182496587</v>
      </c>
      <c r="AI15" s="510">
        <v>104.64824253563374</v>
      </c>
      <c r="AJ15" s="510">
        <v>105.30805027884327</v>
      </c>
      <c r="AK15" s="510">
        <v>105.36440161535229</v>
      </c>
      <c r="AL15" s="510">
        <v>105.07099574138287</v>
      </c>
      <c r="AM15" s="510">
        <v>104.65246634104521</v>
      </c>
      <c r="AN15" s="510">
        <v>104.60808442988161</v>
      </c>
      <c r="AO15" s="510">
        <v>104.94151041261075</v>
      </c>
    </row>
    <row r="25" spans="3:23" x14ac:dyDescent="0.25">
      <c r="C25" s="807" t="s">
        <v>785</v>
      </c>
      <c r="D25" s="808"/>
      <c r="E25" s="808"/>
      <c r="F25" s="808"/>
      <c r="G25" s="808"/>
      <c r="H25" s="808"/>
      <c r="I25" s="808"/>
      <c r="J25" s="808"/>
    </row>
    <row r="26" spans="3:23" x14ac:dyDescent="0.25">
      <c r="L26" s="512" t="s">
        <v>786</v>
      </c>
      <c r="M26" s="513"/>
      <c r="N26" s="513"/>
      <c r="O26" s="513"/>
      <c r="P26" s="809" t="s">
        <v>787</v>
      </c>
      <c r="Q26" s="810"/>
      <c r="R26" s="810"/>
      <c r="S26" s="810"/>
      <c r="T26" s="810"/>
      <c r="U26" s="810"/>
      <c r="V26" s="810"/>
      <c r="W26" s="810"/>
    </row>
  </sheetData>
  <mergeCells count="3">
    <mergeCell ref="C7:J7"/>
    <mergeCell ref="C25:J25"/>
    <mergeCell ref="P26:W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Z35"/>
  <sheetViews>
    <sheetView showGridLines="0" zoomScale="80" zoomScaleNormal="80" workbookViewId="0">
      <selection activeCell="S28" sqref="S28"/>
    </sheetView>
  </sheetViews>
  <sheetFormatPr defaultColWidth="8.85546875" defaultRowHeight="13.5" x14ac:dyDescent="0.25"/>
  <cols>
    <col min="1" max="1" width="14.140625" style="88" bestFit="1" customWidth="1"/>
    <col min="2" max="2" width="8.85546875" style="88" customWidth="1"/>
    <col min="3" max="11" width="8.140625" style="88" customWidth="1"/>
    <col min="12" max="12" width="22.140625" style="88" bestFit="1" customWidth="1"/>
    <col min="13" max="13" width="22.140625" style="88" customWidth="1"/>
    <col min="14" max="25" width="8.140625" style="88" customWidth="1"/>
    <col min="26" max="27" width="9" style="88" bestFit="1" customWidth="1"/>
    <col min="28" max="30" width="9.140625" style="88" bestFit="1" customWidth="1"/>
    <col min="31" max="39" width="9" style="88" bestFit="1" customWidth="1"/>
    <col min="40" max="42" width="9.140625" style="88" bestFit="1" customWidth="1"/>
    <col min="43" max="16384" width="8.85546875" style="88"/>
  </cols>
  <sheetData>
    <row r="1" spans="1:25" ht="15" x14ac:dyDescent="0.25">
      <c r="A1" s="1"/>
    </row>
    <row r="4" spans="1:25" x14ac:dyDescent="0.25">
      <c r="L4" s="227" t="s">
        <v>127</v>
      </c>
      <c r="M4" s="227" t="s">
        <v>370</v>
      </c>
    </row>
    <row r="6" spans="1:25" x14ac:dyDescent="0.25">
      <c r="B6" s="807" t="s">
        <v>1241</v>
      </c>
      <c r="C6" s="808"/>
      <c r="D6" s="808"/>
      <c r="E6" s="808"/>
      <c r="F6" s="808"/>
      <c r="G6" s="808"/>
      <c r="H6" s="808"/>
      <c r="I6" s="808"/>
      <c r="L6" s="227" t="s">
        <v>130</v>
      </c>
      <c r="M6" s="227" t="s">
        <v>373</v>
      </c>
    </row>
    <row r="7" spans="1:25" x14ac:dyDescent="0.25">
      <c r="L7" s="235"/>
      <c r="M7" s="235"/>
      <c r="N7" s="236">
        <v>2013</v>
      </c>
      <c r="O7" s="236">
        <v>2014</v>
      </c>
      <c r="P7" s="236">
        <v>2015</v>
      </c>
      <c r="Q7" s="236">
        <v>2016</v>
      </c>
      <c r="R7" s="236">
        <v>2017</v>
      </c>
      <c r="S7" s="236">
        <v>2018</v>
      </c>
      <c r="T7" s="236">
        <v>2019</v>
      </c>
      <c r="U7" s="236">
        <v>2020</v>
      </c>
      <c r="V7" s="236">
        <v>2021</v>
      </c>
      <c r="W7" s="236">
        <v>2022</v>
      </c>
      <c r="X7" s="139">
        <v>2023</v>
      </c>
      <c r="Y7" s="236">
        <v>2024</v>
      </c>
    </row>
    <row r="8" spans="1:25" x14ac:dyDescent="0.25">
      <c r="L8" s="237" t="s">
        <v>81</v>
      </c>
      <c r="M8" s="237" t="s">
        <v>382</v>
      </c>
      <c r="N8" s="238">
        <v>-0.77762067354865805</v>
      </c>
      <c r="O8" s="238">
        <v>1.4094189032186613</v>
      </c>
      <c r="P8" s="238">
        <v>1.9768355607293711</v>
      </c>
      <c r="Q8" s="238">
        <v>2.3797834852236246</v>
      </c>
      <c r="R8" s="238">
        <v>2.206200730790254</v>
      </c>
      <c r="S8" s="238">
        <v>2.0084678887944718</v>
      </c>
      <c r="T8" s="238">
        <v>1.045000995908099</v>
      </c>
      <c r="U8" s="238">
        <v>-1.8861519963683757</v>
      </c>
      <c r="V8" s="239">
        <v>-0.81936641206497574</v>
      </c>
      <c r="W8" s="238">
        <v>0.75416518357947993</v>
      </c>
      <c r="X8" s="141">
        <v>0.99764059596932508</v>
      </c>
      <c r="Y8" s="141">
        <v>0.35000657361875792</v>
      </c>
    </row>
    <row r="9" spans="1:25" x14ac:dyDescent="0.25">
      <c r="L9" s="237" t="s">
        <v>82</v>
      </c>
      <c r="M9" s="237" t="s">
        <v>383</v>
      </c>
      <c r="N9" s="240">
        <v>-3.8788249649684983E-2</v>
      </c>
      <c r="O9" s="240">
        <v>0.40583856501833004</v>
      </c>
      <c r="P9" s="240">
        <v>0.27613983588144603</v>
      </c>
      <c r="Q9" s="240">
        <v>0.23492598684573368</v>
      </c>
      <c r="R9" s="240">
        <v>0.23674640216557277</v>
      </c>
      <c r="S9" s="240">
        <v>0.17894358787584497</v>
      </c>
      <c r="T9" s="240">
        <v>0.33480694672759609</v>
      </c>
      <c r="U9" s="240">
        <v>7.8521505486281867E-2</v>
      </c>
      <c r="V9" s="239">
        <v>-0.10821762803547555</v>
      </c>
      <c r="W9" s="240">
        <v>0.12667922182571117</v>
      </c>
      <c r="X9" s="141">
        <v>-0.21796635975801512</v>
      </c>
      <c r="Y9" s="487">
        <v>-0.20471546702750279</v>
      </c>
    </row>
    <row r="10" spans="1:25" x14ac:dyDescent="0.25">
      <c r="L10" s="237" t="s">
        <v>83</v>
      </c>
      <c r="M10" s="237" t="s">
        <v>384</v>
      </c>
      <c r="N10" s="240">
        <v>-0.34959211236191234</v>
      </c>
      <c r="O10" s="240">
        <v>0.767749678298694</v>
      </c>
      <c r="P10" s="240">
        <v>1.2194864131913932</v>
      </c>
      <c r="Q10" s="240">
        <v>1.2600254863378058</v>
      </c>
      <c r="R10" s="240">
        <v>0.94280646380148858</v>
      </c>
      <c r="S10" s="240">
        <v>1.2429518567979216</v>
      </c>
      <c r="T10" s="240">
        <v>0.28935056047724994</v>
      </c>
      <c r="U10" s="240">
        <v>-0.85298074996217865</v>
      </c>
      <c r="V10" s="239">
        <v>-0.33322096135363233</v>
      </c>
      <c r="W10" s="240">
        <v>0.48489373878754349</v>
      </c>
      <c r="X10" s="141">
        <v>1.0386251058732556</v>
      </c>
      <c r="Y10" s="141">
        <v>0.44227257839012624</v>
      </c>
    </row>
    <row r="11" spans="1:25" x14ac:dyDescent="0.25">
      <c r="L11" s="237" t="s">
        <v>84</v>
      </c>
      <c r="M11" s="237" t="s">
        <v>385</v>
      </c>
      <c r="N11" s="240">
        <v>-0.30682093859417248</v>
      </c>
      <c r="O11" s="240">
        <v>0.41523529924265357</v>
      </c>
      <c r="P11" s="240">
        <v>0.48377324236926966</v>
      </c>
      <c r="Q11" s="240">
        <v>0.80353862229979012</v>
      </c>
      <c r="R11" s="240">
        <v>0.86900362723923852</v>
      </c>
      <c r="S11" s="240">
        <v>0.42567075391526343</v>
      </c>
      <c r="T11" s="240">
        <v>4.2976947000326872E-2</v>
      </c>
      <c r="U11" s="240">
        <v>-1.0006175389233505</v>
      </c>
      <c r="V11" s="239">
        <v>-0.30209989768825668</v>
      </c>
      <c r="W11" s="240">
        <v>8.0866008317525565E-2</v>
      </c>
      <c r="X11" s="141">
        <v>2.3437093162689833E-2</v>
      </c>
      <c r="Y11" s="141">
        <v>3.1382227328874725E-2</v>
      </c>
    </row>
    <row r="12" spans="1:25" x14ac:dyDescent="0.25">
      <c r="L12" s="237" t="s">
        <v>85</v>
      </c>
      <c r="M12" s="237" t="s">
        <v>386</v>
      </c>
      <c r="N12" s="240">
        <v>-0.2357619514879844</v>
      </c>
      <c r="O12" s="240">
        <v>-0.10956774566415919</v>
      </c>
      <c r="P12" s="240">
        <v>-4.4756334370752153E-2</v>
      </c>
      <c r="Q12" s="240">
        <v>0.11834517887854157</v>
      </c>
      <c r="R12" s="240">
        <v>0.16682112269064486</v>
      </c>
      <c r="S12" s="240">
        <v>0.16638170585299286</v>
      </c>
      <c r="T12" s="240">
        <v>0.37542842644040875</v>
      </c>
      <c r="U12" s="240">
        <v>-1.7790028586733359E-2</v>
      </c>
      <c r="V12" s="239">
        <v>3.1505958558949092E-3</v>
      </c>
      <c r="W12" s="240">
        <v>4.3948719489419891E-2</v>
      </c>
      <c r="X12" s="141">
        <v>0.15354475669139006</v>
      </c>
      <c r="Y12" s="141">
        <v>8.1067234927278589E-2</v>
      </c>
    </row>
    <row r="13" spans="1:25" x14ac:dyDescent="0.25">
      <c r="E13" s="229"/>
      <c r="L13" s="237" t="s">
        <v>136</v>
      </c>
      <c r="M13" s="237" t="s">
        <v>387</v>
      </c>
      <c r="N13" s="240">
        <v>0.15334257854507427</v>
      </c>
      <c r="O13" s="240">
        <v>-6.9836893676864173E-2</v>
      </c>
      <c r="P13" s="240">
        <v>4.2192403658053865E-2</v>
      </c>
      <c r="Q13" s="240">
        <v>-3.7051789138268169E-2</v>
      </c>
      <c r="R13" s="240">
        <v>-9.1768851066907197E-3</v>
      </c>
      <c r="S13" s="240">
        <v>-5.4800156475521807E-3</v>
      </c>
      <c r="T13" s="240">
        <v>2.4381152625182045E-3</v>
      </c>
      <c r="U13" s="240">
        <v>-9.32851843823988E-2</v>
      </c>
      <c r="V13" s="239">
        <v>-7.8978520843494188E-2</v>
      </c>
      <c r="W13" s="240">
        <v>1.7777495159272044E-2</v>
      </c>
      <c r="X13" s="141">
        <v>0</v>
      </c>
      <c r="Y13" s="141">
        <v>0</v>
      </c>
    </row>
    <row r="14" spans="1:25" x14ac:dyDescent="0.25">
      <c r="E14" s="229"/>
      <c r="L14" s="241"/>
      <c r="M14" s="241"/>
    </row>
    <row r="15" spans="1:25" x14ac:dyDescent="0.25">
      <c r="E15" s="229"/>
      <c r="L15" s="237" t="s">
        <v>131</v>
      </c>
      <c r="M15" s="237" t="s">
        <v>374</v>
      </c>
    </row>
    <row r="16" spans="1:25" x14ac:dyDescent="0.25">
      <c r="E16" s="229"/>
      <c r="L16" s="139"/>
      <c r="M16" s="139"/>
      <c r="N16" s="242">
        <v>2016</v>
      </c>
      <c r="O16" s="242">
        <v>2017</v>
      </c>
      <c r="P16" s="242">
        <v>2018</v>
      </c>
      <c r="Q16" s="242">
        <v>2019</v>
      </c>
      <c r="R16" s="242">
        <v>2020</v>
      </c>
      <c r="S16" s="242">
        <v>2021</v>
      </c>
      <c r="T16" s="242">
        <v>2022</v>
      </c>
      <c r="U16" s="242">
        <v>2023</v>
      </c>
      <c r="V16" s="242">
        <v>2024</v>
      </c>
    </row>
    <row r="17" spans="2:26" x14ac:dyDescent="0.25">
      <c r="E17" s="229"/>
      <c r="K17" s="243"/>
      <c r="L17" s="227" t="s">
        <v>87</v>
      </c>
      <c r="M17" s="227" t="s">
        <v>376</v>
      </c>
      <c r="N17" s="244">
        <v>-0.51612820803027648</v>
      </c>
      <c r="O17" s="244">
        <v>1.3058612857026457</v>
      </c>
      <c r="P17" s="244">
        <v>2.4610806376507735</v>
      </c>
      <c r="Q17" s="244">
        <v>2.7552064240939207</v>
      </c>
      <c r="R17" s="244">
        <v>1.9315779131979909</v>
      </c>
      <c r="S17" s="244">
        <v>2.6425294903230538</v>
      </c>
      <c r="T17" s="244">
        <v>4.1830350389846309</v>
      </c>
      <c r="U17" s="244">
        <v>3.0818858689225936</v>
      </c>
      <c r="V17" s="244">
        <v>1.4621853235011011</v>
      </c>
    </row>
    <row r="18" spans="2:26" x14ac:dyDescent="0.25">
      <c r="E18" s="229"/>
      <c r="L18" s="227" t="s">
        <v>88</v>
      </c>
      <c r="M18" s="227" t="s">
        <v>377</v>
      </c>
      <c r="N18" s="244">
        <v>0.17326731824941455</v>
      </c>
      <c r="O18" s="244">
        <v>0.87553326711939694</v>
      </c>
      <c r="P18" s="244">
        <v>1.5497173777771458</v>
      </c>
      <c r="Q18" s="244">
        <v>1.2497089105664663</v>
      </c>
      <c r="R18" s="244">
        <v>0.89000710924353876</v>
      </c>
      <c r="S18" s="244">
        <v>2.4514725473181751</v>
      </c>
      <c r="T18" s="244">
        <v>1.9777998133849</v>
      </c>
      <c r="U18" s="244">
        <v>1.6283262044101454</v>
      </c>
      <c r="V18" s="244">
        <v>1.5632581707012185</v>
      </c>
      <c r="W18" s="244"/>
      <c r="X18" s="244"/>
      <c r="Y18" s="244"/>
      <c r="Z18" s="143"/>
    </row>
    <row r="19" spans="2:26" x14ac:dyDescent="0.25">
      <c r="E19" s="229"/>
      <c r="L19" s="227" t="s">
        <v>89</v>
      </c>
      <c r="M19" s="227" t="s">
        <v>378</v>
      </c>
      <c r="N19" s="244">
        <v>-0.12327560839583385</v>
      </c>
      <c r="O19" s="244">
        <v>0.71369693522654831</v>
      </c>
      <c r="P19" s="244">
        <v>0.67025021973269472</v>
      </c>
      <c r="Q19" s="244">
        <v>0.68853523838853992</v>
      </c>
      <c r="R19" s="244">
        <v>0.43965978244380477</v>
      </c>
      <c r="S19" s="244">
        <v>0.25783890619285654</v>
      </c>
      <c r="T19" s="244">
        <v>0.62427453042042336</v>
      </c>
      <c r="U19" s="244">
        <v>0.46226120241594992</v>
      </c>
      <c r="V19" s="244">
        <v>0.44610270279507452</v>
      </c>
      <c r="W19" s="244"/>
      <c r="X19" s="244"/>
      <c r="Y19" s="244"/>
      <c r="Z19" s="143"/>
    </row>
    <row r="20" spans="2:26" x14ac:dyDescent="0.25">
      <c r="B20" s="227" t="s">
        <v>126</v>
      </c>
      <c r="E20" s="229"/>
      <c r="L20" s="227" t="s">
        <v>90</v>
      </c>
      <c r="M20" s="227" t="s">
        <v>379</v>
      </c>
      <c r="N20" s="244">
        <v>-0.2461199178838572</v>
      </c>
      <c r="O20" s="244">
        <v>-0.38336891664329975</v>
      </c>
      <c r="P20" s="244">
        <v>0.24111304014093335</v>
      </c>
      <c r="Q20" s="244">
        <v>0.72519702855472334</v>
      </c>
      <c r="R20" s="244">
        <v>0.60191102151064746</v>
      </c>
      <c r="S20" s="244">
        <v>-0.30609303057503467</v>
      </c>
      <c r="T20" s="244">
        <v>1.5076432943352023</v>
      </c>
      <c r="U20" s="244">
        <v>0.88420912970543952</v>
      </c>
      <c r="V20" s="244">
        <v>-0.58151995187535555</v>
      </c>
      <c r="W20" s="244"/>
      <c r="X20" s="244"/>
      <c r="Y20" s="244"/>
      <c r="Z20" s="143"/>
    </row>
    <row r="21" spans="2:26" x14ac:dyDescent="0.25">
      <c r="E21" s="229"/>
      <c r="K21" s="243"/>
      <c r="L21" s="227" t="s">
        <v>91</v>
      </c>
      <c r="M21" s="227" t="s">
        <v>380</v>
      </c>
      <c r="N21" s="143">
        <v>-0.32</v>
      </c>
      <c r="O21" s="143">
        <v>0.1</v>
      </c>
      <c r="P21" s="143">
        <v>0</v>
      </c>
      <c r="Q21" s="143">
        <v>9.1765246584191357E-2</v>
      </c>
      <c r="R21" s="143"/>
      <c r="S21" s="143">
        <v>0.23931106738705676</v>
      </c>
      <c r="T21" s="143">
        <v>7.3317400844105929E-2</v>
      </c>
      <c r="U21" s="143">
        <v>0.10708933239105894</v>
      </c>
      <c r="V21" s="143">
        <v>3.4344401880163487E-2</v>
      </c>
      <c r="Z21" s="145"/>
    </row>
    <row r="22" spans="2:26" x14ac:dyDescent="0.25">
      <c r="E22" s="229"/>
    </row>
    <row r="23" spans="2:26" x14ac:dyDescent="0.25">
      <c r="E23" s="229"/>
    </row>
    <row r="24" spans="2:26" x14ac:dyDescent="0.25">
      <c r="E24" s="229"/>
    </row>
    <row r="25" spans="2:26" x14ac:dyDescent="0.25">
      <c r="E25" s="229"/>
    </row>
    <row r="26" spans="2:26" x14ac:dyDescent="0.25">
      <c r="E26" s="229"/>
    </row>
    <row r="27" spans="2:26" x14ac:dyDescent="0.25">
      <c r="B27" s="807" t="s">
        <v>1242</v>
      </c>
      <c r="C27" s="808"/>
      <c r="D27" s="808"/>
      <c r="E27" s="808"/>
      <c r="F27" s="808"/>
      <c r="G27" s="808"/>
      <c r="H27" s="808"/>
      <c r="I27" s="808"/>
      <c r="L27" s="137" t="s">
        <v>1243</v>
      </c>
      <c r="S27" s="137" t="s">
        <v>1244</v>
      </c>
    </row>
    <row r="28" spans="2:26" x14ac:dyDescent="0.25">
      <c r="E28" s="229"/>
    </row>
    <row r="29" spans="2:26" x14ac:dyDescent="0.25">
      <c r="E29" s="229"/>
    </row>
    <row r="30" spans="2:26" x14ac:dyDescent="0.25">
      <c r="E30" s="229"/>
    </row>
    <row r="31" spans="2:26" x14ac:dyDescent="0.25">
      <c r="E31" s="229"/>
    </row>
    <row r="32" spans="2:26" x14ac:dyDescent="0.25">
      <c r="E32" s="229"/>
    </row>
    <row r="33" spans="5:5" x14ac:dyDescent="0.25">
      <c r="E33" s="229"/>
    </row>
    <row r="34" spans="5:5" x14ac:dyDescent="0.25">
      <c r="E34" s="229"/>
    </row>
    <row r="35" spans="5:5" x14ac:dyDescent="0.25">
      <c r="E35" s="229"/>
    </row>
  </sheetData>
  <dataConsolidate/>
  <mergeCells count="2">
    <mergeCell ref="B6:I6"/>
    <mergeCell ref="B27:I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K50"/>
  <sheetViews>
    <sheetView showGridLines="0" workbookViewId="0">
      <selection activeCell="E7" sqref="E7"/>
    </sheetView>
  </sheetViews>
  <sheetFormatPr defaultColWidth="9.140625" defaultRowHeight="15.75" customHeight="1" x14ac:dyDescent="0.25"/>
  <cols>
    <col min="1" max="1" width="14.140625" style="88" bestFit="1" customWidth="1"/>
    <col min="2" max="2" width="31.140625" style="88" bestFit="1" customWidth="1"/>
    <col min="3" max="3" width="47.5703125" style="88" customWidth="1"/>
    <col min="4" max="8" width="9.140625" style="88"/>
    <col min="9" max="11" width="9.140625" style="88" customWidth="1"/>
    <col min="12" max="16384" width="9.140625" style="88"/>
  </cols>
  <sheetData>
    <row r="1" spans="1:11" ht="15.75" customHeight="1" x14ac:dyDescent="0.25">
      <c r="A1" s="1"/>
    </row>
    <row r="2" spans="1:11" ht="13.5" x14ac:dyDescent="0.25"/>
    <row r="3" spans="1:11" ht="13.5" x14ac:dyDescent="0.25"/>
    <row r="4" spans="1:11" ht="13.5" x14ac:dyDescent="0.25"/>
    <row r="5" spans="1:11" ht="14.25" thickBot="1" x14ac:dyDescent="0.3">
      <c r="B5" s="819" t="s">
        <v>1245</v>
      </c>
      <c r="C5" s="820"/>
      <c r="D5" s="820"/>
      <c r="E5" s="820"/>
      <c r="F5" s="399"/>
      <c r="G5" s="399"/>
      <c r="H5" s="399"/>
      <c r="I5" s="399"/>
      <c r="J5" s="399"/>
      <c r="K5" s="399"/>
    </row>
    <row r="6" spans="1:11" ht="15.75" customHeight="1" thickBot="1" x14ac:dyDescent="0.3">
      <c r="B6" s="29" t="s">
        <v>349</v>
      </c>
      <c r="C6" s="28"/>
      <c r="D6" s="27">
        <v>2021</v>
      </c>
      <c r="E6" s="26">
        <v>2022</v>
      </c>
      <c r="F6" s="448"/>
      <c r="G6" s="94"/>
      <c r="H6" s="94"/>
      <c r="I6" s="94"/>
      <c r="J6" s="94"/>
      <c r="K6" s="94"/>
    </row>
    <row r="7" spans="1:11" ht="15.75" customHeight="1" x14ac:dyDescent="0.25">
      <c r="B7" s="811" t="s">
        <v>348</v>
      </c>
      <c r="C7" s="108" t="s">
        <v>340</v>
      </c>
      <c r="D7" s="554">
        <v>4.8</v>
      </c>
      <c r="E7" s="555">
        <v>5.2</v>
      </c>
    </row>
    <row r="8" spans="1:11" ht="15.75" customHeight="1" x14ac:dyDescent="0.25">
      <c r="B8" s="812"/>
      <c r="C8" s="108" t="s">
        <v>343</v>
      </c>
      <c r="D8" s="556">
        <v>4.9000000000000004</v>
      </c>
      <c r="E8" s="555">
        <v>5.3</v>
      </c>
    </row>
    <row r="9" spans="1:11" ht="15.75" customHeight="1" thickBot="1" x14ac:dyDescent="0.3">
      <c r="B9" s="813"/>
      <c r="C9" s="23" t="s">
        <v>339</v>
      </c>
      <c r="D9" s="557">
        <v>3.6718484361970116</v>
      </c>
      <c r="E9" s="558">
        <v>4.2056758055444288</v>
      </c>
    </row>
    <row r="10" spans="1:11" ht="15.75" customHeight="1" x14ac:dyDescent="0.25">
      <c r="B10" s="814" t="s">
        <v>334</v>
      </c>
      <c r="C10" s="108" t="s">
        <v>340</v>
      </c>
      <c r="D10" s="554">
        <v>0.8</v>
      </c>
      <c r="E10" s="555">
        <v>5.2</v>
      </c>
    </row>
    <row r="11" spans="1:11" ht="15.75" customHeight="1" thickBot="1" x14ac:dyDescent="0.3">
      <c r="B11" s="813"/>
      <c r="C11" s="23" t="s">
        <v>339</v>
      </c>
      <c r="D11" s="557">
        <v>0.21197690906746836</v>
      </c>
      <c r="E11" s="558">
        <v>2.3986119605059475</v>
      </c>
    </row>
    <row r="12" spans="1:11" ht="15.75" customHeight="1" x14ac:dyDescent="0.25">
      <c r="B12" s="814" t="s">
        <v>335</v>
      </c>
      <c r="C12" s="108" t="s">
        <v>340</v>
      </c>
      <c r="D12" s="554">
        <v>2.5</v>
      </c>
      <c r="E12" s="555">
        <v>-0.2</v>
      </c>
    </row>
    <row r="13" spans="1:11" ht="15.75" customHeight="1" thickBot="1" x14ac:dyDescent="0.3">
      <c r="B13" s="813"/>
      <c r="C13" s="23" t="s">
        <v>339</v>
      </c>
      <c r="D13" s="557">
        <v>4.9390802474485795</v>
      </c>
      <c r="E13" s="558">
        <v>4.0844008055829217</v>
      </c>
    </row>
    <row r="14" spans="1:11" ht="15.75" customHeight="1" x14ac:dyDescent="0.25">
      <c r="B14" s="814" t="s">
        <v>347</v>
      </c>
      <c r="C14" s="108" t="s">
        <v>340</v>
      </c>
      <c r="D14" s="554">
        <v>8.6</v>
      </c>
      <c r="E14" s="555">
        <v>12.5</v>
      </c>
    </row>
    <row r="15" spans="1:11" ht="15.75" customHeight="1" thickBot="1" x14ac:dyDescent="0.3">
      <c r="B15" s="813"/>
      <c r="C15" s="23" t="s">
        <v>339</v>
      </c>
      <c r="D15" s="557">
        <v>-0.25904047974576461</v>
      </c>
      <c r="E15" s="558">
        <v>16.669307103774813</v>
      </c>
    </row>
    <row r="16" spans="1:11" ht="15.75" customHeight="1" x14ac:dyDescent="0.25">
      <c r="B16" s="814" t="s">
        <v>346</v>
      </c>
      <c r="C16" s="108" t="s">
        <v>340</v>
      </c>
      <c r="D16" s="554">
        <v>12.2</v>
      </c>
      <c r="E16" s="555">
        <v>5.3</v>
      </c>
    </row>
    <row r="17" spans="2:7" ht="15.75" customHeight="1" thickBot="1" x14ac:dyDescent="0.3">
      <c r="B17" s="813"/>
      <c r="C17" s="23" t="s">
        <v>339</v>
      </c>
      <c r="D17" s="557">
        <v>10.460937564083771</v>
      </c>
      <c r="E17" s="558">
        <v>3.0997577744184213</v>
      </c>
    </row>
    <row r="18" spans="2:7" ht="15.75" customHeight="1" x14ac:dyDescent="0.25">
      <c r="B18" s="814" t="s">
        <v>345</v>
      </c>
      <c r="C18" s="108" t="s">
        <v>340</v>
      </c>
      <c r="D18" s="554">
        <v>10.9</v>
      </c>
      <c r="E18" s="555">
        <v>5.6</v>
      </c>
    </row>
    <row r="19" spans="2:7" ht="15.75" customHeight="1" thickBot="1" x14ac:dyDescent="0.3">
      <c r="B19" s="813"/>
      <c r="C19" s="23" t="s">
        <v>339</v>
      </c>
      <c r="D19" s="557">
        <v>10.937736207751403</v>
      </c>
      <c r="E19" s="558">
        <v>3.8777777978013628</v>
      </c>
    </row>
    <row r="20" spans="2:7" ht="15.75" customHeight="1" x14ac:dyDescent="0.25">
      <c r="B20" s="814" t="s">
        <v>344</v>
      </c>
      <c r="C20" s="108" t="s">
        <v>340</v>
      </c>
      <c r="D20" s="554">
        <v>1.5</v>
      </c>
      <c r="E20" s="555">
        <v>1.9</v>
      </c>
    </row>
    <row r="21" spans="2:7" ht="15.75" customHeight="1" x14ac:dyDescent="0.25">
      <c r="B21" s="812"/>
      <c r="C21" s="108" t="s">
        <v>343</v>
      </c>
      <c r="D21" s="554">
        <v>2.1</v>
      </c>
      <c r="E21" s="555">
        <v>2.2000000000000002</v>
      </c>
    </row>
    <row r="22" spans="2:7" ht="15.75" customHeight="1" thickBot="1" x14ac:dyDescent="0.3">
      <c r="B22" s="813"/>
      <c r="C22" s="23" t="s">
        <v>339</v>
      </c>
      <c r="D22" s="557">
        <v>2.3327873187517056</v>
      </c>
      <c r="E22" s="558">
        <v>4.0221807630820727</v>
      </c>
    </row>
    <row r="23" spans="2:7" ht="15.75" customHeight="1" x14ac:dyDescent="0.25">
      <c r="B23" s="814" t="s">
        <v>342</v>
      </c>
      <c r="C23" s="108" t="s">
        <v>340</v>
      </c>
      <c r="D23" s="554">
        <v>-0.6</v>
      </c>
      <c r="E23" s="555">
        <v>0.8</v>
      </c>
    </row>
    <row r="24" spans="2:7" ht="15.75" customHeight="1" thickBot="1" x14ac:dyDescent="0.3">
      <c r="B24" s="813"/>
      <c r="C24" s="23" t="s">
        <v>339</v>
      </c>
      <c r="D24" s="557">
        <v>-0.81936641206497018</v>
      </c>
      <c r="E24" s="558">
        <v>0.75416518357946938</v>
      </c>
    </row>
    <row r="25" spans="2:7" ht="15.75" customHeight="1" x14ac:dyDescent="0.25">
      <c r="B25" s="815" t="s">
        <v>341</v>
      </c>
      <c r="C25" s="108" t="s">
        <v>340</v>
      </c>
      <c r="D25" s="556">
        <v>-1.4</v>
      </c>
      <c r="E25" s="559">
        <v>0.8</v>
      </c>
    </row>
    <row r="26" spans="2:7" ht="15.75" customHeight="1" thickBot="1" x14ac:dyDescent="0.3">
      <c r="B26" s="816"/>
      <c r="C26" s="23" t="s">
        <v>339</v>
      </c>
      <c r="D26" s="557">
        <v>-1.7177581496915284</v>
      </c>
      <c r="E26" s="558">
        <v>-0.35681421314139872</v>
      </c>
    </row>
    <row r="27" spans="2:7" ht="15.75" customHeight="1" x14ac:dyDescent="0.25">
      <c r="D27" s="817" t="s">
        <v>2</v>
      </c>
      <c r="E27" s="818"/>
      <c r="F27" s="449"/>
      <c r="G27" s="449"/>
    </row>
    <row r="29" spans="2:7" ht="15.75" customHeight="1" thickBot="1" x14ac:dyDescent="0.3">
      <c r="B29" s="819" t="s">
        <v>1246</v>
      </c>
      <c r="C29" s="820"/>
      <c r="D29" s="820"/>
      <c r="E29" s="820"/>
    </row>
    <row r="30" spans="2:7" ht="15.75" customHeight="1" thickBot="1" x14ac:dyDescent="0.3">
      <c r="B30" s="29" t="s">
        <v>475</v>
      </c>
      <c r="C30" s="28"/>
      <c r="D30" s="27">
        <f>D6</f>
        <v>2021</v>
      </c>
      <c r="E30" s="26">
        <f>E6</f>
        <v>2022</v>
      </c>
    </row>
    <row r="31" spans="2:7" ht="15.75" customHeight="1" x14ac:dyDescent="0.25">
      <c r="B31" s="811" t="s">
        <v>424</v>
      </c>
      <c r="C31" s="108" t="s">
        <v>476</v>
      </c>
      <c r="D31" s="25">
        <f t="shared" ref="D31:E31" si="0">D7</f>
        <v>4.8</v>
      </c>
      <c r="E31" s="24">
        <f t="shared" si="0"/>
        <v>5.2</v>
      </c>
    </row>
    <row r="32" spans="2:7" ht="15.75" customHeight="1" x14ac:dyDescent="0.25">
      <c r="B32" s="812"/>
      <c r="C32" s="108" t="s">
        <v>477</v>
      </c>
      <c r="D32" s="25">
        <f t="shared" ref="D32:E32" si="1">D8</f>
        <v>4.9000000000000004</v>
      </c>
      <c r="E32" s="24">
        <f t="shared" si="1"/>
        <v>5.3</v>
      </c>
    </row>
    <row r="33" spans="2:5" ht="15.75" customHeight="1" thickBot="1" x14ac:dyDescent="0.3">
      <c r="B33" s="813"/>
      <c r="C33" s="37" t="s">
        <v>478</v>
      </c>
      <c r="D33" s="22">
        <f t="shared" ref="D33:E33" si="2">D9</f>
        <v>3.6718484361970116</v>
      </c>
      <c r="E33" s="21">
        <f t="shared" si="2"/>
        <v>4.2056758055444288</v>
      </c>
    </row>
    <row r="34" spans="2:5" ht="15.75" customHeight="1" x14ac:dyDescent="0.25">
      <c r="B34" s="814" t="s">
        <v>426</v>
      </c>
      <c r="C34" s="108" t="s">
        <v>476</v>
      </c>
      <c r="D34" s="25">
        <f t="shared" ref="D34:E34" si="3">D10</f>
        <v>0.8</v>
      </c>
      <c r="E34" s="24">
        <f t="shared" si="3"/>
        <v>5.2</v>
      </c>
    </row>
    <row r="35" spans="2:5" ht="15.75" customHeight="1" thickBot="1" x14ac:dyDescent="0.3">
      <c r="B35" s="813"/>
      <c r="C35" s="37" t="s">
        <v>478</v>
      </c>
      <c r="D35" s="22">
        <f t="shared" ref="D35:E35" si="4">D11</f>
        <v>0.21197690906746836</v>
      </c>
      <c r="E35" s="21">
        <f t="shared" si="4"/>
        <v>2.3986119605059475</v>
      </c>
    </row>
    <row r="36" spans="2:5" ht="15.75" customHeight="1" x14ac:dyDescent="0.25">
      <c r="B36" s="814" t="s">
        <v>425</v>
      </c>
      <c r="C36" s="108" t="s">
        <v>476</v>
      </c>
      <c r="D36" s="25">
        <f t="shared" ref="D36:E36" si="5">D12</f>
        <v>2.5</v>
      </c>
      <c r="E36" s="24">
        <f t="shared" si="5"/>
        <v>-0.2</v>
      </c>
    </row>
    <row r="37" spans="2:5" ht="15.75" customHeight="1" thickBot="1" x14ac:dyDescent="0.3">
      <c r="B37" s="813"/>
      <c r="C37" s="37" t="s">
        <v>478</v>
      </c>
      <c r="D37" s="22">
        <f t="shared" ref="D37:E37" si="6">D13</f>
        <v>4.9390802474485795</v>
      </c>
      <c r="E37" s="21">
        <f t="shared" si="6"/>
        <v>4.0844008055829217</v>
      </c>
    </row>
    <row r="38" spans="2:5" ht="15.75" customHeight="1" x14ac:dyDescent="0.25">
      <c r="B38" s="814" t="s">
        <v>528</v>
      </c>
      <c r="C38" s="108" t="s">
        <v>476</v>
      </c>
      <c r="D38" s="25">
        <f t="shared" ref="D38:E38" si="7">D14</f>
        <v>8.6</v>
      </c>
      <c r="E38" s="24">
        <f t="shared" si="7"/>
        <v>12.5</v>
      </c>
    </row>
    <row r="39" spans="2:5" ht="15.75" customHeight="1" thickBot="1" x14ac:dyDescent="0.3">
      <c r="B39" s="813"/>
      <c r="C39" s="37" t="s">
        <v>478</v>
      </c>
      <c r="D39" s="22">
        <f t="shared" ref="D39:E39" si="8">D15</f>
        <v>-0.25904047974576461</v>
      </c>
      <c r="E39" s="21">
        <f t="shared" si="8"/>
        <v>16.669307103774813</v>
      </c>
    </row>
    <row r="40" spans="2:5" ht="15.75" customHeight="1" x14ac:dyDescent="0.25">
      <c r="B40" s="814" t="s">
        <v>465</v>
      </c>
      <c r="C40" s="108" t="s">
        <v>476</v>
      </c>
      <c r="D40" s="25">
        <f t="shared" ref="D40:E40" si="9">D16</f>
        <v>12.2</v>
      </c>
      <c r="E40" s="24">
        <f t="shared" si="9"/>
        <v>5.3</v>
      </c>
    </row>
    <row r="41" spans="2:5" ht="15.75" customHeight="1" thickBot="1" x14ac:dyDescent="0.3">
      <c r="B41" s="813"/>
      <c r="C41" s="37" t="s">
        <v>478</v>
      </c>
      <c r="D41" s="22">
        <f t="shared" ref="D41:E41" si="10">D17</f>
        <v>10.460937564083771</v>
      </c>
      <c r="E41" s="21">
        <f t="shared" si="10"/>
        <v>3.0997577744184213</v>
      </c>
    </row>
    <row r="42" spans="2:5" ht="15.75" customHeight="1" x14ac:dyDescent="0.25">
      <c r="B42" s="814" t="s">
        <v>479</v>
      </c>
      <c r="C42" s="108" t="s">
        <v>476</v>
      </c>
      <c r="D42" s="25">
        <f t="shared" ref="D42:E42" si="11">D18</f>
        <v>10.9</v>
      </c>
      <c r="E42" s="24">
        <f t="shared" si="11"/>
        <v>5.6</v>
      </c>
    </row>
    <row r="43" spans="2:5" ht="15.75" customHeight="1" thickBot="1" x14ac:dyDescent="0.3">
      <c r="B43" s="813"/>
      <c r="C43" s="37" t="s">
        <v>478</v>
      </c>
      <c r="D43" s="22">
        <f t="shared" ref="D43:E43" si="12">D19</f>
        <v>10.937736207751403</v>
      </c>
      <c r="E43" s="21">
        <f t="shared" si="12"/>
        <v>3.8777777978013628</v>
      </c>
    </row>
    <row r="44" spans="2:5" ht="15.75" customHeight="1" x14ac:dyDescent="0.25">
      <c r="B44" s="814" t="s">
        <v>480</v>
      </c>
      <c r="C44" s="108" t="s">
        <v>476</v>
      </c>
      <c r="D44" s="25">
        <f t="shared" ref="D44:E44" si="13">D20</f>
        <v>1.5</v>
      </c>
      <c r="E44" s="24">
        <f t="shared" si="13"/>
        <v>1.9</v>
      </c>
    </row>
    <row r="45" spans="2:5" ht="15.75" customHeight="1" x14ac:dyDescent="0.25">
      <c r="B45" s="812"/>
      <c r="C45" s="108" t="s">
        <v>477</v>
      </c>
      <c r="D45" s="25">
        <f t="shared" ref="D45:E45" si="14">D21</f>
        <v>2.1</v>
      </c>
      <c r="E45" s="24">
        <f t="shared" si="14"/>
        <v>2.2000000000000002</v>
      </c>
    </row>
    <row r="46" spans="2:5" ht="15.75" customHeight="1" thickBot="1" x14ac:dyDescent="0.3">
      <c r="B46" s="813"/>
      <c r="C46" s="37" t="s">
        <v>478</v>
      </c>
      <c r="D46" s="22">
        <f t="shared" ref="D46:E46" si="15">D22</f>
        <v>2.3327873187517056</v>
      </c>
      <c r="E46" s="21">
        <f t="shared" si="15"/>
        <v>4.0221807630820727</v>
      </c>
    </row>
    <row r="47" spans="2:5" ht="15.75" customHeight="1" x14ac:dyDescent="0.25">
      <c r="B47" s="814" t="s">
        <v>481</v>
      </c>
      <c r="C47" s="108" t="s">
        <v>476</v>
      </c>
      <c r="D47" s="25">
        <f t="shared" ref="D47:E47" si="16">D23</f>
        <v>-0.6</v>
      </c>
      <c r="E47" s="24">
        <f t="shared" si="16"/>
        <v>0.8</v>
      </c>
    </row>
    <row r="48" spans="2:5" ht="15.75" customHeight="1" thickBot="1" x14ac:dyDescent="0.3">
      <c r="B48" s="813"/>
      <c r="C48" s="37" t="s">
        <v>478</v>
      </c>
      <c r="D48" s="22">
        <f t="shared" ref="D48:E48" si="17">D24</f>
        <v>-0.81936641206497018</v>
      </c>
      <c r="E48" s="21">
        <f t="shared" si="17"/>
        <v>0.75416518357946938</v>
      </c>
    </row>
    <row r="49" spans="2:5" ht="15.75" customHeight="1" x14ac:dyDescent="0.25">
      <c r="B49" s="815" t="s">
        <v>482</v>
      </c>
      <c r="C49" s="108" t="s">
        <v>476</v>
      </c>
      <c r="D49" s="25">
        <f t="shared" ref="D49:E49" si="18">D25</f>
        <v>-1.4</v>
      </c>
      <c r="E49" s="24">
        <f t="shared" si="18"/>
        <v>0.8</v>
      </c>
    </row>
    <row r="50" spans="2:5" ht="15.75" customHeight="1" thickBot="1" x14ac:dyDescent="0.3">
      <c r="B50" s="816"/>
      <c r="C50" s="37" t="s">
        <v>478</v>
      </c>
      <c r="D50" s="22">
        <f t="shared" ref="D50:E50" si="19">D26</f>
        <v>-1.7177581496915284</v>
      </c>
      <c r="E50" s="21">
        <f t="shared" si="19"/>
        <v>-0.35681421314139872</v>
      </c>
    </row>
  </sheetData>
  <mergeCells count="21">
    <mergeCell ref="B40:B41"/>
    <mergeCell ref="B42:B43"/>
    <mergeCell ref="B44:B46"/>
    <mergeCell ref="B47:B48"/>
    <mergeCell ref="B49:B50"/>
    <mergeCell ref="B29:E29"/>
    <mergeCell ref="B31:B33"/>
    <mergeCell ref="B34:B35"/>
    <mergeCell ref="B36:B37"/>
    <mergeCell ref="B38:B39"/>
    <mergeCell ref="B7:B9"/>
    <mergeCell ref="B23:B24"/>
    <mergeCell ref="B25:B26"/>
    <mergeCell ref="D27:E27"/>
    <mergeCell ref="B5:E5"/>
    <mergeCell ref="B10:B11"/>
    <mergeCell ref="B12:B13"/>
    <mergeCell ref="B14:B15"/>
    <mergeCell ref="B16:B17"/>
    <mergeCell ref="B18:B19"/>
    <mergeCell ref="B20:B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KT194"/>
  <sheetViews>
    <sheetView showGridLines="0" zoomScaleNormal="100" workbookViewId="0">
      <selection activeCell="I16" sqref="I16"/>
    </sheetView>
  </sheetViews>
  <sheetFormatPr defaultColWidth="8.85546875" defaultRowHeight="13.5" x14ac:dyDescent="0.25"/>
  <cols>
    <col min="1" max="1" width="14.140625" style="88" bestFit="1" customWidth="1"/>
    <col min="2" max="2" width="11.85546875" style="88" customWidth="1"/>
    <col min="3" max="8" width="9.42578125" style="88" customWidth="1"/>
    <col min="9" max="9" width="11.140625" style="88" customWidth="1"/>
    <col min="10" max="15" width="9.42578125" style="88" customWidth="1"/>
    <col min="16" max="16" width="10.140625" style="88" customWidth="1"/>
    <col min="17" max="42" width="8.85546875" style="88" customWidth="1"/>
    <col min="43" max="44" width="9.42578125" style="88" bestFit="1" customWidth="1"/>
    <col min="45" max="45" width="9" style="88" bestFit="1" customWidth="1"/>
    <col min="46" max="50" width="9.42578125" style="88" bestFit="1" customWidth="1"/>
    <col min="51" max="53" width="10.5703125" style="88" bestFit="1" customWidth="1"/>
    <col min="54" max="54" width="9.42578125" style="88" bestFit="1" customWidth="1"/>
    <col min="55" max="57" width="10.5703125" style="88" bestFit="1" customWidth="1"/>
    <col min="58" max="58" width="9.42578125" style="88" bestFit="1" customWidth="1"/>
    <col min="59" max="61" width="10.5703125" style="88" bestFit="1" customWidth="1"/>
    <col min="62" max="63" width="9" style="88" bestFit="1" customWidth="1"/>
    <col min="64" max="66" width="9.42578125" style="88" bestFit="1" customWidth="1"/>
    <col min="67" max="67" width="9" style="88" bestFit="1" customWidth="1"/>
    <col min="68" max="70" width="9.42578125" style="88" bestFit="1" customWidth="1"/>
    <col min="71" max="71" width="9" style="88" bestFit="1" customWidth="1"/>
    <col min="72" max="74" width="9.42578125" style="88" bestFit="1" customWidth="1"/>
    <col min="75" max="76" width="9" style="88" bestFit="1" customWidth="1"/>
    <col min="77" max="79" width="9.42578125" style="88" bestFit="1" customWidth="1"/>
    <col min="80" max="80" width="9" style="88" bestFit="1" customWidth="1"/>
    <col min="81" max="83" width="9.42578125" style="88" bestFit="1" customWidth="1"/>
    <col min="84" max="84" width="9" style="88" bestFit="1" customWidth="1"/>
    <col min="85" max="87" width="9.42578125" style="88" bestFit="1" customWidth="1"/>
    <col min="88" max="89" width="9" style="88" bestFit="1" customWidth="1"/>
    <col min="90" max="92" width="9.42578125" style="88" bestFit="1" customWidth="1"/>
    <col min="93" max="93" width="9" style="88" bestFit="1" customWidth="1"/>
    <col min="94" max="96" width="9.42578125" style="88" bestFit="1" customWidth="1"/>
    <col min="97" max="98" width="9" style="88" bestFit="1" customWidth="1"/>
    <col min="99" max="102" width="9.42578125" style="88" bestFit="1" customWidth="1"/>
    <col min="103" max="105" width="10.5703125" style="88" bestFit="1" customWidth="1"/>
    <col min="106" max="106" width="9.42578125" style="88" bestFit="1" customWidth="1"/>
    <col min="107" max="109" width="10.5703125" style="88" bestFit="1" customWidth="1"/>
    <col min="110" max="111" width="9.42578125" style="88" bestFit="1" customWidth="1"/>
    <col min="112" max="114" width="10.5703125" style="88" bestFit="1" customWidth="1"/>
    <col min="115" max="115" width="9" style="88" bestFit="1" customWidth="1"/>
    <col min="116" max="118" width="9.42578125" style="88" bestFit="1" customWidth="1"/>
    <col min="119" max="119" width="9" style="88" bestFit="1" customWidth="1"/>
    <col min="120" max="122" width="9.42578125" style="88" bestFit="1" customWidth="1"/>
    <col min="123" max="123" width="9" style="88" bestFit="1" customWidth="1"/>
    <col min="124" max="127" width="9.42578125" style="88" bestFit="1" customWidth="1"/>
    <col min="128" max="128" width="9" style="88" bestFit="1" customWidth="1"/>
    <col min="129" max="131" width="9.42578125" style="88" bestFit="1" customWidth="1"/>
    <col min="132" max="132" width="9" style="88" bestFit="1" customWidth="1"/>
    <col min="133" max="135" width="9.42578125" style="88" bestFit="1" customWidth="1"/>
    <col min="136" max="137" width="9" style="88" bestFit="1" customWidth="1"/>
    <col min="138" max="140" width="9.42578125" style="88" bestFit="1" customWidth="1"/>
    <col min="141" max="141" width="9" style="88" bestFit="1" customWidth="1"/>
    <col min="142" max="144" width="9.42578125" style="88" bestFit="1" customWidth="1"/>
    <col min="145" max="145" width="9" style="88" bestFit="1" customWidth="1"/>
    <col min="146" max="148" width="9.42578125" style="88" bestFit="1" customWidth="1"/>
    <col min="149" max="16384" width="8.85546875" style="88"/>
  </cols>
  <sheetData>
    <row r="1" spans="1:306" ht="15" x14ac:dyDescent="0.25">
      <c r="A1" s="1"/>
    </row>
    <row r="2" spans="1:306" x14ac:dyDescent="0.25">
      <c r="B2" s="94"/>
    </row>
    <row r="3" spans="1:306" x14ac:dyDescent="0.25">
      <c r="B3" s="94"/>
    </row>
    <row r="4" spans="1:306" x14ac:dyDescent="0.25">
      <c r="B4" s="94"/>
      <c r="I4" s="231" t="s">
        <v>127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</row>
    <row r="6" spans="1:306" x14ac:dyDescent="0.25">
      <c r="B6" s="807" t="s">
        <v>1247</v>
      </c>
      <c r="C6" s="821"/>
      <c r="D6" s="821"/>
      <c r="E6" s="821"/>
      <c r="F6" s="821"/>
      <c r="G6" s="821"/>
      <c r="I6" s="227" t="s">
        <v>132</v>
      </c>
    </row>
    <row r="7" spans="1:306" x14ac:dyDescent="0.25">
      <c r="I7" s="245"/>
      <c r="J7" s="90"/>
      <c r="K7" s="246">
        <v>44435</v>
      </c>
      <c r="L7" s="246">
        <v>44428</v>
      </c>
      <c r="M7" s="246">
        <v>44421</v>
      </c>
      <c r="N7" s="246">
        <v>44414</v>
      </c>
      <c r="O7" s="246">
        <v>44407</v>
      </c>
      <c r="P7" s="246">
        <v>44400</v>
      </c>
      <c r="Q7" s="246">
        <v>44393</v>
      </c>
      <c r="R7" s="246">
        <v>44386</v>
      </c>
      <c r="S7" s="246">
        <v>44379</v>
      </c>
      <c r="T7" s="246">
        <v>44372</v>
      </c>
      <c r="U7" s="246">
        <v>44365</v>
      </c>
      <c r="V7" s="246">
        <v>44358</v>
      </c>
      <c r="W7" s="246">
        <v>44351</v>
      </c>
      <c r="X7" s="246">
        <v>44344</v>
      </c>
      <c r="Y7" s="246">
        <v>44337</v>
      </c>
      <c r="Z7" s="246">
        <v>44330</v>
      </c>
      <c r="AA7" s="246">
        <v>44323</v>
      </c>
      <c r="AB7" s="246">
        <v>44316</v>
      </c>
      <c r="AC7" s="246">
        <v>44309</v>
      </c>
      <c r="AD7" s="246">
        <v>44302</v>
      </c>
      <c r="AE7" s="246">
        <v>44295</v>
      </c>
      <c r="AF7" s="246">
        <v>44288</v>
      </c>
      <c r="AG7" s="246">
        <v>44281</v>
      </c>
      <c r="AH7" s="246">
        <v>44274</v>
      </c>
      <c r="AI7" s="246">
        <v>44267</v>
      </c>
      <c r="AJ7" s="246">
        <v>44260</v>
      </c>
      <c r="AK7" s="246">
        <v>44253</v>
      </c>
      <c r="AL7" s="246">
        <v>44246</v>
      </c>
      <c r="AM7" s="246">
        <v>44239</v>
      </c>
      <c r="AN7" s="246">
        <v>44232</v>
      </c>
      <c r="AO7" s="246">
        <v>44225</v>
      </c>
      <c r="AP7" s="246">
        <v>44218</v>
      </c>
      <c r="AQ7" s="246">
        <v>44211</v>
      </c>
      <c r="AR7" s="246">
        <v>44204</v>
      </c>
      <c r="AS7" s="246">
        <v>44197</v>
      </c>
      <c r="AT7" s="246">
        <v>44190</v>
      </c>
      <c r="AU7" s="246">
        <v>44183</v>
      </c>
      <c r="AV7" s="246">
        <v>44176</v>
      </c>
      <c r="AW7" s="246">
        <v>44169</v>
      </c>
      <c r="AX7" s="246">
        <v>44162</v>
      </c>
      <c r="AY7" s="246">
        <v>44155</v>
      </c>
      <c r="AZ7" s="246">
        <v>44148</v>
      </c>
      <c r="BA7" s="246">
        <v>44141</v>
      </c>
      <c r="BB7" s="246">
        <v>44134</v>
      </c>
      <c r="BC7" s="246">
        <v>44127</v>
      </c>
      <c r="BD7" s="246">
        <v>44120</v>
      </c>
      <c r="BE7" s="246">
        <v>44113</v>
      </c>
      <c r="BF7" s="246">
        <v>44106</v>
      </c>
      <c r="BG7" s="246">
        <v>44099</v>
      </c>
      <c r="BH7" s="246">
        <v>44092</v>
      </c>
      <c r="BI7" s="246">
        <v>44085</v>
      </c>
      <c r="BJ7" s="246">
        <v>44078</v>
      </c>
      <c r="BK7" s="246">
        <v>44071</v>
      </c>
      <c r="BL7" s="246">
        <v>44064</v>
      </c>
      <c r="BM7" s="246">
        <v>44057</v>
      </c>
      <c r="BN7" s="246">
        <v>44050</v>
      </c>
      <c r="BO7" s="246">
        <v>44043</v>
      </c>
      <c r="BP7" s="246">
        <v>44036</v>
      </c>
      <c r="BQ7" s="246">
        <v>44029</v>
      </c>
      <c r="BR7" s="246">
        <v>44022</v>
      </c>
      <c r="BS7" s="246">
        <v>44015</v>
      </c>
      <c r="BT7" s="246">
        <v>44008</v>
      </c>
      <c r="BU7" s="246">
        <v>44001</v>
      </c>
      <c r="BV7" s="246">
        <v>43994</v>
      </c>
      <c r="BW7" s="246">
        <v>43987</v>
      </c>
      <c r="BX7" s="246">
        <v>43980</v>
      </c>
      <c r="BY7" s="246">
        <v>43973</v>
      </c>
      <c r="BZ7" s="246">
        <v>43966</v>
      </c>
      <c r="CA7" s="246">
        <v>43959</v>
      </c>
      <c r="CB7" s="246">
        <v>43952</v>
      </c>
      <c r="CC7" s="246">
        <v>43945</v>
      </c>
      <c r="CD7" s="246">
        <v>43938</v>
      </c>
      <c r="CE7" s="246">
        <v>43931</v>
      </c>
      <c r="CF7" s="246">
        <v>43924</v>
      </c>
      <c r="CG7" s="246">
        <v>43917</v>
      </c>
      <c r="CH7" s="246">
        <v>43910</v>
      </c>
      <c r="CI7" s="246">
        <v>43903</v>
      </c>
      <c r="CJ7" s="246">
        <v>43896</v>
      </c>
      <c r="CK7" s="246">
        <v>43889</v>
      </c>
      <c r="CL7" s="246">
        <v>43882</v>
      </c>
      <c r="CM7" s="246">
        <v>43875</v>
      </c>
      <c r="CN7" s="246">
        <v>43868</v>
      </c>
      <c r="CO7" s="246">
        <v>43861</v>
      </c>
      <c r="CP7" s="246">
        <v>43854</v>
      </c>
      <c r="CQ7" s="246">
        <v>43847</v>
      </c>
      <c r="CR7" s="246">
        <v>43840</v>
      </c>
      <c r="CS7" s="246">
        <v>43833</v>
      </c>
      <c r="CT7" s="246">
        <v>43826</v>
      </c>
      <c r="CU7" s="246">
        <v>43819</v>
      </c>
      <c r="CV7" s="246">
        <v>43812</v>
      </c>
      <c r="CW7" s="246">
        <v>43805</v>
      </c>
      <c r="CX7" s="246">
        <v>43798</v>
      </c>
      <c r="CY7" s="246">
        <v>43791</v>
      </c>
      <c r="CZ7" s="246">
        <v>43784</v>
      </c>
      <c r="DA7" s="246">
        <v>43777</v>
      </c>
      <c r="DB7" s="246">
        <v>43770</v>
      </c>
      <c r="DC7" s="246">
        <v>43763</v>
      </c>
      <c r="DD7" s="246">
        <v>43756</v>
      </c>
      <c r="DE7" s="246">
        <v>43749</v>
      </c>
      <c r="DF7" s="246">
        <v>43742</v>
      </c>
      <c r="DG7" s="246">
        <v>43735</v>
      </c>
      <c r="DH7" s="246">
        <v>43728</v>
      </c>
      <c r="DI7" s="246">
        <v>43721</v>
      </c>
      <c r="DJ7" s="246">
        <v>43714</v>
      </c>
      <c r="DK7" s="246">
        <v>43707</v>
      </c>
      <c r="DL7" s="246">
        <v>43700</v>
      </c>
      <c r="DM7" s="246">
        <v>43693</v>
      </c>
      <c r="DN7" s="246">
        <v>43686</v>
      </c>
      <c r="DO7" s="246">
        <v>43679</v>
      </c>
      <c r="DP7" s="246">
        <v>43672</v>
      </c>
      <c r="DQ7" s="246">
        <v>43665</v>
      </c>
      <c r="DR7" s="246">
        <v>43658</v>
      </c>
      <c r="DS7" s="246">
        <v>43651</v>
      </c>
      <c r="DT7" s="246">
        <v>43644</v>
      </c>
      <c r="DU7" s="246">
        <v>43637</v>
      </c>
      <c r="DV7" s="246">
        <v>43630</v>
      </c>
      <c r="DW7" s="246">
        <v>43623</v>
      </c>
      <c r="DX7" s="246">
        <v>43616</v>
      </c>
      <c r="DY7" s="246">
        <v>43609</v>
      </c>
      <c r="DZ7" s="246">
        <v>43602</v>
      </c>
      <c r="EA7" s="246">
        <v>43595</v>
      </c>
      <c r="EB7" s="246">
        <v>43588</v>
      </c>
      <c r="EC7" s="246">
        <v>43581</v>
      </c>
      <c r="ED7" s="246">
        <v>43574</v>
      </c>
      <c r="EE7" s="246">
        <v>43567</v>
      </c>
      <c r="EF7" s="246">
        <v>43560</v>
      </c>
      <c r="EG7" s="246">
        <v>43553</v>
      </c>
      <c r="EH7" s="246">
        <v>43546</v>
      </c>
      <c r="EI7" s="246">
        <v>43539</v>
      </c>
      <c r="EJ7" s="246">
        <v>43532</v>
      </c>
      <c r="EK7" s="246">
        <v>43525</v>
      </c>
      <c r="EL7" s="246">
        <v>43518</v>
      </c>
      <c r="EM7" s="246">
        <v>43511</v>
      </c>
      <c r="EN7" s="246">
        <v>43504</v>
      </c>
      <c r="EO7" s="246">
        <v>43497</v>
      </c>
      <c r="EP7" s="246">
        <v>43490</v>
      </c>
      <c r="EQ7" s="246">
        <v>43483</v>
      </c>
      <c r="ER7" s="246">
        <v>43476</v>
      </c>
      <c r="ES7" s="246">
        <v>43469</v>
      </c>
      <c r="ET7" s="246">
        <v>43462</v>
      </c>
      <c r="EU7" s="246">
        <v>43455</v>
      </c>
      <c r="EV7" s="246">
        <v>43448</v>
      </c>
      <c r="EW7" s="246">
        <v>43441</v>
      </c>
      <c r="EX7" s="246">
        <v>43434</v>
      </c>
      <c r="EY7" s="246">
        <v>43427</v>
      </c>
      <c r="EZ7" s="246">
        <v>43420</v>
      </c>
      <c r="FA7" s="246">
        <v>43413</v>
      </c>
      <c r="FB7" s="246">
        <v>43406</v>
      </c>
      <c r="FC7" s="246">
        <v>43399</v>
      </c>
      <c r="FD7" s="246">
        <v>43392</v>
      </c>
      <c r="FE7" s="246">
        <v>43385</v>
      </c>
      <c r="FF7" s="246">
        <v>43378</v>
      </c>
      <c r="FG7" s="246">
        <v>43371</v>
      </c>
      <c r="FH7" s="246">
        <v>43364</v>
      </c>
      <c r="FI7" s="246">
        <v>43357</v>
      </c>
      <c r="FJ7" s="246">
        <v>43350</v>
      </c>
      <c r="FK7" s="246">
        <v>43343</v>
      </c>
      <c r="FL7" s="246">
        <v>43336</v>
      </c>
      <c r="FM7" s="246">
        <v>43329</v>
      </c>
      <c r="FN7" s="246">
        <v>43322</v>
      </c>
      <c r="FO7" s="246">
        <v>43315</v>
      </c>
      <c r="FP7" s="246">
        <v>43308</v>
      </c>
      <c r="FQ7" s="246">
        <v>43301</v>
      </c>
      <c r="FR7" s="246">
        <v>43294</v>
      </c>
      <c r="FS7" s="246">
        <v>43287</v>
      </c>
      <c r="FT7" s="246">
        <v>43280</v>
      </c>
      <c r="FU7" s="246">
        <v>43273</v>
      </c>
      <c r="FV7" s="246">
        <v>43266</v>
      </c>
      <c r="FW7" s="246">
        <v>43259</v>
      </c>
      <c r="FX7" s="246">
        <v>43252</v>
      </c>
      <c r="FY7" s="246">
        <v>43245</v>
      </c>
      <c r="FZ7" s="246">
        <v>43238</v>
      </c>
      <c r="GA7" s="246">
        <v>43231</v>
      </c>
      <c r="GB7" s="246">
        <v>43224</v>
      </c>
      <c r="GC7" s="246">
        <v>43217</v>
      </c>
      <c r="GD7" s="246">
        <v>43210</v>
      </c>
      <c r="GE7" s="246">
        <v>43203</v>
      </c>
      <c r="GF7" s="246">
        <v>43196</v>
      </c>
      <c r="GG7" s="246">
        <v>43189</v>
      </c>
      <c r="GH7" s="246">
        <v>43182</v>
      </c>
      <c r="GI7" s="246">
        <v>43175</v>
      </c>
      <c r="GJ7" s="246">
        <v>43168</v>
      </c>
      <c r="GK7" s="246">
        <v>43161</v>
      </c>
      <c r="GL7" s="246">
        <v>43154</v>
      </c>
      <c r="GM7" s="246">
        <v>43147</v>
      </c>
      <c r="GN7" s="246">
        <v>43140</v>
      </c>
      <c r="GO7" s="246">
        <v>43133</v>
      </c>
      <c r="GP7" s="246">
        <v>43126</v>
      </c>
      <c r="GQ7" s="246">
        <v>43119</v>
      </c>
      <c r="GR7" s="246">
        <v>43112</v>
      </c>
      <c r="GS7" s="246">
        <v>43105</v>
      </c>
      <c r="GT7" s="246">
        <v>43098</v>
      </c>
      <c r="GU7" s="246">
        <v>43091</v>
      </c>
      <c r="GV7" s="246">
        <v>43084</v>
      </c>
      <c r="GW7" s="246">
        <v>43077</v>
      </c>
      <c r="GX7" s="246">
        <v>43070</v>
      </c>
      <c r="GY7" s="246">
        <v>43063</v>
      </c>
      <c r="GZ7" s="246">
        <v>43056</v>
      </c>
      <c r="HA7" s="246">
        <v>43049</v>
      </c>
      <c r="HB7" s="246">
        <v>43042</v>
      </c>
      <c r="HC7" s="246">
        <v>43035</v>
      </c>
      <c r="HD7" s="246">
        <v>43028</v>
      </c>
      <c r="HE7" s="246">
        <v>43021</v>
      </c>
      <c r="HF7" s="246">
        <v>43014</v>
      </c>
      <c r="HG7" s="246">
        <v>43007</v>
      </c>
      <c r="HH7" s="246">
        <v>43000</v>
      </c>
      <c r="HI7" s="246">
        <v>42993</v>
      </c>
      <c r="HJ7" s="246">
        <v>42986</v>
      </c>
      <c r="HK7" s="246">
        <v>42979</v>
      </c>
      <c r="HL7" s="246">
        <v>42972</v>
      </c>
      <c r="HM7" s="246">
        <v>42965</v>
      </c>
      <c r="HN7" s="246">
        <v>42958</v>
      </c>
      <c r="HO7" s="246">
        <v>42951</v>
      </c>
      <c r="HP7" s="246">
        <v>42944</v>
      </c>
      <c r="HQ7" s="246">
        <v>42937</v>
      </c>
      <c r="HR7" s="246">
        <v>42930</v>
      </c>
      <c r="HS7" s="246">
        <v>42923</v>
      </c>
      <c r="HT7" s="246">
        <v>42916</v>
      </c>
      <c r="HU7" s="246">
        <v>42909</v>
      </c>
      <c r="HV7" s="246">
        <v>42902</v>
      </c>
      <c r="HW7" s="246">
        <v>42895</v>
      </c>
      <c r="HX7" s="246">
        <v>42888</v>
      </c>
      <c r="HY7" s="246">
        <v>42881</v>
      </c>
      <c r="HZ7" s="246">
        <v>42874</v>
      </c>
      <c r="IA7" s="246">
        <v>42867</v>
      </c>
      <c r="IB7" s="246">
        <v>42860</v>
      </c>
      <c r="IC7" s="246">
        <v>42853</v>
      </c>
      <c r="ID7" s="246">
        <v>42846</v>
      </c>
      <c r="IE7" s="246">
        <v>42839</v>
      </c>
      <c r="IF7" s="246">
        <v>42832</v>
      </c>
      <c r="IG7" s="246">
        <v>42825</v>
      </c>
      <c r="IH7" s="246">
        <v>42818</v>
      </c>
      <c r="II7" s="246">
        <v>42811</v>
      </c>
      <c r="IJ7" s="246">
        <v>42804</v>
      </c>
      <c r="IK7" s="246">
        <v>42797</v>
      </c>
      <c r="IL7" s="246">
        <v>42790</v>
      </c>
      <c r="IM7" s="246">
        <v>42783</v>
      </c>
      <c r="IN7" s="246">
        <v>42776</v>
      </c>
      <c r="IO7" s="246">
        <v>42769</v>
      </c>
      <c r="IP7" s="246">
        <v>42762</v>
      </c>
      <c r="IQ7" s="246">
        <v>42755</v>
      </c>
      <c r="IR7" s="246">
        <v>42748</v>
      </c>
      <c r="IS7" s="246">
        <v>42741</v>
      </c>
      <c r="IT7" s="246">
        <v>42734</v>
      </c>
      <c r="IU7" s="246">
        <v>42727</v>
      </c>
      <c r="IV7" s="246">
        <v>42720</v>
      </c>
      <c r="IW7" s="246">
        <v>42713</v>
      </c>
      <c r="IX7" s="246">
        <v>42706</v>
      </c>
      <c r="IY7" s="246">
        <v>42699</v>
      </c>
      <c r="IZ7" s="246">
        <v>42692</v>
      </c>
      <c r="JA7" s="246">
        <v>42685</v>
      </c>
      <c r="JB7" s="246">
        <v>42678</v>
      </c>
      <c r="JC7" s="246">
        <v>42671</v>
      </c>
      <c r="JD7" s="246">
        <v>42664</v>
      </c>
      <c r="JE7" s="246">
        <v>42657</v>
      </c>
      <c r="JF7" s="246">
        <v>42650</v>
      </c>
      <c r="JG7" s="246">
        <v>42643</v>
      </c>
      <c r="JH7" s="246">
        <v>42636</v>
      </c>
      <c r="JI7" s="246">
        <v>42629</v>
      </c>
      <c r="JJ7" s="246">
        <v>42622</v>
      </c>
      <c r="JK7" s="246">
        <v>42615</v>
      </c>
      <c r="JL7" s="246">
        <v>42608</v>
      </c>
      <c r="JM7" s="246">
        <v>42601</v>
      </c>
      <c r="JN7" s="246">
        <v>42594</v>
      </c>
      <c r="JO7" s="246">
        <v>42587</v>
      </c>
      <c r="JP7" s="246">
        <v>42580</v>
      </c>
      <c r="JQ7" s="246">
        <v>42573</v>
      </c>
      <c r="JR7" s="246">
        <v>42566</v>
      </c>
      <c r="JS7" s="246">
        <v>42559</v>
      </c>
      <c r="JT7" s="246">
        <v>42552</v>
      </c>
      <c r="JU7" s="246">
        <v>42545</v>
      </c>
      <c r="JV7" s="246">
        <v>42538</v>
      </c>
      <c r="JW7" s="246">
        <v>42531</v>
      </c>
      <c r="JX7" s="246">
        <v>42524</v>
      </c>
      <c r="JY7" s="246">
        <v>42517</v>
      </c>
      <c r="JZ7" s="246">
        <v>42510</v>
      </c>
      <c r="KA7" s="246">
        <v>42503</v>
      </c>
      <c r="KB7" s="246">
        <v>42496</v>
      </c>
      <c r="KC7" s="246">
        <v>42489</v>
      </c>
      <c r="KD7" s="246">
        <v>42482</v>
      </c>
      <c r="KE7" s="246">
        <v>42475</v>
      </c>
      <c r="KF7" s="246">
        <v>42468</v>
      </c>
      <c r="KG7" s="246">
        <v>42461</v>
      </c>
      <c r="KH7" s="246">
        <v>42454</v>
      </c>
      <c r="KI7" s="246">
        <v>42447</v>
      </c>
      <c r="KJ7" s="246">
        <v>42440</v>
      </c>
      <c r="KK7" s="246">
        <v>42433</v>
      </c>
      <c r="KL7" s="246">
        <v>42426</v>
      </c>
      <c r="KM7" s="246">
        <v>42419</v>
      </c>
      <c r="KN7" s="246">
        <v>42412</v>
      </c>
      <c r="KO7" s="246">
        <v>42405</v>
      </c>
      <c r="KP7" s="246">
        <v>42398</v>
      </c>
      <c r="KQ7" s="246">
        <v>42391</v>
      </c>
      <c r="KR7" s="246">
        <v>42384</v>
      </c>
      <c r="KS7" s="246">
        <v>42377</v>
      </c>
      <c r="KT7" s="246">
        <v>42370</v>
      </c>
    </row>
    <row r="8" spans="1:306" x14ac:dyDescent="0.25">
      <c r="H8" s="229"/>
      <c r="I8" s="247" t="s">
        <v>534</v>
      </c>
      <c r="J8" s="88" t="s">
        <v>534</v>
      </c>
      <c r="K8" s="141">
        <v>2.2062144681350722</v>
      </c>
      <c r="L8" s="141">
        <v>2.1730921651320489</v>
      </c>
      <c r="M8" s="141">
        <v>2.1859741479691186</v>
      </c>
      <c r="N8" s="141">
        <v>2.170572521698289</v>
      </c>
      <c r="O8" s="141">
        <v>2.1503860191590753</v>
      </c>
      <c r="P8" s="141">
        <v>2.1584733407047172</v>
      </c>
      <c r="Q8" s="141">
        <v>2.1170680156951769</v>
      </c>
      <c r="R8" s="141">
        <v>2.1378073720363613</v>
      </c>
      <c r="S8" s="141">
        <v>2.1293873597072319</v>
      </c>
      <c r="T8" s="141">
        <v>2.0943374071645939</v>
      </c>
      <c r="U8" s="141">
        <v>2.0384404630272903</v>
      </c>
      <c r="V8" s="141">
        <v>2.078064913842872</v>
      </c>
      <c r="W8" s="141">
        <v>2.0694785561219997</v>
      </c>
      <c r="X8" s="141">
        <v>2.0568656614186325</v>
      </c>
      <c r="Y8" s="141">
        <v>2.0332592933256355</v>
      </c>
      <c r="Z8" s="141">
        <v>2.0420609215534702</v>
      </c>
      <c r="AA8" s="141">
        <v>2.070804426744425</v>
      </c>
      <c r="AB8" s="141">
        <v>2.0456422399874752</v>
      </c>
      <c r="AC8" s="141">
        <v>2.0451529888352886</v>
      </c>
      <c r="AD8" s="141">
        <v>2.0477460199418771</v>
      </c>
      <c r="AE8" s="141">
        <v>2.0200201571474703</v>
      </c>
      <c r="AF8" s="141">
        <v>1.9667260291397985</v>
      </c>
      <c r="AG8" s="141">
        <v>1.9445482744111862</v>
      </c>
      <c r="AH8" s="141">
        <v>1.9144886836208499</v>
      </c>
      <c r="AI8" s="141">
        <v>1.9292836384629686</v>
      </c>
      <c r="AJ8" s="141">
        <v>1.8796735716312611</v>
      </c>
      <c r="AK8" s="141">
        <v>1.8646095286554401</v>
      </c>
      <c r="AL8" s="141">
        <v>1.9113623687583783</v>
      </c>
      <c r="AM8" s="141">
        <v>1.9251201111578617</v>
      </c>
      <c r="AN8" s="141">
        <v>1.9016360558529115</v>
      </c>
      <c r="AO8" s="141">
        <v>1.8171961994970496</v>
      </c>
      <c r="AP8" s="141">
        <v>1.8794436235897334</v>
      </c>
      <c r="AQ8" s="141">
        <v>1.8436206542266407</v>
      </c>
      <c r="AR8" s="141">
        <v>1.8712290967445226</v>
      </c>
      <c r="AS8" s="141">
        <v>1.8376615751930097</v>
      </c>
      <c r="AT8" s="141">
        <v>1.8117263716156051</v>
      </c>
      <c r="AU8" s="141">
        <v>1.8148331164319891</v>
      </c>
      <c r="AV8" s="141">
        <v>1.7923520259890211</v>
      </c>
      <c r="AW8" s="141">
        <v>1.8097987220759904</v>
      </c>
      <c r="AX8" s="141">
        <v>1.780066929557619</v>
      </c>
      <c r="AY8" s="141">
        <v>1.740530543949431</v>
      </c>
      <c r="AZ8" s="141">
        <v>1.7540387682612992</v>
      </c>
      <c r="BA8" s="141">
        <v>1.716997563529262</v>
      </c>
      <c r="BB8" s="141">
        <v>1.5998316976036477</v>
      </c>
      <c r="BC8" s="141">
        <v>1.6954460502754483</v>
      </c>
      <c r="BD8" s="141">
        <v>1.7044580564987231</v>
      </c>
      <c r="BE8" s="141">
        <v>1.7011898588021175</v>
      </c>
      <c r="BF8" s="141">
        <v>1.6382281280272415</v>
      </c>
      <c r="BG8" s="141">
        <v>1.613775355440962</v>
      </c>
      <c r="BH8" s="141">
        <v>1.6240545221483995</v>
      </c>
      <c r="BI8" s="141">
        <v>1.6345734219204084</v>
      </c>
      <c r="BJ8" s="141">
        <v>1.6766441284969227</v>
      </c>
      <c r="BK8" s="141">
        <v>1.7162979343816356</v>
      </c>
      <c r="BL8" s="141">
        <v>1.6620644441617658</v>
      </c>
      <c r="BM8" s="141">
        <v>1.6501707486521129</v>
      </c>
      <c r="BN8" s="141">
        <v>1.6396176012994512</v>
      </c>
      <c r="BO8" s="141">
        <v>1.600399228940184</v>
      </c>
      <c r="BP8" s="141">
        <v>1.5732506825053574</v>
      </c>
      <c r="BQ8" s="141">
        <v>1.5777028679902541</v>
      </c>
      <c r="BR8" s="141">
        <v>1.5582844897599732</v>
      </c>
      <c r="BS8" s="141">
        <v>1.5313609988551524</v>
      </c>
      <c r="BT8" s="141">
        <v>1.4721811794866777</v>
      </c>
      <c r="BU8" s="141">
        <v>1.5155728641740951</v>
      </c>
      <c r="BV8" s="141">
        <v>1.4879644216562129</v>
      </c>
      <c r="BW8" s="141">
        <v>1.5626339325029108</v>
      </c>
      <c r="BX8" s="141">
        <v>1.4894321751127724</v>
      </c>
      <c r="BY8" s="141">
        <v>1.4459573177294831</v>
      </c>
      <c r="BZ8" s="141">
        <v>1.4010685245163752</v>
      </c>
      <c r="CA8" s="141">
        <v>1.4334080256759005</v>
      </c>
      <c r="CB8" s="141">
        <v>1.3849281290057438</v>
      </c>
      <c r="CC8" s="141">
        <v>1.387878313453428</v>
      </c>
      <c r="CD8" s="141">
        <v>1.4063817920291202</v>
      </c>
      <c r="CE8" s="141">
        <v>1.3649226493928395</v>
      </c>
      <c r="CF8" s="141">
        <v>1.2175748798888422</v>
      </c>
      <c r="CG8" s="141">
        <v>1.243417125747331</v>
      </c>
      <c r="CH8" s="141">
        <v>1.1276847656976232</v>
      </c>
      <c r="CI8" s="141">
        <v>1.326369658600546</v>
      </c>
      <c r="CJ8" s="141">
        <v>1.4542354472244781</v>
      </c>
      <c r="CK8" s="141">
        <v>1.4453555388122938</v>
      </c>
      <c r="CL8" s="141">
        <v>1.6329980332103682</v>
      </c>
      <c r="CM8" s="141">
        <v>1.653747174574596</v>
      </c>
      <c r="CN8" s="141">
        <v>1.628085951642416</v>
      </c>
      <c r="CO8" s="141">
        <v>1.5780893764004813</v>
      </c>
      <c r="CP8" s="141">
        <v>1.6123124944959244</v>
      </c>
      <c r="CQ8" s="141">
        <v>1.6290204213430921</v>
      </c>
      <c r="CR8" s="141">
        <v>1.5975762497920682</v>
      </c>
      <c r="CS8" s="141">
        <v>1.5826540896503811</v>
      </c>
      <c r="CT8" s="141">
        <v>1.5851835181071852</v>
      </c>
      <c r="CU8" s="141">
        <v>1.5759855964460794</v>
      </c>
      <c r="CV8" s="141">
        <v>1.5503390510484654</v>
      </c>
      <c r="CW8" s="141">
        <v>1.539140092174917</v>
      </c>
      <c r="CX8" s="141">
        <v>1.5367280839946378</v>
      </c>
      <c r="CY8" s="141">
        <v>1.5217129661340352</v>
      </c>
      <c r="CZ8" s="141">
        <v>1.5266886503517716</v>
      </c>
      <c r="DA8" s="141">
        <v>1.513292953804906</v>
      </c>
      <c r="DB8" s="141">
        <v>1.5004892511521863</v>
      </c>
      <c r="DC8" s="141">
        <v>1.478786070041195</v>
      </c>
      <c r="DD8" s="141">
        <v>1.461001790659217</v>
      </c>
      <c r="DE8" s="141">
        <v>1.4532080198048867</v>
      </c>
      <c r="DF8" s="141">
        <v>1.4442742937659618</v>
      </c>
      <c r="DG8" s="141">
        <v>1.4490591700343454</v>
      </c>
      <c r="DH8" s="141">
        <v>1.4638736949225515</v>
      </c>
      <c r="DI8" s="141">
        <v>1.4713690225740481</v>
      </c>
      <c r="DJ8" s="141">
        <v>1.4573372995293403</v>
      </c>
      <c r="DK8" s="141">
        <v>1.4317739268275977</v>
      </c>
      <c r="DL8" s="141">
        <v>1.3929518479016019</v>
      </c>
      <c r="DM8" s="141">
        <v>1.4132900182979931</v>
      </c>
      <c r="DN8" s="141">
        <v>1.4279528753290214</v>
      </c>
      <c r="DO8" s="141">
        <v>1.43450884076832</v>
      </c>
      <c r="DP8" s="141">
        <v>1.4804054913549323</v>
      </c>
      <c r="DQ8" s="141">
        <v>1.4563098721097489</v>
      </c>
      <c r="DR8" s="141">
        <v>1.4744904449249978</v>
      </c>
      <c r="DS8" s="141">
        <v>1.4630615380099219</v>
      </c>
      <c r="DT8" s="141">
        <v>1.4392594694560505</v>
      </c>
      <c r="DU8" s="141">
        <v>1.4435159544800729</v>
      </c>
      <c r="DV8" s="141">
        <v>1.412458291339276</v>
      </c>
      <c r="DW8" s="141">
        <v>1.4057849056234528</v>
      </c>
      <c r="DX8" s="141">
        <v>1.3464485258862784</v>
      </c>
      <c r="DY8" s="141">
        <v>1.3826531111480767</v>
      </c>
      <c r="DZ8" s="141">
        <v>1.3990283472117577</v>
      </c>
      <c r="EA8" s="141">
        <v>1.4097282699100757</v>
      </c>
      <c r="EB8" s="141">
        <v>1.4411577639265341</v>
      </c>
      <c r="EC8" s="141">
        <v>1.4383396772899399</v>
      </c>
      <c r="ED8" s="141">
        <v>1.4212892746362418</v>
      </c>
      <c r="EE8" s="141">
        <v>1.4224536923784454</v>
      </c>
      <c r="EF8" s="141">
        <v>1.4152763779758699</v>
      </c>
      <c r="EG8" s="141">
        <v>1.3867334657573118</v>
      </c>
      <c r="EH8" s="141">
        <v>1.37025059444015</v>
      </c>
      <c r="EI8" s="141">
        <v>1.3809015920232492</v>
      </c>
      <c r="EJ8" s="141">
        <v>1.3420501580281221</v>
      </c>
      <c r="EK8" s="141">
        <v>1.3717085628736656</v>
      </c>
      <c r="EL8" s="141">
        <v>1.3663170151765707</v>
      </c>
      <c r="EM8" s="141">
        <v>1.3579654980087477</v>
      </c>
      <c r="EN8" s="141">
        <v>1.3248334099826806</v>
      </c>
      <c r="EO8" s="141">
        <v>1.3241729209272288</v>
      </c>
      <c r="EP8" s="141">
        <v>1.3037369003004002</v>
      </c>
      <c r="EQ8" s="141">
        <v>1.3066479446559096</v>
      </c>
      <c r="ER8" s="141">
        <v>1.2702231963756276</v>
      </c>
      <c r="ES8" s="141">
        <v>1.2387545622669942</v>
      </c>
      <c r="ET8" s="141">
        <v>1.2161511590359795</v>
      </c>
      <c r="EU8" s="141">
        <v>1.1823341193968511</v>
      </c>
      <c r="EV8" s="141">
        <v>1.2720285331271954</v>
      </c>
      <c r="EW8" s="141">
        <v>1.288237423799133</v>
      </c>
      <c r="EX8" s="141">
        <v>1.3504163527305106</v>
      </c>
      <c r="EY8" s="141">
        <v>1.2879830131999961</v>
      </c>
      <c r="EZ8" s="141">
        <v>1.3387232501932542</v>
      </c>
      <c r="FA8" s="141">
        <v>1.3606123467420765</v>
      </c>
      <c r="FB8" s="141">
        <v>1.3322602424728709</v>
      </c>
      <c r="FC8" s="141">
        <v>1.3007671458066283</v>
      </c>
      <c r="FD8" s="141">
        <v>1.3541395539986498</v>
      </c>
      <c r="FE8" s="141">
        <v>1.3538215407497285</v>
      </c>
      <c r="FF8" s="141">
        <v>1.4117684472146932</v>
      </c>
      <c r="FG8" s="141">
        <v>1.4256680724483106</v>
      </c>
      <c r="FH8" s="141">
        <v>1.4333444230261163</v>
      </c>
      <c r="FI8" s="141">
        <v>1.4212648120786324</v>
      </c>
      <c r="FJ8" s="141">
        <v>1.404972748710823</v>
      </c>
      <c r="FK8" s="141">
        <v>1.4195720030920673</v>
      </c>
      <c r="FL8" s="141">
        <v>1.4064453946789044</v>
      </c>
      <c r="FM8" s="141">
        <v>1.3944293863812049</v>
      </c>
      <c r="FN8" s="141">
        <v>1.3861855044668632</v>
      </c>
      <c r="FO8" s="141">
        <v>1.3896445101128212</v>
      </c>
      <c r="FP8" s="141">
        <v>1.3791109328062467</v>
      </c>
      <c r="FQ8" s="141">
        <v>1.3707985557305986</v>
      </c>
      <c r="FR8" s="141">
        <v>1.3705441451314617</v>
      </c>
      <c r="FS8" s="141">
        <v>1.3502451148272454</v>
      </c>
      <c r="FT8" s="141">
        <v>1.3299656545691165</v>
      </c>
      <c r="FU8" s="141">
        <v>1.3478282141354443</v>
      </c>
      <c r="FV8" s="141">
        <v>1.3599518576866247</v>
      </c>
      <c r="FW8" s="141">
        <v>1.3596436294607475</v>
      </c>
      <c r="FX8" s="141">
        <v>1.3379159857921465</v>
      </c>
      <c r="FY8" s="141">
        <v>1.3314138379795883</v>
      </c>
      <c r="FZ8" s="141">
        <v>1.3273236983473096</v>
      </c>
      <c r="GA8" s="141">
        <v>1.3345401528420597</v>
      </c>
      <c r="GB8" s="141">
        <v>1.3030813037564704</v>
      </c>
      <c r="GC8" s="141">
        <v>1.3062565437341604</v>
      </c>
      <c r="GD8" s="141">
        <v>1.3063690714991634</v>
      </c>
      <c r="GE8" s="141">
        <v>1.2995978355529028</v>
      </c>
      <c r="GF8" s="141">
        <v>1.2742399483350781</v>
      </c>
      <c r="GG8" s="141">
        <v>1.2920486902746655</v>
      </c>
      <c r="GH8" s="141">
        <v>1.2663091871581358</v>
      </c>
      <c r="GI8" s="141">
        <v>1.3464240633286693</v>
      </c>
      <c r="GJ8" s="141">
        <v>1.3633325831482335</v>
      </c>
      <c r="GK8" s="141">
        <v>1.3166971633218196</v>
      </c>
      <c r="GL8" s="141">
        <v>1.3441196904018708</v>
      </c>
      <c r="GM8" s="141">
        <v>1.3367417830268988</v>
      </c>
      <c r="GN8" s="141">
        <v>1.2816178557100502</v>
      </c>
      <c r="GO8" s="141">
        <v>1.3513752849887961</v>
      </c>
      <c r="GP8" s="141">
        <v>1.4055549575819251</v>
      </c>
      <c r="GQ8" s="141">
        <v>1.3749425129896182</v>
      </c>
      <c r="GR8" s="141">
        <v>1.3631711302680116</v>
      </c>
      <c r="GS8" s="141">
        <v>1.342089298120297</v>
      </c>
      <c r="GT8" s="141">
        <v>1.3080667729972504</v>
      </c>
      <c r="GU8" s="141">
        <v>1.3128271867080248</v>
      </c>
      <c r="GV8" s="141">
        <v>1.3091431255320605</v>
      </c>
      <c r="GW8" s="141">
        <v>1.2972494300224078</v>
      </c>
      <c r="GX8" s="141">
        <v>1.2927091793301171</v>
      </c>
      <c r="GY8" s="141">
        <v>1.2732369834730961</v>
      </c>
      <c r="GZ8" s="141">
        <v>1.2617053338160611</v>
      </c>
      <c r="HA8" s="141">
        <v>1.2633932502911045</v>
      </c>
      <c r="HB8" s="141">
        <v>1.2661037016742174</v>
      </c>
      <c r="HC8" s="141">
        <v>1.2627914713739152</v>
      </c>
      <c r="HD8" s="141">
        <v>1.2599244596221024</v>
      </c>
      <c r="HE8" s="141">
        <v>1.2491413642279128</v>
      </c>
      <c r="HF8" s="141">
        <v>1.2472626398035167</v>
      </c>
      <c r="HG8" s="141">
        <v>1.2325997827724884</v>
      </c>
      <c r="HH8" s="141">
        <v>1.2242140180240124</v>
      </c>
      <c r="HI8" s="141">
        <v>1.2232404082311614</v>
      </c>
      <c r="HJ8" s="141">
        <v>1.2042574635263266</v>
      </c>
      <c r="HK8" s="141">
        <v>1.211654940947386</v>
      </c>
      <c r="HL8" s="141">
        <v>1.1952650273491394</v>
      </c>
      <c r="HM8" s="141">
        <v>1.1867031321858763</v>
      </c>
      <c r="HN8" s="141">
        <v>1.1944186228558569</v>
      </c>
      <c r="HO8" s="141">
        <v>1.2117919312699981</v>
      </c>
      <c r="HP8" s="141">
        <v>1.209477773320156</v>
      </c>
      <c r="HQ8" s="141">
        <v>1.2096930438271181</v>
      </c>
      <c r="HR8" s="141">
        <v>1.2032006810376037</v>
      </c>
      <c r="HS8" s="141">
        <v>1.1865221092595672</v>
      </c>
      <c r="HT8" s="141">
        <v>1.1856561347201973</v>
      </c>
      <c r="HU8" s="141">
        <v>1.1929410843762538</v>
      </c>
      <c r="HV8" s="141">
        <v>1.1904214409424934</v>
      </c>
      <c r="HW8" s="141">
        <v>1.189746274352476</v>
      </c>
      <c r="HX8" s="141">
        <v>1.1933178077634374</v>
      </c>
      <c r="HY8" s="141">
        <v>1.1819427184751021</v>
      </c>
      <c r="HZ8" s="141">
        <v>1.1652641466970655</v>
      </c>
      <c r="IA8" s="141">
        <v>1.1697505797626153</v>
      </c>
      <c r="IB8" s="141">
        <v>1.1738553969294596</v>
      </c>
      <c r="IC8" s="141">
        <v>1.1664725970429659</v>
      </c>
      <c r="ID8" s="141">
        <v>1.1490992886288247</v>
      </c>
      <c r="IE8" s="141">
        <v>1.1394414708846639</v>
      </c>
      <c r="IF8" s="141">
        <v>1.1524506590213019</v>
      </c>
      <c r="IG8" s="141">
        <v>1.1559634822940006</v>
      </c>
      <c r="IH8" s="141">
        <v>1.1467949157020265</v>
      </c>
      <c r="II8" s="141">
        <v>1.1635615526874565</v>
      </c>
      <c r="IJ8" s="141">
        <v>1.160797283677603</v>
      </c>
      <c r="IK8" s="141">
        <v>1.1659442057986045</v>
      </c>
      <c r="IL8" s="141">
        <v>1.1582238226171022</v>
      </c>
      <c r="IM8" s="141">
        <v>1.1503077389747252</v>
      </c>
      <c r="IN8" s="141">
        <v>1.1331545935790679</v>
      </c>
      <c r="IO8" s="141">
        <v>1.1240153820562246</v>
      </c>
      <c r="IP8" s="141">
        <v>1.1226797264107558</v>
      </c>
      <c r="IQ8" s="141">
        <v>1.1112410344726362</v>
      </c>
      <c r="IR8" s="141">
        <v>1.1128702408094171</v>
      </c>
      <c r="IS8" s="141">
        <v>1.1140150885055333</v>
      </c>
      <c r="IT8" s="141">
        <v>1.0953501570496198</v>
      </c>
      <c r="IU8" s="141">
        <v>1.1075618658081938</v>
      </c>
      <c r="IV8" s="141">
        <v>1.1047633492176874</v>
      </c>
      <c r="IW8" s="141">
        <v>1.1054776558998798</v>
      </c>
      <c r="IX8" s="141">
        <v>1.0724140630351184</v>
      </c>
      <c r="IY8" s="141">
        <v>1.0828840376919087</v>
      </c>
      <c r="IZ8" s="141">
        <v>1.0674970889556445</v>
      </c>
      <c r="JA8" s="141">
        <v>1.0589596563499906</v>
      </c>
      <c r="JB8" s="141">
        <v>1.0201767175161696</v>
      </c>
      <c r="JC8" s="141">
        <v>1.0403485425208174</v>
      </c>
      <c r="JD8" s="141">
        <v>1.0475649970155678</v>
      </c>
      <c r="JE8" s="141">
        <v>1.0435629225906826</v>
      </c>
      <c r="JF8" s="141">
        <v>1.0537197765100736</v>
      </c>
      <c r="JG8" s="141">
        <v>1.060828595751343</v>
      </c>
      <c r="JH8" s="141">
        <v>1.0590770766265154</v>
      </c>
      <c r="JI8" s="141">
        <v>1.0465864947111949</v>
      </c>
      <c r="JJ8" s="141">
        <v>1.0410334941338786</v>
      </c>
      <c r="JK8" s="141">
        <v>1.0665577267434465</v>
      </c>
      <c r="JL8" s="141">
        <v>1.0612053191385264</v>
      </c>
      <c r="JM8" s="141">
        <v>1.0684609137254517</v>
      </c>
      <c r="JN8" s="141">
        <v>1.0685489789328455</v>
      </c>
      <c r="JO8" s="141">
        <v>1.0679716625732654</v>
      </c>
      <c r="JP8" s="141">
        <v>1.0634363043924968</v>
      </c>
      <c r="JQ8" s="141">
        <v>1.0641359335401235</v>
      </c>
      <c r="JR8" s="141">
        <v>1.0576337857275653</v>
      </c>
      <c r="JS8" s="141">
        <v>1.0420560290419485</v>
      </c>
      <c r="JT8" s="141">
        <v>1.028870710490523</v>
      </c>
      <c r="JU8" s="141">
        <v>0.99680518997622236</v>
      </c>
      <c r="JV8" s="141">
        <v>1.0133467714316466</v>
      </c>
      <c r="JW8" s="141">
        <v>1.0255046625634805</v>
      </c>
      <c r="JX8" s="141">
        <v>1.027001771089171</v>
      </c>
      <c r="JY8" s="141">
        <v>1.0269675235085178</v>
      </c>
      <c r="JZ8" s="141">
        <v>1.0040999246553226</v>
      </c>
      <c r="KA8" s="141">
        <v>1.0013063005763378</v>
      </c>
      <c r="KB8" s="141">
        <v>1.0064581152088612</v>
      </c>
      <c r="KC8" s="141">
        <v>1.010450404610703</v>
      </c>
      <c r="KD8" s="141">
        <v>1.0233079248901631</v>
      </c>
      <c r="KE8" s="141">
        <v>1.01799954988894</v>
      </c>
      <c r="KF8" s="141">
        <v>1.0017906592170023</v>
      </c>
      <c r="KG8" s="141">
        <v>1.0141100032290578</v>
      </c>
      <c r="KH8" s="141">
        <v>0.99608599078250826</v>
      </c>
      <c r="KI8" s="141">
        <v>1.0027593764983316</v>
      </c>
      <c r="KJ8" s="141">
        <v>0.98935878743994443</v>
      </c>
      <c r="KK8" s="141">
        <v>0.97849741186140493</v>
      </c>
      <c r="KL8" s="141">
        <v>0.95308570701683992</v>
      </c>
      <c r="KM8" s="141">
        <v>0.93827607464015572</v>
      </c>
      <c r="KN8" s="141">
        <v>0.91234576357427322</v>
      </c>
      <c r="KO8" s="141">
        <v>0.9198166286681605</v>
      </c>
      <c r="KP8" s="141">
        <v>0.94926465551826378</v>
      </c>
      <c r="KQ8" s="141">
        <v>0.93295302210436704</v>
      </c>
      <c r="KR8" s="141">
        <v>0.91995361899077266</v>
      </c>
      <c r="KS8" s="141">
        <v>0.94035539203694818</v>
      </c>
      <c r="KT8" s="141">
        <v>1</v>
      </c>
    </row>
    <row r="9" spans="1:306" x14ac:dyDescent="0.25">
      <c r="H9" s="229"/>
      <c r="I9" s="247" t="s">
        <v>535</v>
      </c>
      <c r="J9" s="88" t="s">
        <v>535</v>
      </c>
      <c r="K9" s="141">
        <v>1.2826180099892273</v>
      </c>
      <c r="L9" s="141">
        <v>1.2693112819508374</v>
      </c>
      <c r="M9" s="141">
        <v>1.2944679757124669</v>
      </c>
      <c r="N9" s="141">
        <v>1.2775866712369013</v>
      </c>
      <c r="O9" s="141">
        <v>1.251499608265596</v>
      </c>
      <c r="P9" s="141">
        <v>1.2575592498286163</v>
      </c>
      <c r="Q9" s="141">
        <v>1.2351171530702183</v>
      </c>
      <c r="R9" s="141">
        <v>1.245008446773088</v>
      </c>
      <c r="S9" s="141">
        <v>1.2499724561747136</v>
      </c>
      <c r="T9" s="141">
        <v>1.2610971011654097</v>
      </c>
      <c r="U9" s="141">
        <v>1.2496847762217216</v>
      </c>
      <c r="V9" s="141">
        <v>1.2629455978846342</v>
      </c>
      <c r="W9" s="141">
        <v>1.2515240916658505</v>
      </c>
      <c r="X9" s="141">
        <v>1.2457643717559495</v>
      </c>
      <c r="Y9" s="141">
        <v>1.2320597884634219</v>
      </c>
      <c r="Z9" s="141">
        <v>1.229507393986877</v>
      </c>
      <c r="AA9" s="141">
        <v>1.2346519684653805</v>
      </c>
      <c r="AB9" s="141">
        <v>1.2164393791009696</v>
      </c>
      <c r="AC9" s="141">
        <v>1.2282526197238273</v>
      </c>
      <c r="AD9" s="141">
        <v>1.2342663549113699</v>
      </c>
      <c r="AE9" s="141">
        <v>1.2176941533640193</v>
      </c>
      <c r="AF9" s="141">
        <v>1.2076314758593674</v>
      </c>
      <c r="AG9" s="141">
        <v>1.1833684262070316</v>
      </c>
      <c r="AH9" s="141">
        <v>1.1742912055626284</v>
      </c>
      <c r="AI9" s="141">
        <v>1.1731710900009793</v>
      </c>
      <c r="AJ9" s="141">
        <v>1.1230352071295662</v>
      </c>
      <c r="AK9" s="141">
        <v>1.1129052002742141</v>
      </c>
      <c r="AL9" s="141">
        <v>1.1364765938693566</v>
      </c>
      <c r="AM9" s="141">
        <v>1.1310137351875429</v>
      </c>
      <c r="AN9" s="141">
        <v>1.1188210018607385</v>
      </c>
      <c r="AO9" s="141">
        <v>1.0654686122808736</v>
      </c>
      <c r="AP9" s="141">
        <v>1.1024905738909019</v>
      </c>
      <c r="AQ9" s="141">
        <v>1.101615292331799</v>
      </c>
      <c r="AR9" s="141">
        <v>1.1155402262266185</v>
      </c>
      <c r="AS9" s="141">
        <v>1.0872588385074919</v>
      </c>
      <c r="AT9" s="141">
        <v>1.0843942806777005</v>
      </c>
      <c r="AU9" s="141">
        <v>1.0851471452355304</v>
      </c>
      <c r="AV9" s="141">
        <v>1.0668151992948782</v>
      </c>
      <c r="AW9" s="141">
        <v>1.0831670502399373</v>
      </c>
      <c r="AX9" s="141">
        <v>1.0796536823033982</v>
      </c>
      <c r="AY9" s="141">
        <v>1.0612329840368231</v>
      </c>
      <c r="AZ9" s="141">
        <v>1.0503592938987367</v>
      </c>
      <c r="BA9" s="141">
        <v>0.98057548232298508</v>
      </c>
      <c r="BB9" s="141">
        <v>0.90533799334051512</v>
      </c>
      <c r="BC9" s="141">
        <v>0.97898712173146607</v>
      </c>
      <c r="BD9" s="141">
        <v>0.99325176280481831</v>
      </c>
      <c r="BE9" s="141">
        <v>1.0017138380178239</v>
      </c>
      <c r="BF9" s="141">
        <v>0.97656020468122606</v>
      </c>
      <c r="BG9" s="141">
        <v>0.96007369503476647</v>
      </c>
      <c r="BH9" s="141">
        <v>1.0049487072764667</v>
      </c>
      <c r="BI9" s="141">
        <v>1.0147787924786995</v>
      </c>
      <c r="BJ9" s="141">
        <v>0.99787912545294299</v>
      </c>
      <c r="BK9" s="141">
        <v>1.01469616100284</v>
      </c>
      <c r="BL9" s="141">
        <v>0.99762204975026936</v>
      </c>
      <c r="BM9" s="141">
        <v>1.0114857751444521</v>
      </c>
      <c r="BN9" s="141">
        <v>0.99544914797767114</v>
      </c>
      <c r="BO9" s="141">
        <v>0.97147683870335921</v>
      </c>
      <c r="BP9" s="141">
        <v>1.0132730633630398</v>
      </c>
      <c r="BQ9" s="141">
        <v>1.0300166487121731</v>
      </c>
      <c r="BR9" s="141">
        <v>1.0087834198413475</v>
      </c>
      <c r="BS9" s="141">
        <v>1.0082203016354911</v>
      </c>
      <c r="BT9" s="141">
        <v>0.98061220742336697</v>
      </c>
      <c r="BU9" s="141">
        <v>1.0004835471550289</v>
      </c>
      <c r="BV9" s="141">
        <v>0.96517848398785622</v>
      </c>
      <c r="BW9" s="141">
        <v>1.0357365830966605</v>
      </c>
      <c r="BX9" s="141">
        <v>0.93349084320830467</v>
      </c>
      <c r="BY9" s="141">
        <v>0.88919731172265204</v>
      </c>
      <c r="BZ9" s="141">
        <v>0.8479519635687004</v>
      </c>
      <c r="CA9" s="141">
        <v>0.89000526393105484</v>
      </c>
      <c r="CB9" s="141">
        <v>0.8960710263441386</v>
      </c>
      <c r="CC9" s="141">
        <v>0.85969481441582607</v>
      </c>
      <c r="CD9" s="141">
        <v>0.88394256194300269</v>
      </c>
      <c r="CE9" s="141">
        <v>0.88531669278229363</v>
      </c>
      <c r="CF9" s="141">
        <v>0.81498812555087641</v>
      </c>
      <c r="CG9" s="141">
        <v>0.835082876309862</v>
      </c>
      <c r="CH9" s="141">
        <v>0.77994931936147294</v>
      </c>
      <c r="CI9" s="141">
        <v>0.79143203408089313</v>
      </c>
      <c r="CJ9" s="141">
        <v>0.98915079326216826</v>
      </c>
      <c r="CK9" s="141">
        <v>1.0189654539222406</v>
      </c>
      <c r="CL9" s="141">
        <v>1.1630778082460091</v>
      </c>
      <c r="CM9" s="141">
        <v>1.1755000734502008</v>
      </c>
      <c r="CN9" s="141">
        <v>1.1624993879149936</v>
      </c>
      <c r="CO9" s="141">
        <v>1.1142732102634414</v>
      </c>
      <c r="CP9" s="141">
        <v>1.1565835863284692</v>
      </c>
      <c r="CQ9" s="141">
        <v>1.1654894231710902</v>
      </c>
      <c r="CR9" s="141">
        <v>1.1597541866614436</v>
      </c>
      <c r="CS9" s="141">
        <v>1.1548116002350406</v>
      </c>
      <c r="CT9" s="141">
        <v>1.157535378513368</v>
      </c>
      <c r="CU9" s="141">
        <v>1.1557878758201938</v>
      </c>
      <c r="CV9" s="141">
        <v>1.1418660023504066</v>
      </c>
      <c r="CW9" s="141">
        <v>1.1300129762021349</v>
      </c>
      <c r="CX9" s="141">
        <v>1.13345289393791</v>
      </c>
      <c r="CY9" s="141">
        <v>1.1284766428361572</v>
      </c>
      <c r="CZ9" s="141">
        <v>1.1359104152384685</v>
      </c>
      <c r="DA9" s="141">
        <v>1.1322501469004016</v>
      </c>
      <c r="DB9" s="141">
        <v>1.1090184604837918</v>
      </c>
      <c r="DC9" s="141">
        <v>1.1093061404367839</v>
      </c>
      <c r="DD9" s="141">
        <v>1.0954515963176965</v>
      </c>
      <c r="DE9" s="141">
        <v>1.0925472529624916</v>
      </c>
      <c r="DF9" s="141">
        <v>1.0548397561453335</v>
      </c>
      <c r="DG9" s="141">
        <v>1.0851899911859759</v>
      </c>
      <c r="DH9" s="141">
        <v>1.0929971354421701</v>
      </c>
      <c r="DI9" s="141">
        <v>1.0864845509744394</v>
      </c>
      <c r="DJ9" s="141">
        <v>1.0696766966996376</v>
      </c>
      <c r="DK9" s="141">
        <v>1.0487342082068358</v>
      </c>
      <c r="DL9" s="141">
        <v>1.020422216237391</v>
      </c>
      <c r="DM9" s="141">
        <v>1.0188399764959357</v>
      </c>
      <c r="DN9" s="141">
        <v>1.0202661345607678</v>
      </c>
      <c r="DO9" s="141">
        <v>1.0332362158456567</v>
      </c>
      <c r="DP9" s="141">
        <v>1.0786376211928312</v>
      </c>
      <c r="DQ9" s="141">
        <v>1.0650829987268631</v>
      </c>
      <c r="DR9" s="141">
        <v>1.0704234404074038</v>
      </c>
      <c r="DS9" s="141">
        <v>1.079711830379003</v>
      </c>
      <c r="DT9" s="141">
        <v>1.0630967828812066</v>
      </c>
      <c r="DU9" s="141">
        <v>1.0610248751346587</v>
      </c>
      <c r="DV9" s="141">
        <v>1.0341757663304281</v>
      </c>
      <c r="DW9" s="141">
        <v>1.03392787190285</v>
      </c>
      <c r="DX9" s="141">
        <v>1.0039510087160906</v>
      </c>
      <c r="DY9" s="141">
        <v>1.0254566154147486</v>
      </c>
      <c r="DZ9" s="141">
        <v>1.0483914406032711</v>
      </c>
      <c r="EA9" s="141">
        <v>1.0286241553226914</v>
      </c>
      <c r="EB9" s="141">
        <v>1.0719077465478406</v>
      </c>
      <c r="EC9" s="141">
        <v>1.0712742385662521</v>
      </c>
      <c r="ED9" s="141">
        <v>1.0709131084124963</v>
      </c>
      <c r="EE9" s="141">
        <v>1.0551825237488983</v>
      </c>
      <c r="EF9" s="141">
        <v>1.0550723484477524</v>
      </c>
      <c r="EG9" s="141">
        <v>1.0257657183429636</v>
      </c>
      <c r="EH9" s="141">
        <v>1.0116938840466163</v>
      </c>
      <c r="EI9" s="141">
        <v>1.0362843991773578</v>
      </c>
      <c r="EJ9" s="141">
        <v>1.0049211634511801</v>
      </c>
      <c r="EK9" s="141">
        <v>1.0136433747918911</v>
      </c>
      <c r="EL9" s="141">
        <v>1.000927308784644</v>
      </c>
      <c r="EM9" s="141">
        <v>0.99196026344138677</v>
      </c>
      <c r="EN9" s="141">
        <v>0.95963299383018308</v>
      </c>
      <c r="EO9" s="141">
        <v>0.97049750269317403</v>
      </c>
      <c r="EP9" s="141">
        <v>0.96808588776809312</v>
      </c>
      <c r="EQ9" s="141">
        <v>0.95941876407795512</v>
      </c>
      <c r="ER9" s="141">
        <v>0.93956272647145234</v>
      </c>
      <c r="ES9" s="141">
        <v>0.93093538830672806</v>
      </c>
      <c r="ET9" s="141">
        <v>0.91400511703065324</v>
      </c>
      <c r="EU9" s="141">
        <v>0.91831419547546767</v>
      </c>
      <c r="EV9" s="141">
        <v>0.94646704534325721</v>
      </c>
      <c r="EW9" s="141">
        <v>0.93604017725981792</v>
      </c>
      <c r="EX9" s="141">
        <v>0.97111264812457154</v>
      </c>
      <c r="EY9" s="141">
        <v>0.96011960141024388</v>
      </c>
      <c r="EZ9" s="141">
        <v>0.97344163157379293</v>
      </c>
      <c r="FA9" s="141">
        <v>0.98836120360395641</v>
      </c>
      <c r="FB9" s="141">
        <v>0.9837460826559592</v>
      </c>
      <c r="FC9" s="141">
        <v>0.9594095828028596</v>
      </c>
      <c r="FD9" s="141">
        <v>0.98264739006953294</v>
      </c>
      <c r="FE9" s="141">
        <v>0.97762523259230238</v>
      </c>
      <c r="FF9" s="141">
        <v>1.0238682548232299</v>
      </c>
      <c r="FG9" s="141">
        <v>1.0402996768191166</v>
      </c>
      <c r="FH9" s="141">
        <v>1.0499736803447262</v>
      </c>
      <c r="FI9" s="141">
        <v>1.0235989374204291</v>
      </c>
      <c r="FJ9" s="141">
        <v>1.0079081382822448</v>
      </c>
      <c r="FK9" s="141">
        <v>1.0383716090490647</v>
      </c>
      <c r="FL9" s="141">
        <v>1.0489423171090002</v>
      </c>
      <c r="FM9" s="141">
        <v>1.0322630006855353</v>
      </c>
      <c r="FN9" s="141">
        <v>1.0485873078053081</v>
      </c>
      <c r="FO9" s="141">
        <v>1.0657624130839292</v>
      </c>
      <c r="FP9" s="141">
        <v>1.0794669963764567</v>
      </c>
      <c r="FQ9" s="141">
        <v>1.058916242287729</v>
      </c>
      <c r="FR9" s="141">
        <v>1.0572360689452551</v>
      </c>
      <c r="FS9" s="141">
        <v>1.0553845118009988</v>
      </c>
      <c r="FT9" s="141">
        <v>1.0391979238076583</v>
      </c>
      <c r="FU9" s="141">
        <v>1.053275878954069</v>
      </c>
      <c r="FV9" s="141">
        <v>1.072685094505925</v>
      </c>
      <c r="FW9" s="141">
        <v>1.0550203212222113</v>
      </c>
      <c r="FX9" s="141">
        <v>1.0569300264420722</v>
      </c>
      <c r="FY9" s="141">
        <v>1.0758495739888356</v>
      </c>
      <c r="FZ9" s="141">
        <v>1.0937224561747136</v>
      </c>
      <c r="GA9" s="141">
        <v>1.091200665948487</v>
      </c>
      <c r="GB9" s="141">
        <v>1.0866314513759672</v>
      </c>
      <c r="GC9" s="141">
        <v>1.076896239349721</v>
      </c>
      <c r="GD9" s="141">
        <v>1.0693737146214866</v>
      </c>
      <c r="GE9" s="141">
        <v>1.0552345509744394</v>
      </c>
      <c r="GF9" s="141">
        <v>1.043023455097444</v>
      </c>
      <c r="GG9" s="141">
        <v>1.0287618744491236</v>
      </c>
      <c r="GH9" s="141">
        <v>1.0093495984722358</v>
      </c>
      <c r="GI9" s="141">
        <v>1.0519905004407013</v>
      </c>
      <c r="GJ9" s="141">
        <v>1.0468306238370384</v>
      </c>
      <c r="GK9" s="141">
        <v>1.017514812457154</v>
      </c>
      <c r="GL9" s="141">
        <v>1.0532330330036235</v>
      </c>
      <c r="GM9" s="141">
        <v>1.0487464499069632</v>
      </c>
      <c r="GN9" s="141">
        <v>1.0178943051611007</v>
      </c>
      <c r="GO9" s="141">
        <v>1.0782734306140438</v>
      </c>
      <c r="GP9" s="141">
        <v>1.1162624865341297</v>
      </c>
      <c r="GQ9" s="141">
        <v>1.1167705170894133</v>
      </c>
      <c r="GR9" s="141">
        <v>1.105612207423367</v>
      </c>
      <c r="GS9" s="141">
        <v>1.1040881157575164</v>
      </c>
      <c r="GT9" s="141">
        <v>1.0723606894525513</v>
      </c>
      <c r="GU9" s="141">
        <v>1.087488370384879</v>
      </c>
      <c r="GV9" s="141">
        <v>1.0896735138576046</v>
      </c>
      <c r="GW9" s="141">
        <v>1.0991363480560179</v>
      </c>
      <c r="GX9" s="141">
        <v>1.0795802321026344</v>
      </c>
      <c r="GY9" s="141">
        <v>1.0960085936734894</v>
      </c>
      <c r="GZ9" s="141">
        <v>1.0856735383410048</v>
      </c>
      <c r="HA9" s="141">
        <v>1.0998433062383706</v>
      </c>
      <c r="HB9" s="141">
        <v>1.1292845950445598</v>
      </c>
      <c r="HC9" s="141">
        <v>1.1177376113994713</v>
      </c>
      <c r="HD9" s="141">
        <v>1.103310767799432</v>
      </c>
      <c r="HE9" s="141">
        <v>1.1031455048477132</v>
      </c>
      <c r="HF9" s="141">
        <v>1.1027690725687984</v>
      </c>
      <c r="HG9" s="141">
        <v>1.1001768925668396</v>
      </c>
      <c r="HH9" s="141">
        <v>1.0838250416217805</v>
      </c>
      <c r="HI9" s="141">
        <v>1.0759077220644404</v>
      </c>
      <c r="HJ9" s="141">
        <v>1.0551396777984527</v>
      </c>
      <c r="HK9" s="141">
        <v>1.053973655861326</v>
      </c>
      <c r="HL9" s="141">
        <v>1.0523424493193616</v>
      </c>
      <c r="HM9" s="141">
        <v>1.0546316472431692</v>
      </c>
      <c r="HN9" s="141">
        <v>1.0424848202918422</v>
      </c>
      <c r="HO9" s="141">
        <v>1.0734165360885319</v>
      </c>
      <c r="HP9" s="141">
        <v>1.0612727695622368</v>
      </c>
      <c r="HQ9" s="141">
        <v>1.0563699686612478</v>
      </c>
      <c r="HR9" s="141">
        <v>1.0790875036725101</v>
      </c>
      <c r="HS9" s="141">
        <v>1.0600822642248555</v>
      </c>
      <c r="HT9" s="141">
        <v>1.0533615708549604</v>
      </c>
      <c r="HU9" s="141">
        <v>1.0845166976789735</v>
      </c>
      <c r="HV9" s="141">
        <v>1.0845779061796104</v>
      </c>
      <c r="HW9" s="141">
        <v>1.0974898393888943</v>
      </c>
      <c r="HX9" s="141">
        <v>1.0992495837821958</v>
      </c>
      <c r="HY9" s="141">
        <v>1.0953322397414553</v>
      </c>
      <c r="HZ9" s="141">
        <v>1.0977775193418862</v>
      </c>
      <c r="IA9" s="141">
        <v>1.1132357261776515</v>
      </c>
      <c r="IB9" s="141">
        <v>1.1197452502203507</v>
      </c>
      <c r="IC9" s="141">
        <v>1.0893858339046127</v>
      </c>
      <c r="ID9" s="141">
        <v>1.052868842424836</v>
      </c>
      <c r="IE9" s="141">
        <v>1.0553141220252669</v>
      </c>
      <c r="IF9" s="141">
        <v>1.0698633826265793</v>
      </c>
      <c r="IG9" s="141">
        <v>1.0714333806679071</v>
      </c>
      <c r="IH9" s="141">
        <v>1.0540562873371855</v>
      </c>
      <c r="II9" s="141">
        <v>1.0553600284007443</v>
      </c>
      <c r="IJ9" s="141">
        <v>1.0455238223484478</v>
      </c>
      <c r="IK9" s="141">
        <v>1.0415819949074527</v>
      </c>
      <c r="IL9" s="141">
        <v>1.0111919743413966</v>
      </c>
      <c r="IM9" s="141">
        <v>1.0126364949564195</v>
      </c>
      <c r="IN9" s="141">
        <v>1.0010130006855351</v>
      </c>
      <c r="IO9" s="141">
        <v>1.001710777592792</v>
      </c>
      <c r="IP9" s="141">
        <v>1.0109593820389775</v>
      </c>
      <c r="IQ9" s="141">
        <v>1.0097688767015964</v>
      </c>
      <c r="IR9" s="141">
        <v>1.0173893350308492</v>
      </c>
      <c r="IS9" s="141">
        <v>1.0164191802957594</v>
      </c>
      <c r="IT9" s="141">
        <v>1.0070389775732054</v>
      </c>
      <c r="IU9" s="141">
        <v>1.0019739741455294</v>
      </c>
      <c r="IV9" s="141">
        <v>0.99746596807364596</v>
      </c>
      <c r="IW9" s="141">
        <v>0.97858314562726467</v>
      </c>
      <c r="IX9" s="141">
        <v>0.92275793262168249</v>
      </c>
      <c r="IY9" s="141">
        <v>0.93293384585251204</v>
      </c>
      <c r="IZ9" s="141">
        <v>0.92450237488982467</v>
      </c>
      <c r="JA9" s="141">
        <v>0.92731490549407503</v>
      </c>
      <c r="JB9" s="141">
        <v>0.90421175692880229</v>
      </c>
      <c r="JC9" s="141">
        <v>0.94237831750073442</v>
      </c>
      <c r="JD9" s="141">
        <v>0.94189170992067384</v>
      </c>
      <c r="JE9" s="141">
        <v>0.92583672020370189</v>
      </c>
      <c r="JF9" s="141">
        <v>0.91830195377534041</v>
      </c>
      <c r="JG9" s="141">
        <v>0.91881304475565562</v>
      </c>
      <c r="JH9" s="141">
        <v>0.92801574282636368</v>
      </c>
      <c r="JI9" s="141">
        <v>0.89831125746743712</v>
      </c>
      <c r="JJ9" s="141">
        <v>0.93440897071785323</v>
      </c>
      <c r="JK9" s="141">
        <v>0.94253133875232586</v>
      </c>
      <c r="JL9" s="141">
        <v>0.9212981098815004</v>
      </c>
      <c r="JM9" s="141">
        <v>0.90839535794731163</v>
      </c>
      <c r="JN9" s="141">
        <v>0.93188105964156309</v>
      </c>
      <c r="JO9" s="141">
        <v>0.91008165213984915</v>
      </c>
      <c r="JP9" s="141">
        <v>0.91529967681911673</v>
      </c>
      <c r="JQ9" s="141">
        <v>0.90962870923513861</v>
      </c>
      <c r="JR9" s="141">
        <v>0.90547265204191563</v>
      </c>
      <c r="JS9" s="141">
        <v>0.86855168445793762</v>
      </c>
      <c r="JT9" s="141">
        <v>0.88233889922632458</v>
      </c>
      <c r="JU9" s="141">
        <v>0.84960153266085603</v>
      </c>
      <c r="JV9" s="141">
        <v>0.87196711879345812</v>
      </c>
      <c r="JW9" s="141">
        <v>0.89092339144060329</v>
      </c>
      <c r="JX9" s="141">
        <v>0.91737770541572816</v>
      </c>
      <c r="JY9" s="141">
        <v>0.94214572519831552</v>
      </c>
      <c r="JZ9" s="141">
        <v>0.90654686122808736</v>
      </c>
      <c r="KA9" s="141">
        <v>0.90485444618548627</v>
      </c>
      <c r="KB9" s="141">
        <v>0.89879786504749781</v>
      </c>
      <c r="KC9" s="141">
        <v>0.92676096856331414</v>
      </c>
      <c r="KD9" s="141">
        <v>0.96131622759768875</v>
      </c>
      <c r="KE9" s="141">
        <v>0.9347578591714818</v>
      </c>
      <c r="KF9" s="141">
        <v>0.89118964841837234</v>
      </c>
      <c r="KG9" s="141">
        <v>0.90382920379982379</v>
      </c>
      <c r="KH9" s="141">
        <v>0.91406632553128975</v>
      </c>
      <c r="KI9" s="141">
        <v>0.93641966996376458</v>
      </c>
      <c r="KJ9" s="141">
        <v>0.94071344628341991</v>
      </c>
      <c r="KK9" s="141">
        <v>0.92955819704240528</v>
      </c>
      <c r="KL9" s="141">
        <v>0.89644745862305353</v>
      </c>
      <c r="KM9" s="141">
        <v>0.87866332876309872</v>
      </c>
      <c r="KN9" s="141">
        <v>0.84350210557242189</v>
      </c>
      <c r="KO9" s="141">
        <v>0.88121572323964348</v>
      </c>
      <c r="KP9" s="141">
        <v>0.9319269660170405</v>
      </c>
      <c r="KQ9" s="141">
        <v>0.9252307560473999</v>
      </c>
      <c r="KR9" s="141">
        <v>0.90358436979727741</v>
      </c>
      <c r="KS9" s="141">
        <v>0.92837075213005582</v>
      </c>
      <c r="KT9" s="141">
        <v>1</v>
      </c>
    </row>
    <row r="10" spans="1:306" x14ac:dyDescent="0.25">
      <c r="I10" s="247" t="s">
        <v>536</v>
      </c>
      <c r="J10" s="88" t="s">
        <v>536</v>
      </c>
      <c r="K10" s="141">
        <v>1.4755408400438983</v>
      </c>
      <c r="L10" s="141">
        <v>1.471472147936193</v>
      </c>
      <c r="M10" s="141">
        <v>1.487240540593372</v>
      </c>
      <c r="N10" s="141">
        <v>1.4671353745365592</v>
      </c>
      <c r="O10" s="141">
        <v>1.4469306088330922</v>
      </c>
      <c r="P10" s="141">
        <v>1.4585567731948494</v>
      </c>
      <c r="Q10" s="141">
        <v>1.4465508270028604</v>
      </c>
      <c r="R10" s="141">
        <v>1.4602918548898307</v>
      </c>
      <c r="S10" s="141">
        <v>1.4567695645819934</v>
      </c>
      <c r="T10" s="141">
        <v>1.45284887568754</v>
      </c>
      <c r="U10" s="141">
        <v>1.4379619864451398</v>
      </c>
      <c r="V10" s="141">
        <v>1.4607889222852812</v>
      </c>
      <c r="W10" s="141">
        <v>1.460754481285971</v>
      </c>
      <c r="X10" s="141">
        <v>1.444658433716435</v>
      </c>
      <c r="Y10" s="141">
        <v>1.4369818142215263</v>
      </c>
      <c r="Z10" s="141">
        <v>1.4350391556928643</v>
      </c>
      <c r="AA10" s="141">
        <v>1.4334576622380506</v>
      </c>
      <c r="AB10" s="141">
        <v>1.4089077455945773</v>
      </c>
      <c r="AC10" s="141">
        <v>1.422284815894242</v>
      </c>
      <c r="AD10" s="141">
        <v>1.439051997531418</v>
      </c>
      <c r="AE10" s="141">
        <v>1.4180532271681772</v>
      </c>
      <c r="AF10" s="141">
        <v>1.4062325177022081</v>
      </c>
      <c r="AG10" s="141">
        <v>1.3728871145051527</v>
      </c>
      <c r="AH10" s="141">
        <v>1.36097797544636</v>
      </c>
      <c r="AI10" s="141">
        <v>1.3499373080728772</v>
      </c>
      <c r="AJ10" s="141">
        <v>1.2957904721302502</v>
      </c>
      <c r="AK10" s="141">
        <v>1.2832800118402572</v>
      </c>
      <c r="AL10" s="141">
        <v>1.3025427696706975</v>
      </c>
      <c r="AM10" s="141">
        <v>1.3078168967542616</v>
      </c>
      <c r="AN10" s="141">
        <v>1.3084526589847723</v>
      </c>
      <c r="AO10" s="141">
        <v>1.2503823416342348</v>
      </c>
      <c r="AP10" s="141">
        <v>1.2914415978389668</v>
      </c>
      <c r="AQ10" s="141">
        <v>1.2834140524862212</v>
      </c>
      <c r="AR10" s="141">
        <v>1.3077833865927706</v>
      </c>
      <c r="AS10" s="141">
        <v>1.2769959257228654</v>
      </c>
      <c r="AT10" s="141">
        <v>1.264750754211343</v>
      </c>
      <c r="AU10" s="141">
        <v>1.2687794202928229</v>
      </c>
      <c r="AV10" s="141">
        <v>1.2207286412281102</v>
      </c>
      <c r="AW10" s="141">
        <v>1.2379174923973819</v>
      </c>
      <c r="AX10" s="141">
        <v>1.2413355288694696</v>
      </c>
      <c r="AY10" s="141">
        <v>1.2228649140231649</v>
      </c>
      <c r="AZ10" s="141">
        <v>1.2172305527035718</v>
      </c>
      <c r="BA10" s="141">
        <v>1.1616874600321512</v>
      </c>
      <c r="BB10" s="141">
        <v>1.0757208640781308</v>
      </c>
      <c r="BC10" s="141">
        <v>1.1771142352096851</v>
      </c>
      <c r="BD10" s="141">
        <v>1.2016176099621987</v>
      </c>
      <c r="BE10" s="141">
        <v>1.2148578471024414</v>
      </c>
      <c r="BF10" s="141">
        <v>1.1811438321289844</v>
      </c>
      <c r="BG10" s="141">
        <v>1.1606802935117813</v>
      </c>
      <c r="BH10" s="141">
        <v>1.2209101546028533</v>
      </c>
      <c r="BI10" s="141">
        <v>1.2289702792792709</v>
      </c>
      <c r="BJ10" s="141">
        <v>1.1954433627074721</v>
      </c>
      <c r="BK10" s="141">
        <v>1.2131795465144313</v>
      </c>
      <c r="BL10" s="141">
        <v>1.1881958594472126</v>
      </c>
      <c r="BM10" s="141">
        <v>1.2009055190305138</v>
      </c>
      <c r="BN10" s="141">
        <v>1.1798257657770028</v>
      </c>
      <c r="BO10" s="141">
        <v>1.146174116937432</v>
      </c>
      <c r="BP10" s="141">
        <v>1.1950151773106419</v>
      </c>
      <c r="BQ10" s="141">
        <v>1.2026061597261848</v>
      </c>
      <c r="BR10" s="141">
        <v>1.1759935064753733</v>
      </c>
      <c r="BS10" s="141">
        <v>1.1661703749693988</v>
      </c>
      <c r="BT10" s="141">
        <v>1.1253261423009007</v>
      </c>
      <c r="BU10" s="141">
        <v>1.1477937747428328</v>
      </c>
      <c r="BV10" s="141">
        <v>1.1122841736161466</v>
      </c>
      <c r="BW10" s="141">
        <v>1.1959106432927085</v>
      </c>
      <c r="BX10" s="141">
        <v>1.0785478185350288</v>
      </c>
      <c r="BY10" s="141">
        <v>1.0307977000859163</v>
      </c>
      <c r="BZ10" s="141">
        <v>0.97413760203146049</v>
      </c>
      <c r="CA10" s="141">
        <v>1.0150302382665566</v>
      </c>
      <c r="CB10" s="141">
        <v>1.0110425290491212</v>
      </c>
      <c r="CC10" s="141">
        <v>0.96212234746127945</v>
      </c>
      <c r="CD10" s="141">
        <v>0.9890877882455662</v>
      </c>
      <c r="CE10" s="141">
        <v>0.98340595419719423</v>
      </c>
      <c r="CF10" s="141">
        <v>0.88669469729619543</v>
      </c>
      <c r="CG10" s="141">
        <v>0.89663139101611189</v>
      </c>
      <c r="CH10" s="141">
        <v>0.83114043457094433</v>
      </c>
      <c r="CI10" s="141">
        <v>0.85935692138423025</v>
      </c>
      <c r="CJ10" s="141">
        <v>1.0743609100242857</v>
      </c>
      <c r="CK10" s="141">
        <v>1.1067987463476252</v>
      </c>
      <c r="CL10" s="141">
        <v>1.2640153923341781</v>
      </c>
      <c r="CM10" s="141">
        <v>1.2793630462970804</v>
      </c>
      <c r="CN10" s="141">
        <v>1.2579165429428065</v>
      </c>
      <c r="CO10" s="141">
        <v>1.2084108643666904</v>
      </c>
      <c r="CP10" s="141">
        <v>1.2637687203120913</v>
      </c>
      <c r="CQ10" s="141">
        <v>1.2590633351360558</v>
      </c>
      <c r="CR10" s="141">
        <v>1.255077487594259</v>
      </c>
      <c r="CS10" s="141">
        <v>1.2304875449245603</v>
      </c>
      <c r="CT10" s="141">
        <v>1.2414686386776146</v>
      </c>
      <c r="CU10" s="141">
        <v>1.2397735830088588</v>
      </c>
      <c r="CV10" s="141">
        <v>1.2364058117790078</v>
      </c>
      <c r="CW10" s="141">
        <v>1.2255950613468665</v>
      </c>
      <c r="CX10" s="141">
        <v>1.2320923093248539</v>
      </c>
      <c r="CY10" s="141">
        <v>1.2253437351356835</v>
      </c>
      <c r="CZ10" s="141">
        <v>1.2325921692337622</v>
      </c>
      <c r="DA10" s="141">
        <v>1.2313643941502428</v>
      </c>
      <c r="DB10" s="141">
        <v>1.2064635516489326</v>
      </c>
      <c r="DC10" s="141">
        <v>1.2002697568000029</v>
      </c>
      <c r="DD10" s="141">
        <v>1.1759832672593622</v>
      </c>
      <c r="DE10" s="141">
        <v>1.1646317000542679</v>
      </c>
      <c r="DF10" s="141">
        <v>1.1181977862814982</v>
      </c>
      <c r="DG10" s="141">
        <v>1.152464718919558</v>
      </c>
      <c r="DH10" s="141">
        <v>1.1605695238112967</v>
      </c>
      <c r="DI10" s="141">
        <v>1.1606179273778952</v>
      </c>
      <c r="DJ10" s="141">
        <v>1.1348523365425518</v>
      </c>
      <c r="DK10" s="141">
        <v>1.1113533357969507</v>
      </c>
      <c r="DL10" s="141">
        <v>1.080843264597166</v>
      </c>
      <c r="DM10" s="141">
        <v>1.0763035685529474</v>
      </c>
      <c r="DN10" s="141">
        <v>1.0885031290113292</v>
      </c>
      <c r="DO10" s="141">
        <v>1.1051316158134452</v>
      </c>
      <c r="DP10" s="141">
        <v>1.1560912630631452</v>
      </c>
      <c r="DQ10" s="141">
        <v>1.1412136821989367</v>
      </c>
      <c r="DR10" s="141">
        <v>1.147101231405351</v>
      </c>
      <c r="DS10" s="141">
        <v>1.1699263055698543</v>
      </c>
      <c r="DT10" s="141">
        <v>1.1541271952646417</v>
      </c>
      <c r="DU10" s="141">
        <v>1.1486464221852162</v>
      </c>
      <c r="DV10" s="141">
        <v>1.125978659612157</v>
      </c>
      <c r="DW10" s="141">
        <v>1.1212295250586195</v>
      </c>
      <c r="DX10" s="141">
        <v>1.0915786171659525</v>
      </c>
      <c r="DY10" s="141">
        <v>1.1180330279875008</v>
      </c>
      <c r="DZ10" s="141">
        <v>1.1392468218869758</v>
      </c>
      <c r="EA10" s="141">
        <v>1.1225745857073577</v>
      </c>
      <c r="EB10" s="141">
        <v>1.1554257140224202</v>
      </c>
      <c r="EC10" s="141">
        <v>1.1463435294205255</v>
      </c>
      <c r="ED10" s="141">
        <v>1.1377062852962065</v>
      </c>
      <c r="EE10" s="141">
        <v>1.1169988671703741</v>
      </c>
      <c r="EF10" s="141">
        <v>1.1179129499088245</v>
      </c>
      <c r="EG10" s="141">
        <v>1.0728873937564984</v>
      </c>
      <c r="EH10" s="141">
        <v>1.057819921977174</v>
      </c>
      <c r="EI10" s="141">
        <v>1.0877482195399613</v>
      </c>
      <c r="EJ10" s="141">
        <v>1.0665390798295822</v>
      </c>
      <c r="EK10" s="141">
        <v>1.0799282510208963</v>
      </c>
      <c r="EL10" s="141">
        <v>1.0665260481001135</v>
      </c>
      <c r="EM10" s="141">
        <v>1.0518281189350098</v>
      </c>
      <c r="EN10" s="141">
        <v>1.0152443309649717</v>
      </c>
      <c r="EO10" s="141">
        <v>1.0407381171571095</v>
      </c>
      <c r="EP10" s="141">
        <v>1.050151680022638</v>
      </c>
      <c r="EQ10" s="141">
        <v>1.043054041651269</v>
      </c>
      <c r="ER10" s="141">
        <v>1.013445952298285</v>
      </c>
      <c r="ES10" s="141">
        <v>1.0022973077377755</v>
      </c>
      <c r="ET10" s="141">
        <v>0.98286792993769889</v>
      </c>
      <c r="EU10" s="141">
        <v>0.98983618185219968</v>
      </c>
      <c r="EV10" s="141">
        <v>1.0114269650684491</v>
      </c>
      <c r="EW10" s="141">
        <v>1.0041962168889351</v>
      </c>
      <c r="EX10" s="141">
        <v>1.0478664731765119</v>
      </c>
      <c r="EY10" s="141">
        <v>1.0418579150536023</v>
      </c>
      <c r="EZ10" s="141">
        <v>1.055663170750097</v>
      </c>
      <c r="FA10" s="141">
        <v>1.0731778151560876</v>
      </c>
      <c r="FB10" s="141">
        <v>1.0722311530939652</v>
      </c>
      <c r="FC10" s="141">
        <v>1.0425960694442247</v>
      </c>
      <c r="FD10" s="141">
        <v>1.0754741920560438</v>
      </c>
      <c r="FE10" s="141">
        <v>1.0726798169228176</v>
      </c>
      <c r="FF10" s="141">
        <v>1.1274214582319106</v>
      </c>
      <c r="FG10" s="141">
        <v>1.1399719445481293</v>
      </c>
      <c r="FH10" s="141">
        <v>1.1571133229886224</v>
      </c>
      <c r="FI10" s="141">
        <v>1.1285784896411712</v>
      </c>
      <c r="FJ10" s="141">
        <v>1.1132475907590145</v>
      </c>
      <c r="FK10" s="141">
        <v>1.1508934646807552</v>
      </c>
      <c r="FL10" s="141">
        <v>1.1537287966780261</v>
      </c>
      <c r="FM10" s="141">
        <v>1.1366041733182786</v>
      </c>
      <c r="FN10" s="141">
        <v>1.1565054858926875</v>
      </c>
      <c r="FO10" s="141">
        <v>1.1743226525899166</v>
      </c>
      <c r="FP10" s="141">
        <v>1.1970946689987256</v>
      </c>
      <c r="FQ10" s="141">
        <v>1.1692644798804059</v>
      </c>
      <c r="FR10" s="141">
        <v>1.1673385764324895</v>
      </c>
      <c r="FS10" s="141">
        <v>1.1631907631101526</v>
      </c>
      <c r="FT10" s="141">
        <v>1.1454890203025037</v>
      </c>
      <c r="FU10" s="141">
        <v>1.1709679130895345</v>
      </c>
      <c r="FV10" s="141">
        <v>1.2110711988539524</v>
      </c>
      <c r="FW10" s="141">
        <v>1.188358756065572</v>
      </c>
      <c r="FX10" s="141">
        <v>1.1844231737660116</v>
      </c>
      <c r="FY10" s="141">
        <v>1.2043189013135052</v>
      </c>
      <c r="FZ10" s="141">
        <v>1.2173236364854914</v>
      </c>
      <c r="GA10" s="141">
        <v>1.2102045888442809</v>
      </c>
      <c r="GB10" s="141">
        <v>1.1932968506964063</v>
      </c>
      <c r="GC10" s="141">
        <v>1.1710749594387422</v>
      </c>
      <c r="GD10" s="141">
        <v>1.1673171671626481</v>
      </c>
      <c r="GE10" s="141">
        <v>1.158185648156336</v>
      </c>
      <c r="GF10" s="141">
        <v>1.1394637070988485</v>
      </c>
      <c r="GG10" s="141">
        <v>1.1260093772601905</v>
      </c>
      <c r="GH10" s="141">
        <v>1.1064226878686698</v>
      </c>
      <c r="GI10" s="141">
        <v>1.1532689627953432</v>
      </c>
      <c r="GJ10" s="141">
        <v>1.1492756685509926</v>
      </c>
      <c r="GK10" s="141">
        <v>1.1089731834932668</v>
      </c>
      <c r="GL10" s="141">
        <v>1.1620383858899881</v>
      </c>
      <c r="GM10" s="141">
        <v>1.1590755291114874</v>
      </c>
      <c r="GN10" s="141">
        <v>1.1270100279158262</v>
      </c>
      <c r="GO10" s="141">
        <v>1.1900910452470954</v>
      </c>
      <c r="GP10" s="141">
        <v>1.2417534750502885</v>
      </c>
      <c r="GQ10" s="141">
        <v>1.2505294140096677</v>
      </c>
      <c r="GR10" s="141">
        <v>1.2328974840384586</v>
      </c>
      <c r="GS10" s="141">
        <v>1.2398424650074793</v>
      </c>
      <c r="GT10" s="141">
        <v>1.2024227846758031</v>
      </c>
      <c r="GU10" s="141">
        <v>1.216864733440628</v>
      </c>
      <c r="GV10" s="141">
        <v>1.2197289214102938</v>
      </c>
      <c r="GW10" s="141">
        <v>1.2243961422357421</v>
      </c>
      <c r="GX10" s="141">
        <v>1.1971961303210179</v>
      </c>
      <c r="GY10" s="141">
        <v>1.2156592984647692</v>
      </c>
      <c r="GZ10" s="141">
        <v>1.2095055296420649</v>
      </c>
      <c r="HA10" s="141">
        <v>1.2219545546359911</v>
      </c>
      <c r="HB10" s="141">
        <v>1.2546632647647169</v>
      </c>
      <c r="HC10" s="141">
        <v>1.2303386108734891</v>
      </c>
      <c r="HD10" s="141">
        <v>1.2092774743763619</v>
      </c>
      <c r="HE10" s="141">
        <v>1.2093323938076945</v>
      </c>
      <c r="HF10" s="141">
        <v>1.2059878935233235</v>
      </c>
      <c r="HG10" s="141">
        <v>1.1941588065169817</v>
      </c>
      <c r="HH10" s="141">
        <v>1.1721435612551789</v>
      </c>
      <c r="HI10" s="141">
        <v>1.1652981799328122</v>
      </c>
      <c r="HJ10" s="141">
        <v>1.1453009910630261</v>
      </c>
      <c r="HK10" s="141">
        <v>1.1302828536881191</v>
      </c>
      <c r="HL10" s="141">
        <v>1.1326378733706848</v>
      </c>
      <c r="HM10" s="141">
        <v>1.1323818929704059</v>
      </c>
      <c r="HN10" s="141">
        <v>1.1183141410088977</v>
      </c>
      <c r="HO10" s="141">
        <v>1.1447182865882093</v>
      </c>
      <c r="HP10" s="141">
        <v>1.1321501143534261</v>
      </c>
      <c r="HQ10" s="141">
        <v>1.1393510757227256</v>
      </c>
      <c r="HR10" s="141">
        <v>1.1758082697493533</v>
      </c>
      <c r="HS10" s="141">
        <v>1.1531851873916157</v>
      </c>
      <c r="HT10" s="141">
        <v>1.1472687822128063</v>
      </c>
      <c r="HU10" s="141">
        <v>1.1852739595327566</v>
      </c>
      <c r="HV10" s="141">
        <v>1.187072338199443</v>
      </c>
      <c r="HW10" s="141">
        <v>1.1929356856225581</v>
      </c>
      <c r="HX10" s="141">
        <v>1.1936077505280178</v>
      </c>
      <c r="HY10" s="141">
        <v>1.1730585748314486</v>
      </c>
      <c r="HZ10" s="141">
        <v>1.1764570637093328</v>
      </c>
      <c r="IA10" s="141">
        <v>1.1887180594637816</v>
      </c>
      <c r="IB10" s="141">
        <v>1.1837362154554449</v>
      </c>
      <c r="IC10" s="141">
        <v>1.1577770103537091</v>
      </c>
      <c r="ID10" s="141">
        <v>1.1215264623229431</v>
      </c>
      <c r="IE10" s="141">
        <v>1.1271515152643439</v>
      </c>
      <c r="IF10" s="141">
        <v>1.1379548189939317</v>
      </c>
      <c r="IG10" s="141">
        <v>1.1461285058842914</v>
      </c>
      <c r="IH10" s="141">
        <v>1.1229878776990807</v>
      </c>
      <c r="II10" s="141">
        <v>1.1258706824251303</v>
      </c>
      <c r="IJ10" s="141">
        <v>1.113578038184829</v>
      </c>
      <c r="IK10" s="141">
        <v>1.1195521553084284</v>
      </c>
      <c r="IL10" s="141">
        <v>1.0987637542923259</v>
      </c>
      <c r="IM10" s="141">
        <v>1.0943878857042859</v>
      </c>
      <c r="IN10" s="141">
        <v>1.0860056911424265</v>
      </c>
      <c r="IO10" s="141">
        <v>1.0845647541983112</v>
      </c>
      <c r="IP10" s="141">
        <v>1.0997169322191824</v>
      </c>
      <c r="IQ10" s="141">
        <v>1.0825764846165087</v>
      </c>
      <c r="IR10" s="141">
        <v>1.0824880550236853</v>
      </c>
      <c r="IS10" s="141">
        <v>1.0796797173231711</v>
      </c>
      <c r="IT10" s="141">
        <v>1.0687004852457551</v>
      </c>
      <c r="IU10" s="141">
        <v>1.0658027871145983</v>
      </c>
      <c r="IV10" s="141">
        <v>1.0615283798488506</v>
      </c>
      <c r="IW10" s="141">
        <v>1.0428762516278025</v>
      </c>
      <c r="IX10" s="141">
        <v>0.97862237864434642</v>
      </c>
      <c r="IY10" s="141">
        <v>0.99592851537883709</v>
      </c>
      <c r="IZ10" s="141">
        <v>0.99269757730840791</v>
      </c>
      <c r="JA10" s="141">
        <v>0.99301313132911539</v>
      </c>
      <c r="JB10" s="141">
        <v>0.95495861960474759</v>
      </c>
      <c r="JC10" s="141">
        <v>0.9956418173305247</v>
      </c>
      <c r="JD10" s="141">
        <v>0.99699525551963553</v>
      </c>
      <c r="JE10" s="141">
        <v>0.9848617845464166</v>
      </c>
      <c r="JF10" s="141">
        <v>0.97652892438897487</v>
      </c>
      <c r="JG10" s="141">
        <v>0.97840549343247374</v>
      </c>
      <c r="JH10" s="141">
        <v>0.98919855794605038</v>
      </c>
      <c r="JI10" s="141">
        <v>0.95654476724865745</v>
      </c>
      <c r="JJ10" s="141">
        <v>0.98421578309989477</v>
      </c>
      <c r="JK10" s="141">
        <v>0.99449037094817927</v>
      </c>
      <c r="JL10" s="141">
        <v>0.98554967369480251</v>
      </c>
      <c r="JM10" s="141">
        <v>0.98150890672167301</v>
      </c>
      <c r="JN10" s="141">
        <v>0.99724658173081848</v>
      </c>
      <c r="JO10" s="141">
        <v>0.9650191147546171</v>
      </c>
      <c r="JP10" s="141">
        <v>0.96225359559378609</v>
      </c>
      <c r="JQ10" s="141">
        <v>0.94456395367778667</v>
      </c>
      <c r="JR10" s="141">
        <v>0.93706512420634436</v>
      </c>
      <c r="JS10" s="141">
        <v>0.89636517139982186</v>
      </c>
      <c r="JT10" s="141">
        <v>0.90999822209976544</v>
      </c>
      <c r="JU10" s="141">
        <v>0.88961659721065134</v>
      </c>
      <c r="JV10" s="141">
        <v>0.89652341382908518</v>
      </c>
      <c r="JW10" s="141">
        <v>0.91544362334206153</v>
      </c>
      <c r="JX10" s="141">
        <v>0.94044965051694074</v>
      </c>
      <c r="JY10" s="141">
        <v>0.9574886367973221</v>
      </c>
      <c r="JZ10" s="141">
        <v>0.92302064319031629</v>
      </c>
      <c r="KA10" s="141">
        <v>0.92645357306751086</v>
      </c>
      <c r="KB10" s="141">
        <v>0.91873227335728069</v>
      </c>
      <c r="KC10" s="141">
        <v>0.93446529417733015</v>
      </c>
      <c r="KD10" s="141">
        <v>0.9656036809050722</v>
      </c>
      <c r="KE10" s="141">
        <v>0.93563814982951699</v>
      </c>
      <c r="KF10" s="141">
        <v>0.8956763514136169</v>
      </c>
      <c r="KG10" s="141">
        <v>0.91172213374091615</v>
      </c>
      <c r="KH10" s="141">
        <v>0.91700091501357628</v>
      </c>
      <c r="KI10" s="141">
        <v>0.92625809712547968</v>
      </c>
      <c r="KJ10" s="141">
        <v>0.91511876094316202</v>
      </c>
      <c r="KK10" s="141">
        <v>0.91447089782100177</v>
      </c>
      <c r="KL10" s="141">
        <v>0.88553394253565798</v>
      </c>
      <c r="KM10" s="141">
        <v>0.87387519885022902</v>
      </c>
      <c r="KN10" s="141">
        <v>0.8347297452017638</v>
      </c>
      <c r="KO10" s="141">
        <v>0.86439740817517619</v>
      </c>
      <c r="KP10" s="141">
        <v>0.91204513446417723</v>
      </c>
      <c r="KQ10" s="141">
        <v>0.90895196039098902</v>
      </c>
      <c r="KR10" s="141">
        <v>0.88850983104362746</v>
      </c>
      <c r="KS10" s="141">
        <v>0.91681381661191785</v>
      </c>
      <c r="KT10" s="141">
        <v>1</v>
      </c>
    </row>
    <row r="11" spans="1:306" x14ac:dyDescent="0.25">
      <c r="H11" s="229"/>
      <c r="I11" s="247" t="s">
        <v>537</v>
      </c>
      <c r="J11" s="88" t="s">
        <v>537</v>
      </c>
      <c r="K11" s="141">
        <v>0.99518956640263212</v>
      </c>
      <c r="L11" s="141">
        <v>0.96839721721007854</v>
      </c>
      <c r="M11" s="141">
        <v>0.99353438167350538</v>
      </c>
      <c r="N11" s="141">
        <v>0.97712635292561967</v>
      </c>
      <c r="O11" s="141">
        <v>0.95992718091355578</v>
      </c>
      <c r="P11" s="141">
        <v>1.003168528773033</v>
      </c>
      <c r="Q11" s="141">
        <v>1.0000344712422249</v>
      </c>
      <c r="R11" s="141">
        <v>0.99573517270374923</v>
      </c>
      <c r="S11" s="141">
        <v>0.99422974009248477</v>
      </c>
      <c r="T11" s="141">
        <v>1.0193208487158898</v>
      </c>
      <c r="U11" s="141">
        <v>0.99602026683001899</v>
      </c>
      <c r="V11" s="141">
        <v>1.0142874822487231</v>
      </c>
      <c r="W11" s="141">
        <v>1.0148799920433591</v>
      </c>
      <c r="X11" s="141">
        <v>1.0174057169142474</v>
      </c>
      <c r="Y11" s="141">
        <v>0.98513074490094044</v>
      </c>
      <c r="Z11" s="141">
        <v>0.98620980780304612</v>
      </c>
      <c r="AA11" s="141">
        <v>0.96600683434759782</v>
      </c>
      <c r="AB11" s="141">
        <v>0.97391318106839386</v>
      </c>
      <c r="AC11" s="141">
        <v>0.98162965340578712</v>
      </c>
      <c r="AD11" s="141">
        <v>0.96819491057538154</v>
      </c>
      <c r="AE11" s="141">
        <v>0.97499280907283103</v>
      </c>
      <c r="AF11" s="141">
        <v>0.98451902162703131</v>
      </c>
      <c r="AG11" s="141">
        <v>0.96585227885991742</v>
      </c>
      <c r="AH11" s="141">
        <v>0.96199149973072884</v>
      </c>
      <c r="AI11" s="141">
        <v>0.97567121442186366</v>
      </c>
      <c r="AJ11" s="141">
        <v>0.98949050938889271</v>
      </c>
      <c r="AK11" s="141">
        <v>0.99149464480775507</v>
      </c>
      <c r="AL11" s="141">
        <v>1.0443565773108023</v>
      </c>
      <c r="AM11" s="141">
        <v>1.0327493754206483</v>
      </c>
      <c r="AN11" s="141">
        <v>0.98789296509758473</v>
      </c>
      <c r="AO11" s="141">
        <v>0.98414520643470726</v>
      </c>
      <c r="AP11" s="141">
        <v>1.0190914171692782</v>
      </c>
      <c r="AQ11" s="141">
        <v>1.0076842615044947</v>
      </c>
      <c r="AR11" s="141">
        <v>1.0087381773528461</v>
      </c>
      <c r="AS11" s="141">
        <v>0.98131969477692871</v>
      </c>
      <c r="AT11" s="141">
        <v>0.95970283528792821</v>
      </c>
      <c r="AU11" s="141">
        <v>0.9592318224945765</v>
      </c>
      <c r="AV11" s="141">
        <v>0.94575271913114389</v>
      </c>
      <c r="AW11" s="141">
        <v>0.9732703771662492</v>
      </c>
      <c r="AX11" s="141">
        <v>0.96302111617882324</v>
      </c>
      <c r="AY11" s="141">
        <v>0.95438070152933641</v>
      </c>
      <c r="AZ11" s="141">
        <v>0.93527374404594055</v>
      </c>
      <c r="BA11" s="141">
        <v>0.93585438669161414</v>
      </c>
      <c r="BB11" s="141">
        <v>0.91109527568799809</v>
      </c>
      <c r="BC11" s="141">
        <v>0.92620187376631102</v>
      </c>
      <c r="BD11" s="141">
        <v>0.94269184235227244</v>
      </c>
      <c r="BE11" s="141">
        <v>0.92452888831374036</v>
      </c>
      <c r="BF11" s="141">
        <v>0.90926434413375756</v>
      </c>
      <c r="BG11" s="141">
        <v>0.90965030902621014</v>
      </c>
      <c r="BH11" s="141">
        <v>0.94318122097139967</v>
      </c>
      <c r="BI11" s="141">
        <v>0.92121456313916616</v>
      </c>
      <c r="BJ11" s="141">
        <v>0.94806285746254371</v>
      </c>
      <c r="BK11" s="141">
        <v>0.96174963593282292</v>
      </c>
      <c r="BL11" s="141">
        <v>0.95521592277537581</v>
      </c>
      <c r="BM11" s="141">
        <v>0.94939988957900456</v>
      </c>
      <c r="BN11" s="141">
        <v>0.94768649930972748</v>
      </c>
      <c r="BO11" s="141">
        <v>0.93524633658286016</v>
      </c>
      <c r="BP11" s="141">
        <v>0.90325052512134163</v>
      </c>
      <c r="BQ11" s="141">
        <v>0.90815589591041102</v>
      </c>
      <c r="BR11" s="141">
        <v>0.95596157530186365</v>
      </c>
      <c r="BS11" s="141">
        <v>0.8908309886295761</v>
      </c>
      <c r="BT11" s="141">
        <v>0.84187560854457333</v>
      </c>
      <c r="BU11" s="141">
        <v>0.83850844630199861</v>
      </c>
      <c r="BV11" s="141">
        <v>0.82497622331939979</v>
      </c>
      <c r="BW11" s="141">
        <v>0.82810067411057131</v>
      </c>
      <c r="BX11" s="141">
        <v>0.80593510025763027</v>
      </c>
      <c r="BY11" s="141">
        <v>0.79503258097492591</v>
      </c>
      <c r="BZ11" s="141">
        <v>0.81048643443597979</v>
      </c>
      <c r="CA11" s="141">
        <v>0.81808282252791753</v>
      </c>
      <c r="CB11" s="141">
        <v>0.80811950332025873</v>
      </c>
      <c r="CC11" s="141">
        <v>0.79355314307091307</v>
      </c>
      <c r="CD11" s="141">
        <v>0.80201978875344648</v>
      </c>
      <c r="CE11" s="141">
        <v>0.79019134930048807</v>
      </c>
      <c r="CF11" s="141">
        <v>0.7809677490448359</v>
      </c>
      <c r="CG11" s="141">
        <v>0.78328918942286663</v>
      </c>
      <c r="CH11" s="141">
        <v>0.77577756668066244</v>
      </c>
      <c r="CI11" s="141">
        <v>0.81584586494845424</v>
      </c>
      <c r="CJ11" s="141">
        <v>0.8574046206157242</v>
      </c>
      <c r="CK11" s="141">
        <v>0.81383325299461862</v>
      </c>
      <c r="CL11" s="141">
        <v>0.85886201952880636</v>
      </c>
      <c r="CM11" s="141">
        <v>0.82420401098332896</v>
      </c>
      <c r="CN11" s="141">
        <v>0.81260698093514272</v>
      </c>
      <c r="CO11" s="141">
        <v>0.8410214563704268</v>
      </c>
      <c r="CP11" s="141">
        <v>0.8410214563704268</v>
      </c>
      <c r="CQ11" s="141">
        <v>0.8689849801451297</v>
      </c>
      <c r="CR11" s="141">
        <v>0.87373042697436876</v>
      </c>
      <c r="CS11" s="141">
        <v>0.87132732930942802</v>
      </c>
      <c r="CT11" s="141">
        <v>0.84907614245325613</v>
      </c>
      <c r="CU11" s="141">
        <v>0.84904873499017575</v>
      </c>
      <c r="CV11" s="141">
        <v>0.83852059600212714</v>
      </c>
      <c r="CW11" s="141">
        <v>0.82279295046143441</v>
      </c>
      <c r="CX11" s="141">
        <v>0.81148157964184953</v>
      </c>
      <c r="CY11" s="141">
        <v>0.81524148800485541</v>
      </c>
      <c r="CZ11" s="141">
        <v>0.81695233531364031</v>
      </c>
      <c r="DA11" s="141">
        <v>0.83753392733123078</v>
      </c>
      <c r="DB11" s="141">
        <v>0.83584257605288459</v>
      </c>
      <c r="DC11" s="141">
        <v>0.83491976394545409</v>
      </c>
      <c r="DD11" s="141">
        <v>0.83017516476971243</v>
      </c>
      <c r="DE11" s="141">
        <v>0.84020996942231285</v>
      </c>
      <c r="DF11" s="141">
        <v>0.82086453875500043</v>
      </c>
      <c r="DG11" s="141">
        <v>0.82848720410535548</v>
      </c>
      <c r="DH11" s="141">
        <v>0.84947510469933452</v>
      </c>
      <c r="DI11" s="141">
        <v>0.85647898299663605</v>
      </c>
      <c r="DJ11" s="141">
        <v>0.84754075941841933</v>
      </c>
      <c r="DK11" s="141">
        <v>0.81550962906117863</v>
      </c>
      <c r="DL11" s="141">
        <v>0.81867081150390131</v>
      </c>
      <c r="DM11" s="141">
        <v>0.79787476315148531</v>
      </c>
      <c r="DN11" s="141">
        <v>0.78400969489560024</v>
      </c>
      <c r="DO11" s="141">
        <v>0.81031097016203191</v>
      </c>
      <c r="DP11" s="141">
        <v>0.83198349223069068</v>
      </c>
      <c r="DQ11" s="141">
        <v>0.82623640151876909</v>
      </c>
      <c r="DR11" s="141">
        <v>0.82802918866562947</v>
      </c>
      <c r="DS11" s="141">
        <v>0.85077823067590208</v>
      </c>
      <c r="DT11" s="141">
        <v>0.84168545161000485</v>
      </c>
      <c r="DU11" s="141">
        <v>0.84821294864180485</v>
      </c>
      <c r="DV11" s="141">
        <v>0.81430511344146761</v>
      </c>
      <c r="DW11" s="141">
        <v>0.79899762148428644</v>
      </c>
      <c r="DX11" s="141">
        <v>0.81902993403560487</v>
      </c>
      <c r="DY11" s="141">
        <v>0.80611706320839116</v>
      </c>
      <c r="DZ11" s="141">
        <v>0.81439609491684806</v>
      </c>
      <c r="EA11" s="141">
        <v>0.83047749451709463</v>
      </c>
      <c r="EB11" s="141">
        <v>0.86978827310943607</v>
      </c>
      <c r="EC11" s="141">
        <v>0.87206563550560556</v>
      </c>
      <c r="ED11" s="141">
        <v>0.92416750537271053</v>
      </c>
      <c r="EE11" s="141">
        <v>0.90094971097841259</v>
      </c>
      <c r="EF11" s="141">
        <v>0.91732242083057614</v>
      </c>
      <c r="EG11" s="141">
        <v>0.87329727603723117</v>
      </c>
      <c r="EH11" s="141">
        <v>0.87708091869816251</v>
      </c>
      <c r="EI11" s="141">
        <v>0.85379926774039883</v>
      </c>
      <c r="EJ11" s="141">
        <v>0.83913768774818587</v>
      </c>
      <c r="EK11" s="141">
        <v>0.84595960309472651</v>
      </c>
      <c r="EL11" s="141">
        <v>0.79233732540457091</v>
      </c>
      <c r="EM11" s="141">
        <v>0.75791100881503137</v>
      </c>
      <c r="EN11" s="141">
        <v>0.73978450387688455</v>
      </c>
      <c r="EO11" s="141">
        <v>0.73978450387688455</v>
      </c>
      <c r="EP11" s="141">
        <v>0.735119866681058</v>
      </c>
      <c r="EQ11" s="141">
        <v>0.73350452166630598</v>
      </c>
      <c r="ER11" s="141">
        <v>0.72158792624962498</v>
      </c>
      <c r="ES11" s="141">
        <v>0.7105788851774224</v>
      </c>
      <c r="ET11" s="141">
        <v>0.70465322212872927</v>
      </c>
      <c r="EU11" s="141">
        <v>0.71096937088852741</v>
      </c>
      <c r="EV11" s="141">
        <v>0.73286454327581918</v>
      </c>
      <c r="EW11" s="141">
        <v>0.73629669228652272</v>
      </c>
      <c r="EX11" s="141">
        <v>0.73129553665225477</v>
      </c>
      <c r="EY11" s="141">
        <v>0.72883592875415859</v>
      </c>
      <c r="EZ11" s="141">
        <v>0.75698565374710891</v>
      </c>
      <c r="FA11" s="141">
        <v>0.73431431330742525</v>
      </c>
      <c r="FB11" s="141">
        <v>0.75624141397644995</v>
      </c>
      <c r="FC11" s="141">
        <v>0.73430724952828097</v>
      </c>
      <c r="FD11" s="141">
        <v>0.72063685902561669</v>
      </c>
      <c r="FE11" s="141">
        <v>0.73658630723144503</v>
      </c>
      <c r="FF11" s="141">
        <v>0.79717573156735089</v>
      </c>
      <c r="FG11" s="141">
        <v>0.79717573156735089</v>
      </c>
      <c r="FH11" s="141">
        <v>0.7904326479960625</v>
      </c>
      <c r="FI11" s="141">
        <v>0.75770135585002418</v>
      </c>
      <c r="FJ11" s="141">
        <v>0.76353829783266303</v>
      </c>
      <c r="FK11" s="141">
        <v>0.77002256453609907</v>
      </c>
      <c r="FL11" s="141">
        <v>0.77120391096021634</v>
      </c>
      <c r="FM11" s="141">
        <v>0.75411945472145825</v>
      </c>
      <c r="FN11" s="141">
        <v>0.78981809921049562</v>
      </c>
      <c r="FO11" s="141">
        <v>0.77431536439776205</v>
      </c>
      <c r="FP11" s="141">
        <v>0.81193733467224916</v>
      </c>
      <c r="FQ11" s="141">
        <v>0.79941381935147737</v>
      </c>
      <c r="FR11" s="141">
        <v>0.79995433973161045</v>
      </c>
      <c r="FS11" s="141">
        <v>0.77623275660873048</v>
      </c>
      <c r="FT11" s="141">
        <v>0.80454127535684805</v>
      </c>
      <c r="FU11" s="141">
        <v>0.81650505681821406</v>
      </c>
      <c r="FV11" s="141">
        <v>0.8538416504152655</v>
      </c>
      <c r="FW11" s="141">
        <v>0.86662624301321611</v>
      </c>
      <c r="FX11" s="141">
        <v>0.8688835442766154</v>
      </c>
      <c r="FY11" s="141">
        <v>0.88757882471147287</v>
      </c>
      <c r="FZ11" s="141">
        <v>0.90227148533192136</v>
      </c>
      <c r="GA11" s="141">
        <v>0.89378364831195456</v>
      </c>
      <c r="GB11" s="141">
        <v>0.87337497760782012</v>
      </c>
      <c r="GC11" s="141">
        <v>0.87088824479780924</v>
      </c>
      <c r="GD11" s="141">
        <v>0.86786777283564398</v>
      </c>
      <c r="GE11" s="141">
        <v>0.89259382535286413</v>
      </c>
      <c r="GF11" s="141">
        <v>0.88469906322986502</v>
      </c>
      <c r="GG11" s="141">
        <v>0.89537525902878135</v>
      </c>
      <c r="GH11" s="141">
        <v>0.89081629596895562</v>
      </c>
      <c r="GI11" s="141">
        <v>0.92390897105602376</v>
      </c>
      <c r="GJ11" s="141">
        <v>0.93444360872088528</v>
      </c>
      <c r="GK11" s="141">
        <v>0.91957068045667045</v>
      </c>
      <c r="GL11" s="141">
        <v>0.92931756547134337</v>
      </c>
      <c r="GM11" s="141">
        <v>0.9039261049587165</v>
      </c>
      <c r="GN11" s="141">
        <v>0.88434304876098502</v>
      </c>
      <c r="GO11" s="141">
        <v>0.9782150225673617</v>
      </c>
      <c r="GP11" s="141">
        <v>1.0053534969379931</v>
      </c>
      <c r="GQ11" s="141">
        <v>0.98550003927461216</v>
      </c>
      <c r="GR11" s="141">
        <v>0.9688512769334835</v>
      </c>
      <c r="GS11" s="141">
        <v>0.9583429165270394</v>
      </c>
      <c r="GT11" s="141">
        <v>0.93444530402787995</v>
      </c>
      <c r="GU11" s="141">
        <v>0.93158899429303166</v>
      </c>
      <c r="GV11" s="141">
        <v>0.92285081694018567</v>
      </c>
      <c r="GW11" s="141">
        <v>0.92959107499981641</v>
      </c>
      <c r="GX11" s="141">
        <v>0.93739655095442964</v>
      </c>
      <c r="GY11" s="141">
        <v>0.94762603336025109</v>
      </c>
      <c r="GZ11" s="141">
        <v>0.95584431656806579</v>
      </c>
      <c r="HA11" s="141">
        <v>0.96990575788416644</v>
      </c>
      <c r="HB11" s="141">
        <v>0.95269019790448761</v>
      </c>
      <c r="HC11" s="141">
        <v>0.96542449639492978</v>
      </c>
      <c r="HD11" s="141">
        <v>0.95464093115301796</v>
      </c>
      <c r="HE11" s="141">
        <v>0.95799622624662994</v>
      </c>
      <c r="HF11" s="141">
        <v>0.94624774877358675</v>
      </c>
      <c r="HG11" s="141">
        <v>0.94624774877358675</v>
      </c>
      <c r="HH11" s="141">
        <v>0.94726097725406611</v>
      </c>
      <c r="HI11" s="141">
        <v>0.94756895802476404</v>
      </c>
      <c r="HJ11" s="141">
        <v>0.95085333277576578</v>
      </c>
      <c r="HK11" s="141">
        <v>0.95138339876276501</v>
      </c>
      <c r="HL11" s="141">
        <v>0.94132542491457072</v>
      </c>
      <c r="HM11" s="141">
        <v>0.92358177680605302</v>
      </c>
      <c r="HN11" s="141">
        <v>0.90657728254721004</v>
      </c>
      <c r="HO11" s="141">
        <v>0.92170478941179068</v>
      </c>
      <c r="HP11" s="141">
        <v>0.91920675455514866</v>
      </c>
      <c r="HQ11" s="141">
        <v>0.91489558886771016</v>
      </c>
      <c r="HR11" s="141">
        <v>0.91049767997237785</v>
      </c>
      <c r="HS11" s="141">
        <v>0.90923750177300855</v>
      </c>
      <c r="HT11" s="141">
        <v>0.90202397051070005</v>
      </c>
      <c r="HU11" s="141">
        <v>0.89226069752841197</v>
      </c>
      <c r="HV11" s="141">
        <v>0.88245419421776006</v>
      </c>
      <c r="HW11" s="141">
        <v>0.89240960199277697</v>
      </c>
      <c r="HX11" s="141">
        <v>0.87747394736975948</v>
      </c>
      <c r="HY11" s="141">
        <v>0.87875079608790974</v>
      </c>
      <c r="HZ11" s="141">
        <v>0.87326139203917741</v>
      </c>
      <c r="IA11" s="141">
        <v>0.87125019284117067</v>
      </c>
      <c r="IB11" s="141">
        <v>0.87676700435298327</v>
      </c>
      <c r="IC11" s="141">
        <v>0.89135229553043616</v>
      </c>
      <c r="ID11" s="141">
        <v>0.89657751423916598</v>
      </c>
      <c r="IE11" s="141">
        <v>0.91718001504302415</v>
      </c>
      <c r="IF11" s="141">
        <v>0.92863718226415037</v>
      </c>
      <c r="IG11" s="141">
        <v>0.91052508743545835</v>
      </c>
      <c r="IH11" s="141">
        <v>0.9237854961965789</v>
      </c>
      <c r="II11" s="141">
        <v>0.91474442399401901</v>
      </c>
      <c r="IJ11" s="141">
        <v>0.90776908336446116</v>
      </c>
      <c r="IK11" s="141">
        <v>0.90933780743685977</v>
      </c>
      <c r="IL11" s="141">
        <v>0.91926128693014375</v>
      </c>
      <c r="IM11" s="141">
        <v>0.90475002415812467</v>
      </c>
      <c r="IN11" s="141">
        <v>0.90323102909090303</v>
      </c>
      <c r="IO11" s="141">
        <v>0.88725869424064663</v>
      </c>
      <c r="IP11" s="141">
        <v>0.89262603618576275</v>
      </c>
      <c r="IQ11" s="141">
        <v>0.88244656533628396</v>
      </c>
      <c r="IR11" s="141">
        <v>0.87951509699133879</v>
      </c>
      <c r="IS11" s="141">
        <v>0.89125707578756908</v>
      </c>
      <c r="IT11" s="141">
        <v>0.87693625250128426</v>
      </c>
      <c r="IU11" s="141">
        <v>0.87877763844865853</v>
      </c>
      <c r="IV11" s="141">
        <v>0.88240192225209113</v>
      </c>
      <c r="IW11" s="141">
        <v>0.91345514302457465</v>
      </c>
      <c r="IX11" s="141">
        <v>0.91655162125033418</v>
      </c>
      <c r="IY11" s="141">
        <v>0.92166438459508448</v>
      </c>
      <c r="IZ11" s="141">
        <v>0.90214518496081875</v>
      </c>
      <c r="JA11" s="141">
        <v>0.90304567552615278</v>
      </c>
      <c r="JB11" s="141">
        <v>0.88306196177534813</v>
      </c>
      <c r="JC11" s="141">
        <v>0.87711538994038751</v>
      </c>
      <c r="JD11" s="141">
        <v>0.8733489829005685</v>
      </c>
      <c r="JE11" s="141">
        <v>0.86568280467068393</v>
      </c>
      <c r="JF11" s="141">
        <v>0.84898233546621793</v>
      </c>
      <c r="JG11" s="141">
        <v>0.84898233546621793</v>
      </c>
      <c r="JH11" s="141">
        <v>0.85723085164877089</v>
      </c>
      <c r="JI11" s="141">
        <v>0.84845848560486581</v>
      </c>
      <c r="JJ11" s="141">
        <v>0.8699340695109774</v>
      </c>
      <c r="JK11" s="141">
        <v>0.86668388345103475</v>
      </c>
      <c r="JL11" s="141">
        <v>0.86751938724823996</v>
      </c>
      <c r="JM11" s="141">
        <v>0.87819784345648233</v>
      </c>
      <c r="JN11" s="141">
        <v>0.86196979980119703</v>
      </c>
      <c r="JO11" s="141">
        <v>0.8410689249662775</v>
      </c>
      <c r="JP11" s="141">
        <v>0.84181570769742842</v>
      </c>
      <c r="JQ11" s="141">
        <v>0.85127467307417359</v>
      </c>
      <c r="JR11" s="141">
        <v>0.86299489543063901</v>
      </c>
      <c r="JS11" s="141">
        <v>0.8442894431538136</v>
      </c>
      <c r="JT11" s="141">
        <v>0.82857451241558089</v>
      </c>
      <c r="JU11" s="141">
        <v>0.80648183676341034</v>
      </c>
      <c r="JV11" s="141">
        <v>0.81518978114151808</v>
      </c>
      <c r="JW11" s="141">
        <v>0.82707218786713999</v>
      </c>
      <c r="JX11" s="141">
        <v>0.83032802495039815</v>
      </c>
      <c r="JY11" s="141">
        <v>0.79708983601295436</v>
      </c>
      <c r="JZ11" s="141">
        <v>0.79834351553551086</v>
      </c>
      <c r="KA11" s="141">
        <v>0.79880294373106553</v>
      </c>
      <c r="KB11" s="141">
        <v>0.82314161860000423</v>
      </c>
      <c r="KC11" s="141">
        <v>0.83022687163304976</v>
      </c>
      <c r="KD11" s="141">
        <v>0.83613671181645932</v>
      </c>
      <c r="KE11" s="141">
        <v>0.86972526419946761</v>
      </c>
      <c r="KF11" s="141">
        <v>0.84340336269793426</v>
      </c>
      <c r="KG11" s="141">
        <v>0.85034620994342769</v>
      </c>
      <c r="KH11" s="141">
        <v>0.84184255005817743</v>
      </c>
      <c r="KI11" s="141">
        <v>0.83498107754842799</v>
      </c>
      <c r="KJ11" s="141">
        <v>0.7940558015948318</v>
      </c>
      <c r="KK11" s="141">
        <v>0.81209358546692434</v>
      </c>
      <c r="KL11" s="141">
        <v>0.78187841145213788</v>
      </c>
      <c r="KM11" s="141">
        <v>0.80810226769914639</v>
      </c>
      <c r="KN11" s="141">
        <v>0.78082788621777588</v>
      </c>
      <c r="KO11" s="141">
        <v>0.78082788621777588</v>
      </c>
      <c r="KP11" s="141">
        <v>0.77351207143345557</v>
      </c>
      <c r="KQ11" s="141">
        <v>0.82407827571455783</v>
      </c>
      <c r="KR11" s="141">
        <v>0.81967245538658362</v>
      </c>
      <c r="KS11" s="141">
        <v>0.90032442524854617</v>
      </c>
      <c r="KT11" s="141">
        <v>1</v>
      </c>
    </row>
    <row r="12" spans="1:306" x14ac:dyDescent="0.25">
      <c r="H12" s="229"/>
      <c r="I12" s="247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</row>
    <row r="13" spans="1:306" x14ac:dyDescent="0.25">
      <c r="H13" s="229"/>
    </row>
    <row r="14" spans="1:306" x14ac:dyDescent="0.25">
      <c r="H14" s="229"/>
    </row>
    <row r="15" spans="1:306" x14ac:dyDescent="0.25">
      <c r="H15" s="229"/>
      <c r="I15" s="227" t="s">
        <v>788</v>
      </c>
      <c r="O15" s="94"/>
      <c r="P15" s="94"/>
      <c r="Q15" s="94"/>
      <c r="R15" s="94"/>
      <c r="S15" s="94"/>
      <c r="T15" s="94"/>
      <c r="U15" s="94"/>
      <c r="V15" s="94"/>
    </row>
    <row r="16" spans="1:306" x14ac:dyDescent="0.25">
      <c r="H16" s="229"/>
      <c r="I16" s="139"/>
      <c r="J16" s="139"/>
      <c r="K16" s="139"/>
      <c r="L16" s="139"/>
      <c r="M16" s="139"/>
      <c r="N16" s="139"/>
      <c r="O16" s="139"/>
      <c r="P16" s="94"/>
      <c r="Q16" s="94"/>
      <c r="R16" s="94"/>
      <c r="S16" s="94"/>
      <c r="T16" s="94"/>
      <c r="U16" s="94"/>
      <c r="V16" s="94"/>
    </row>
    <row r="17" spans="2:24" x14ac:dyDescent="0.25">
      <c r="H17" s="229"/>
      <c r="I17" s="248"/>
      <c r="J17" s="88" t="s">
        <v>568</v>
      </c>
      <c r="K17" s="88" t="s">
        <v>569</v>
      </c>
      <c r="L17" s="88" t="s">
        <v>388</v>
      </c>
      <c r="M17" s="88" t="s">
        <v>570</v>
      </c>
      <c r="N17" s="94" t="s">
        <v>571</v>
      </c>
      <c r="O17" s="94" t="s">
        <v>572</v>
      </c>
      <c r="P17" s="231"/>
      <c r="Q17" s="94"/>
      <c r="R17" s="94"/>
      <c r="S17" s="94"/>
      <c r="T17" s="94"/>
      <c r="U17" s="94"/>
      <c r="V17" s="94"/>
    </row>
    <row r="18" spans="2:24" x14ac:dyDescent="0.25">
      <c r="H18" s="229"/>
      <c r="J18" s="88" t="s">
        <v>563</v>
      </c>
      <c r="K18" s="88" t="s">
        <v>567</v>
      </c>
      <c r="L18" s="88" t="s">
        <v>313</v>
      </c>
      <c r="M18" s="88" t="s">
        <v>564</v>
      </c>
      <c r="N18" s="88" t="s">
        <v>565</v>
      </c>
      <c r="O18" s="88" t="s">
        <v>566</v>
      </c>
      <c r="P18" s="231"/>
      <c r="Q18" s="231"/>
      <c r="R18" s="231"/>
      <c r="S18" s="231"/>
      <c r="T18" s="94"/>
      <c r="U18" s="231"/>
      <c r="V18" s="94"/>
      <c r="W18" s="94"/>
      <c r="X18" s="94"/>
    </row>
    <row r="19" spans="2:24" x14ac:dyDescent="0.25">
      <c r="H19" s="229"/>
      <c r="I19" s="249">
        <v>2021</v>
      </c>
      <c r="J19" s="141">
        <v>4.6652336584090293</v>
      </c>
      <c r="K19" s="141">
        <v>4.4950050425430543</v>
      </c>
      <c r="L19" s="141">
        <v>3.1596413452720462</v>
      </c>
      <c r="M19" s="141">
        <v>3.1462177184380824</v>
      </c>
      <c r="N19" s="228">
        <v>5.4363103557902637</v>
      </c>
      <c r="O19" s="228">
        <v>7.5495688737547528</v>
      </c>
      <c r="P19" s="231"/>
      <c r="Q19" s="231"/>
      <c r="R19" s="94"/>
      <c r="S19" s="94"/>
      <c r="T19" s="94"/>
      <c r="U19" s="94"/>
      <c r="V19" s="94"/>
      <c r="W19" s="94"/>
      <c r="X19" s="94"/>
    </row>
    <row r="20" spans="2:24" x14ac:dyDescent="0.25">
      <c r="H20" s="229"/>
      <c r="I20" s="249">
        <v>2022</v>
      </c>
      <c r="J20" s="141">
        <v>4.7830334762805071</v>
      </c>
      <c r="K20" s="141">
        <v>4.5717025538137612</v>
      </c>
      <c r="L20" s="141">
        <v>4.6408084322331788</v>
      </c>
      <c r="M20" s="141">
        <v>4.6471342811108318</v>
      </c>
      <c r="N20" s="228">
        <v>5.6323489126972603</v>
      </c>
      <c r="O20" s="228">
        <v>4.9869539253701634</v>
      </c>
      <c r="P20" s="231"/>
      <c r="Q20" s="231"/>
      <c r="R20" s="94"/>
      <c r="S20" s="94"/>
      <c r="T20" s="94"/>
      <c r="U20" s="94"/>
      <c r="V20" s="94"/>
      <c r="W20" s="94"/>
      <c r="X20" s="94"/>
    </row>
    <row r="21" spans="2:24" x14ac:dyDescent="0.25">
      <c r="H21" s="229"/>
      <c r="I21" s="248"/>
      <c r="K21" s="250"/>
      <c r="L21" s="141"/>
      <c r="M21" s="141"/>
      <c r="N21" s="228"/>
      <c r="O21" s="94"/>
      <c r="P21" s="94"/>
      <c r="Q21" s="807" t="s">
        <v>1249</v>
      </c>
      <c r="R21" s="821"/>
      <c r="S21" s="821"/>
      <c r="T21" s="821"/>
      <c r="U21" s="821"/>
      <c r="V21" s="821"/>
      <c r="W21" s="94"/>
      <c r="X21" s="94"/>
    </row>
    <row r="22" spans="2:24" x14ac:dyDescent="0.25">
      <c r="H22" s="229"/>
      <c r="I22" s="248"/>
      <c r="K22" s="250"/>
      <c r="L22" s="141"/>
      <c r="M22" s="141"/>
      <c r="N22" s="228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2:24" x14ac:dyDescent="0.25">
      <c r="B23" s="227"/>
      <c r="H23" s="229"/>
      <c r="I23" s="248"/>
      <c r="K23" s="250"/>
      <c r="L23" s="141"/>
      <c r="M23" s="141"/>
      <c r="N23" s="228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2:24" x14ac:dyDescent="0.25">
      <c r="H24" s="229"/>
      <c r="I24" s="248"/>
      <c r="K24" s="250"/>
      <c r="L24" s="141"/>
      <c r="M24" s="141"/>
      <c r="N24" s="228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2:24" x14ac:dyDescent="0.25">
      <c r="H25" s="229"/>
      <c r="I25" s="248"/>
      <c r="K25" s="250"/>
      <c r="L25" s="141"/>
      <c r="M25" s="141"/>
      <c r="N25" s="228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2:24" x14ac:dyDescent="0.25">
      <c r="B26" s="807" t="s">
        <v>1248</v>
      </c>
      <c r="C26" s="821"/>
      <c r="D26" s="821"/>
      <c r="E26" s="821"/>
      <c r="F26" s="821"/>
      <c r="G26" s="821"/>
      <c r="H26" s="229"/>
      <c r="I26" s="248"/>
      <c r="K26" s="250"/>
      <c r="L26" s="141"/>
      <c r="M26" s="141"/>
      <c r="N26" s="141"/>
      <c r="Q26" s="94"/>
      <c r="R26" s="94"/>
      <c r="S26" s="94"/>
      <c r="U26" s="94"/>
      <c r="V26" s="94"/>
    </row>
    <row r="27" spans="2:24" x14ac:dyDescent="0.25">
      <c r="H27" s="229"/>
      <c r="I27" s="248"/>
      <c r="K27" s="250"/>
      <c r="L27" s="141"/>
      <c r="M27" s="141"/>
      <c r="N27" s="141"/>
    </row>
    <row r="28" spans="2:24" x14ac:dyDescent="0.25">
      <c r="H28" s="229"/>
      <c r="I28" s="248"/>
      <c r="K28" s="250"/>
      <c r="L28" s="141"/>
      <c r="M28" s="141"/>
      <c r="N28" s="141"/>
    </row>
    <row r="29" spans="2:24" x14ac:dyDescent="0.25">
      <c r="H29" s="229"/>
      <c r="I29" s="248"/>
      <c r="K29" s="250"/>
      <c r="L29" s="141"/>
      <c r="M29" s="141"/>
      <c r="N29" s="141"/>
    </row>
    <row r="30" spans="2:24" x14ac:dyDescent="0.25">
      <c r="H30" s="229"/>
      <c r="I30" s="248"/>
      <c r="K30" s="250"/>
      <c r="L30" s="141"/>
      <c r="M30" s="141"/>
      <c r="N30" s="141"/>
    </row>
    <row r="31" spans="2:24" x14ac:dyDescent="0.25">
      <c r="H31" s="229"/>
      <c r="I31" s="248"/>
      <c r="K31" s="250"/>
      <c r="L31" s="141"/>
      <c r="M31" s="141"/>
      <c r="N31" s="141"/>
    </row>
    <row r="32" spans="2:24" x14ac:dyDescent="0.25">
      <c r="H32" s="229"/>
      <c r="I32" s="248"/>
      <c r="K32" s="250"/>
      <c r="L32" s="141"/>
      <c r="M32" s="141"/>
      <c r="N32" s="141"/>
    </row>
    <row r="33" spans="8:22" x14ac:dyDescent="0.25">
      <c r="H33" s="229"/>
      <c r="I33" s="248"/>
      <c r="K33" s="250"/>
      <c r="L33" s="141"/>
      <c r="M33" s="141"/>
      <c r="N33" s="141"/>
    </row>
    <row r="34" spans="8:22" x14ac:dyDescent="0.25">
      <c r="H34" s="229"/>
      <c r="I34" s="248"/>
      <c r="K34" s="250"/>
      <c r="L34" s="141"/>
      <c r="M34" s="141"/>
      <c r="N34" s="141"/>
    </row>
    <row r="35" spans="8:22" x14ac:dyDescent="0.25">
      <c r="H35" s="229"/>
      <c r="I35" s="248"/>
      <c r="K35" s="250"/>
      <c r="L35" s="141"/>
      <c r="M35" s="141"/>
      <c r="N35" s="141"/>
    </row>
    <row r="36" spans="8:22" x14ac:dyDescent="0.25">
      <c r="H36" s="229"/>
      <c r="I36" s="248"/>
      <c r="K36" s="250"/>
      <c r="L36" s="141"/>
      <c r="M36" s="141"/>
      <c r="N36" s="141"/>
    </row>
    <row r="37" spans="8:22" x14ac:dyDescent="0.25">
      <c r="H37" s="229"/>
      <c r="I37" s="248"/>
      <c r="K37" s="250"/>
      <c r="L37" s="141"/>
      <c r="M37" s="141"/>
      <c r="N37" s="141"/>
    </row>
    <row r="38" spans="8:22" x14ac:dyDescent="0.25">
      <c r="H38" s="229"/>
      <c r="I38" s="248"/>
      <c r="K38" s="250"/>
      <c r="L38" s="141"/>
      <c r="M38" s="141"/>
      <c r="N38" s="141"/>
    </row>
    <row r="39" spans="8:22" x14ac:dyDescent="0.25">
      <c r="H39" s="229"/>
      <c r="I39" s="248"/>
      <c r="K39" s="250"/>
      <c r="L39" s="141"/>
      <c r="M39" s="141"/>
      <c r="N39" s="141"/>
    </row>
    <row r="40" spans="8:22" x14ac:dyDescent="0.25">
      <c r="H40" s="229"/>
      <c r="I40" s="248"/>
      <c r="K40" s="250"/>
      <c r="L40" s="141"/>
      <c r="M40" s="141"/>
      <c r="N40" s="141"/>
    </row>
    <row r="41" spans="8:22" x14ac:dyDescent="0.25">
      <c r="H41" s="229"/>
      <c r="I41" s="248"/>
      <c r="K41" s="250"/>
      <c r="L41" s="141"/>
      <c r="M41" s="141"/>
      <c r="N41" s="141"/>
    </row>
    <row r="42" spans="8:22" x14ac:dyDescent="0.25">
      <c r="H42" s="229"/>
      <c r="I42" s="248"/>
      <c r="K42" s="250"/>
      <c r="L42" s="141"/>
      <c r="M42" s="141"/>
      <c r="N42" s="141"/>
      <c r="Q42" s="807" t="s">
        <v>1250</v>
      </c>
      <c r="R42" s="821"/>
      <c r="S42" s="821"/>
      <c r="T42" s="821"/>
      <c r="U42" s="821"/>
      <c r="V42" s="821"/>
    </row>
    <row r="43" spans="8:22" x14ac:dyDescent="0.25">
      <c r="H43" s="229"/>
      <c r="I43" s="248"/>
      <c r="K43" s="250"/>
      <c r="L43" s="141"/>
      <c r="M43" s="141"/>
      <c r="N43" s="141"/>
    </row>
    <row r="44" spans="8:22" x14ac:dyDescent="0.25">
      <c r="H44" s="229"/>
      <c r="I44" s="248"/>
      <c r="K44" s="250"/>
      <c r="L44" s="141"/>
      <c r="M44" s="141"/>
      <c r="N44" s="141"/>
    </row>
    <row r="45" spans="8:22" x14ac:dyDescent="0.25">
      <c r="H45" s="229"/>
      <c r="I45" s="248"/>
      <c r="K45" s="250"/>
      <c r="L45" s="141"/>
      <c r="M45" s="141"/>
      <c r="N45" s="141"/>
    </row>
    <row r="46" spans="8:22" x14ac:dyDescent="0.25">
      <c r="H46" s="229"/>
      <c r="I46" s="248"/>
      <c r="K46" s="250"/>
      <c r="L46" s="141"/>
      <c r="M46" s="141"/>
      <c r="N46" s="141"/>
    </row>
    <row r="47" spans="8:22" x14ac:dyDescent="0.25">
      <c r="H47" s="229"/>
      <c r="I47" s="248"/>
      <c r="K47" s="250"/>
      <c r="L47" s="141"/>
      <c r="M47" s="141"/>
      <c r="N47" s="141"/>
    </row>
    <row r="48" spans="8:22" x14ac:dyDescent="0.25">
      <c r="H48" s="229"/>
      <c r="I48" s="248"/>
      <c r="K48" s="250"/>
      <c r="L48" s="141"/>
      <c r="M48" s="141"/>
      <c r="N48" s="141"/>
    </row>
    <row r="49" spans="8:14" x14ac:dyDescent="0.25">
      <c r="H49" s="229"/>
      <c r="I49" s="248"/>
      <c r="K49" s="250"/>
      <c r="L49" s="141"/>
      <c r="M49" s="141"/>
      <c r="N49" s="141"/>
    </row>
    <row r="50" spans="8:14" x14ac:dyDescent="0.25">
      <c r="H50" s="229"/>
      <c r="I50" s="248"/>
      <c r="K50" s="250"/>
      <c r="L50" s="141"/>
      <c r="M50" s="141"/>
      <c r="N50" s="141"/>
    </row>
    <row r="51" spans="8:14" x14ac:dyDescent="0.25">
      <c r="H51" s="229"/>
      <c r="I51" s="248"/>
      <c r="K51" s="250"/>
      <c r="L51" s="141"/>
      <c r="M51" s="141"/>
      <c r="N51" s="141"/>
    </row>
    <row r="52" spans="8:14" x14ac:dyDescent="0.25">
      <c r="H52" s="229"/>
      <c r="I52" s="248"/>
      <c r="K52" s="250"/>
      <c r="L52" s="141"/>
      <c r="M52" s="141"/>
      <c r="N52" s="141"/>
    </row>
    <row r="53" spans="8:14" x14ac:dyDescent="0.25">
      <c r="H53" s="229"/>
      <c r="I53" s="248"/>
      <c r="K53" s="250"/>
      <c r="L53" s="141"/>
      <c r="M53" s="141"/>
      <c r="N53" s="141"/>
    </row>
    <row r="54" spans="8:14" x14ac:dyDescent="0.25">
      <c r="H54" s="229"/>
      <c r="I54" s="248"/>
      <c r="K54" s="250"/>
      <c r="L54" s="141"/>
      <c r="M54" s="141"/>
      <c r="N54" s="141"/>
    </row>
    <row r="55" spans="8:14" x14ac:dyDescent="0.25">
      <c r="H55" s="229"/>
      <c r="I55" s="248"/>
      <c r="K55" s="250"/>
      <c r="L55" s="141"/>
      <c r="M55" s="141"/>
      <c r="N55" s="141"/>
    </row>
    <row r="56" spans="8:14" x14ac:dyDescent="0.25">
      <c r="H56" s="229"/>
      <c r="I56" s="248"/>
      <c r="K56" s="250"/>
      <c r="L56" s="141"/>
      <c r="M56" s="141"/>
      <c r="N56" s="141"/>
    </row>
    <row r="57" spans="8:14" x14ac:dyDescent="0.25">
      <c r="H57" s="229"/>
      <c r="I57" s="248"/>
      <c r="K57" s="250"/>
      <c r="L57" s="141"/>
      <c r="M57" s="141"/>
      <c r="N57" s="141"/>
    </row>
    <row r="58" spans="8:14" x14ac:dyDescent="0.25">
      <c r="H58" s="229"/>
      <c r="I58" s="248"/>
      <c r="K58" s="250"/>
      <c r="L58" s="141"/>
      <c r="M58" s="141"/>
      <c r="N58" s="141"/>
    </row>
    <row r="59" spans="8:14" x14ac:dyDescent="0.25">
      <c r="H59" s="229"/>
      <c r="I59" s="248"/>
      <c r="K59" s="250"/>
      <c r="L59" s="141"/>
      <c r="M59" s="141"/>
      <c r="N59" s="141"/>
    </row>
    <row r="60" spans="8:14" x14ac:dyDescent="0.25">
      <c r="H60" s="229"/>
      <c r="I60" s="248"/>
      <c r="K60" s="250"/>
      <c r="L60" s="141"/>
      <c r="M60" s="141"/>
      <c r="N60" s="141"/>
    </row>
    <row r="61" spans="8:14" x14ac:dyDescent="0.25">
      <c r="H61" s="229"/>
      <c r="I61" s="248"/>
      <c r="K61" s="250"/>
      <c r="L61" s="141"/>
      <c r="M61" s="141"/>
      <c r="N61" s="141"/>
    </row>
    <row r="62" spans="8:14" x14ac:dyDescent="0.25">
      <c r="H62" s="229"/>
      <c r="I62" s="248"/>
      <c r="K62" s="250"/>
      <c r="L62" s="141"/>
      <c r="M62" s="141"/>
      <c r="N62" s="141"/>
    </row>
    <row r="63" spans="8:14" x14ac:dyDescent="0.25">
      <c r="H63" s="229"/>
      <c r="I63" s="248"/>
      <c r="K63" s="250"/>
      <c r="L63" s="141"/>
      <c r="M63" s="141"/>
      <c r="N63" s="141"/>
    </row>
    <row r="64" spans="8:14" x14ac:dyDescent="0.25">
      <c r="H64" s="229"/>
      <c r="I64" s="248"/>
      <c r="K64" s="250"/>
      <c r="L64" s="141"/>
      <c r="M64" s="141"/>
      <c r="N64" s="141"/>
    </row>
    <row r="65" spans="8:14" x14ac:dyDescent="0.25">
      <c r="H65" s="229"/>
      <c r="I65" s="248"/>
      <c r="K65" s="250"/>
      <c r="L65" s="141"/>
      <c r="M65" s="141"/>
      <c r="N65" s="141"/>
    </row>
    <row r="66" spans="8:14" x14ac:dyDescent="0.25">
      <c r="H66" s="229"/>
      <c r="I66" s="248"/>
      <c r="K66" s="250"/>
      <c r="L66" s="141"/>
      <c r="M66" s="141"/>
      <c r="N66" s="141"/>
    </row>
    <row r="67" spans="8:14" x14ac:dyDescent="0.25">
      <c r="H67" s="229"/>
      <c r="I67" s="248"/>
      <c r="K67" s="250"/>
      <c r="L67" s="141"/>
      <c r="M67" s="141"/>
      <c r="N67" s="141"/>
    </row>
    <row r="68" spans="8:14" x14ac:dyDescent="0.25">
      <c r="H68" s="229"/>
      <c r="I68" s="248"/>
      <c r="K68" s="250"/>
      <c r="L68" s="141"/>
      <c r="M68" s="141"/>
      <c r="N68" s="141"/>
    </row>
    <row r="69" spans="8:14" x14ac:dyDescent="0.25">
      <c r="H69" s="229"/>
      <c r="I69" s="248"/>
      <c r="K69" s="250"/>
      <c r="L69" s="141"/>
      <c r="M69" s="141"/>
      <c r="N69" s="141"/>
    </row>
    <row r="70" spans="8:14" x14ac:dyDescent="0.25">
      <c r="H70" s="229"/>
      <c r="I70" s="248"/>
      <c r="K70" s="250"/>
      <c r="L70" s="141"/>
      <c r="M70" s="141"/>
      <c r="N70" s="141"/>
    </row>
    <row r="71" spans="8:14" x14ac:dyDescent="0.25">
      <c r="H71" s="229"/>
      <c r="I71" s="248"/>
      <c r="K71" s="250"/>
      <c r="L71" s="141"/>
      <c r="M71" s="141"/>
      <c r="N71" s="141"/>
    </row>
    <row r="72" spans="8:14" x14ac:dyDescent="0.25">
      <c r="H72" s="229"/>
      <c r="I72" s="248"/>
      <c r="K72" s="250"/>
      <c r="L72" s="141"/>
      <c r="M72" s="141"/>
      <c r="N72" s="141"/>
    </row>
    <row r="73" spans="8:14" x14ac:dyDescent="0.25">
      <c r="H73" s="229"/>
      <c r="I73" s="248"/>
      <c r="K73" s="250"/>
      <c r="L73" s="141"/>
      <c r="M73" s="141"/>
      <c r="N73" s="141"/>
    </row>
    <row r="74" spans="8:14" x14ac:dyDescent="0.25">
      <c r="H74" s="229"/>
      <c r="I74" s="248"/>
      <c r="K74" s="250"/>
      <c r="L74" s="141"/>
      <c r="M74" s="141"/>
      <c r="N74" s="141"/>
    </row>
    <row r="75" spans="8:14" x14ac:dyDescent="0.25">
      <c r="H75" s="229"/>
      <c r="I75" s="248"/>
      <c r="K75" s="250"/>
      <c r="L75" s="141"/>
      <c r="M75" s="141"/>
      <c r="N75" s="141"/>
    </row>
    <row r="76" spans="8:14" x14ac:dyDescent="0.25">
      <c r="H76" s="229"/>
      <c r="I76" s="248"/>
      <c r="K76" s="250"/>
      <c r="L76" s="141"/>
      <c r="M76" s="141"/>
      <c r="N76" s="141"/>
    </row>
    <row r="77" spans="8:14" x14ac:dyDescent="0.25">
      <c r="H77" s="229"/>
      <c r="I77" s="248"/>
      <c r="K77" s="250"/>
      <c r="L77" s="141"/>
      <c r="M77" s="141"/>
      <c r="N77" s="141"/>
    </row>
    <row r="78" spans="8:14" x14ac:dyDescent="0.25">
      <c r="H78" s="229"/>
      <c r="I78" s="248"/>
      <c r="K78" s="250"/>
      <c r="L78" s="141"/>
      <c r="M78" s="141"/>
      <c r="N78" s="141"/>
    </row>
    <row r="79" spans="8:14" x14ac:dyDescent="0.25">
      <c r="H79" s="229"/>
      <c r="I79" s="248"/>
      <c r="K79" s="250"/>
      <c r="L79" s="141"/>
      <c r="M79" s="141"/>
      <c r="N79" s="141"/>
    </row>
    <row r="80" spans="8:14" x14ac:dyDescent="0.25">
      <c r="H80" s="229"/>
      <c r="I80" s="248"/>
      <c r="K80" s="250"/>
      <c r="L80" s="141"/>
      <c r="M80" s="141"/>
      <c r="N80" s="141"/>
    </row>
    <row r="81" spans="8:14" x14ac:dyDescent="0.25">
      <c r="H81" s="229"/>
      <c r="I81" s="248"/>
      <c r="K81" s="250"/>
      <c r="L81" s="141"/>
      <c r="M81" s="141"/>
      <c r="N81" s="141"/>
    </row>
    <row r="82" spans="8:14" x14ac:dyDescent="0.25">
      <c r="H82" s="229"/>
      <c r="I82" s="248"/>
      <c r="K82" s="250"/>
      <c r="L82" s="141"/>
      <c r="M82" s="141"/>
      <c r="N82" s="141"/>
    </row>
    <row r="83" spans="8:14" x14ac:dyDescent="0.25">
      <c r="H83" s="229"/>
      <c r="I83" s="248"/>
      <c r="K83" s="250"/>
      <c r="L83" s="141"/>
      <c r="M83" s="141"/>
      <c r="N83" s="141"/>
    </row>
    <row r="84" spans="8:14" x14ac:dyDescent="0.25">
      <c r="H84" s="229"/>
      <c r="I84" s="248"/>
      <c r="K84" s="250"/>
      <c r="L84" s="141"/>
      <c r="M84" s="141"/>
      <c r="N84" s="141"/>
    </row>
    <row r="85" spans="8:14" x14ac:dyDescent="0.25">
      <c r="H85" s="229"/>
      <c r="I85" s="248"/>
      <c r="K85" s="250"/>
      <c r="L85" s="141"/>
      <c r="M85" s="141"/>
      <c r="N85" s="141"/>
    </row>
    <row r="86" spans="8:14" x14ac:dyDescent="0.25">
      <c r="H86" s="229"/>
      <c r="I86" s="248"/>
      <c r="K86" s="250"/>
      <c r="L86" s="141"/>
      <c r="M86" s="141"/>
      <c r="N86" s="141"/>
    </row>
    <row r="87" spans="8:14" x14ac:dyDescent="0.25">
      <c r="H87" s="229"/>
      <c r="I87" s="248"/>
      <c r="K87" s="250"/>
      <c r="L87" s="141"/>
      <c r="M87" s="141"/>
      <c r="N87" s="141"/>
    </row>
    <row r="88" spans="8:14" x14ac:dyDescent="0.25">
      <c r="H88" s="229"/>
      <c r="I88" s="248"/>
      <c r="K88" s="250"/>
      <c r="L88" s="141"/>
      <c r="M88" s="141"/>
      <c r="N88" s="141"/>
    </row>
    <row r="89" spans="8:14" x14ac:dyDescent="0.25">
      <c r="H89" s="229"/>
      <c r="I89" s="248"/>
      <c r="K89" s="250"/>
      <c r="L89" s="141"/>
      <c r="M89" s="141"/>
      <c r="N89" s="141"/>
    </row>
    <row r="90" spans="8:14" x14ac:dyDescent="0.25">
      <c r="H90" s="229"/>
      <c r="I90" s="248"/>
      <c r="K90" s="250"/>
      <c r="L90" s="141"/>
      <c r="M90" s="141"/>
      <c r="N90" s="141"/>
    </row>
    <row r="91" spans="8:14" x14ac:dyDescent="0.25">
      <c r="H91" s="229"/>
      <c r="I91" s="248"/>
      <c r="K91" s="250"/>
      <c r="L91" s="141"/>
      <c r="M91" s="141"/>
      <c r="N91" s="141"/>
    </row>
    <row r="92" spans="8:14" x14ac:dyDescent="0.25">
      <c r="H92" s="229"/>
      <c r="I92" s="248"/>
      <c r="K92" s="250"/>
      <c r="L92" s="141"/>
      <c r="M92" s="141"/>
      <c r="N92" s="141"/>
    </row>
    <row r="93" spans="8:14" x14ac:dyDescent="0.25">
      <c r="H93" s="229"/>
      <c r="I93" s="248"/>
      <c r="K93" s="250"/>
      <c r="L93" s="141"/>
      <c r="M93" s="141"/>
      <c r="N93" s="141"/>
    </row>
    <row r="94" spans="8:14" x14ac:dyDescent="0.25">
      <c r="H94" s="229"/>
      <c r="I94" s="248"/>
      <c r="K94" s="250"/>
      <c r="L94" s="141"/>
      <c r="M94" s="141"/>
      <c r="N94" s="141"/>
    </row>
    <row r="95" spans="8:14" x14ac:dyDescent="0.25">
      <c r="H95" s="229"/>
      <c r="I95" s="248"/>
      <c r="K95" s="250"/>
      <c r="L95" s="141"/>
      <c r="M95" s="141"/>
      <c r="N95" s="141"/>
    </row>
    <row r="96" spans="8:14" x14ac:dyDescent="0.25">
      <c r="H96" s="229"/>
      <c r="I96" s="248"/>
      <c r="K96" s="250"/>
      <c r="L96" s="141"/>
      <c r="M96" s="141"/>
      <c r="N96" s="141"/>
    </row>
    <row r="97" spans="8:14" x14ac:dyDescent="0.25">
      <c r="H97" s="229"/>
      <c r="I97" s="248"/>
      <c r="K97" s="250"/>
      <c r="L97" s="141"/>
      <c r="M97" s="141"/>
      <c r="N97" s="141"/>
    </row>
    <row r="98" spans="8:14" x14ac:dyDescent="0.25">
      <c r="H98" s="229"/>
      <c r="I98" s="248"/>
      <c r="K98" s="250"/>
      <c r="L98" s="141"/>
      <c r="M98" s="141"/>
      <c r="N98" s="141"/>
    </row>
    <row r="99" spans="8:14" x14ac:dyDescent="0.25">
      <c r="H99" s="229"/>
      <c r="I99" s="248"/>
      <c r="K99" s="250"/>
      <c r="L99" s="141"/>
      <c r="M99" s="141"/>
      <c r="N99" s="141"/>
    </row>
    <row r="100" spans="8:14" x14ac:dyDescent="0.25">
      <c r="H100" s="229"/>
      <c r="I100" s="248"/>
      <c r="K100" s="250"/>
      <c r="L100" s="141"/>
      <c r="M100" s="141"/>
      <c r="N100" s="141"/>
    </row>
    <row r="101" spans="8:14" x14ac:dyDescent="0.25">
      <c r="H101" s="229"/>
      <c r="I101" s="248"/>
      <c r="K101" s="250"/>
      <c r="L101" s="141"/>
      <c r="M101" s="141"/>
      <c r="N101" s="141"/>
    </row>
    <row r="102" spans="8:14" x14ac:dyDescent="0.25">
      <c r="H102" s="229"/>
      <c r="I102" s="248"/>
      <c r="K102" s="250"/>
      <c r="L102" s="141"/>
      <c r="M102" s="141"/>
      <c r="N102" s="141"/>
    </row>
    <row r="103" spans="8:14" x14ac:dyDescent="0.25">
      <c r="H103" s="229"/>
      <c r="I103" s="248"/>
      <c r="K103" s="250"/>
      <c r="L103" s="141"/>
      <c r="M103" s="141"/>
      <c r="N103" s="141"/>
    </row>
    <row r="104" spans="8:14" x14ac:dyDescent="0.25">
      <c r="H104" s="229"/>
      <c r="I104" s="248"/>
      <c r="K104" s="250"/>
      <c r="L104" s="141"/>
      <c r="M104" s="141"/>
      <c r="N104" s="141"/>
    </row>
    <row r="105" spans="8:14" x14ac:dyDescent="0.25">
      <c r="H105" s="229"/>
      <c r="I105" s="248"/>
      <c r="K105" s="250"/>
      <c r="L105" s="141"/>
      <c r="M105" s="141"/>
      <c r="N105" s="141"/>
    </row>
    <row r="106" spans="8:14" x14ac:dyDescent="0.25">
      <c r="H106" s="229"/>
      <c r="I106" s="248"/>
      <c r="K106" s="250"/>
      <c r="L106" s="141"/>
      <c r="M106" s="141"/>
      <c r="N106" s="141"/>
    </row>
    <row r="107" spans="8:14" x14ac:dyDescent="0.25">
      <c r="H107" s="229"/>
      <c r="I107" s="248"/>
      <c r="K107" s="250"/>
      <c r="L107" s="141"/>
      <c r="M107" s="141"/>
      <c r="N107" s="141"/>
    </row>
    <row r="108" spans="8:14" x14ac:dyDescent="0.25">
      <c r="H108" s="229"/>
      <c r="I108" s="248"/>
      <c r="K108" s="250"/>
      <c r="L108" s="141"/>
      <c r="M108" s="141"/>
      <c r="N108" s="141"/>
    </row>
    <row r="109" spans="8:14" x14ac:dyDescent="0.25">
      <c r="H109" s="229"/>
      <c r="I109" s="248"/>
      <c r="J109" s="250"/>
      <c r="K109" s="250"/>
      <c r="L109" s="141"/>
      <c r="M109" s="141"/>
      <c r="N109" s="141"/>
    </row>
    <row r="110" spans="8:14" x14ac:dyDescent="0.25">
      <c r="H110" s="229"/>
      <c r="I110" s="248"/>
      <c r="J110" s="250"/>
      <c r="K110" s="250"/>
      <c r="L110" s="141"/>
      <c r="M110" s="141"/>
      <c r="N110" s="141"/>
    </row>
    <row r="111" spans="8:14" x14ac:dyDescent="0.25">
      <c r="H111" s="229"/>
      <c r="I111" s="248"/>
      <c r="K111" s="250"/>
      <c r="L111" s="141"/>
      <c r="M111" s="141"/>
      <c r="N111" s="141"/>
    </row>
    <row r="112" spans="8:14" x14ac:dyDescent="0.25">
      <c r="H112" s="229"/>
      <c r="I112" s="248"/>
      <c r="K112" s="250"/>
      <c r="L112" s="141"/>
      <c r="M112" s="141"/>
      <c r="N112" s="141"/>
    </row>
    <row r="113" spans="8:14" x14ac:dyDescent="0.25">
      <c r="H113" s="229"/>
      <c r="I113" s="248"/>
      <c r="K113" s="250"/>
      <c r="L113" s="141"/>
      <c r="M113" s="141"/>
      <c r="N113" s="141"/>
    </row>
    <row r="114" spans="8:14" x14ac:dyDescent="0.25">
      <c r="H114" s="229"/>
      <c r="I114" s="248"/>
      <c r="K114" s="250"/>
      <c r="L114" s="141"/>
      <c r="M114" s="141"/>
      <c r="N114" s="141"/>
    </row>
    <row r="115" spans="8:14" x14ac:dyDescent="0.25">
      <c r="H115" s="229"/>
      <c r="I115" s="248"/>
      <c r="K115" s="250"/>
      <c r="L115" s="141"/>
      <c r="M115" s="141"/>
      <c r="N115" s="141"/>
    </row>
    <row r="116" spans="8:14" x14ac:dyDescent="0.25">
      <c r="H116" s="229"/>
      <c r="I116" s="248"/>
      <c r="K116" s="250"/>
      <c r="L116" s="141"/>
      <c r="M116" s="141"/>
      <c r="N116" s="141"/>
    </row>
    <row r="117" spans="8:14" x14ac:dyDescent="0.25">
      <c r="H117" s="229"/>
      <c r="I117" s="248"/>
      <c r="K117" s="250"/>
      <c r="L117" s="141"/>
      <c r="M117" s="141"/>
      <c r="N117" s="141"/>
    </row>
    <row r="118" spans="8:14" x14ac:dyDescent="0.25">
      <c r="H118" s="229"/>
      <c r="I118" s="248"/>
      <c r="K118" s="250"/>
      <c r="L118" s="141"/>
      <c r="M118" s="141"/>
      <c r="N118" s="141"/>
    </row>
    <row r="119" spans="8:14" x14ac:dyDescent="0.25">
      <c r="H119" s="229"/>
      <c r="I119" s="248"/>
      <c r="K119" s="250"/>
      <c r="L119" s="141"/>
      <c r="M119" s="141"/>
      <c r="N119" s="141"/>
    </row>
    <row r="120" spans="8:14" x14ac:dyDescent="0.25">
      <c r="H120" s="229"/>
      <c r="I120" s="248"/>
      <c r="K120" s="250"/>
      <c r="L120" s="141"/>
      <c r="M120" s="141"/>
      <c r="N120" s="141"/>
    </row>
    <row r="121" spans="8:14" x14ac:dyDescent="0.25">
      <c r="H121" s="229"/>
      <c r="I121" s="248"/>
      <c r="K121" s="250"/>
      <c r="L121" s="141"/>
      <c r="M121" s="141"/>
      <c r="N121" s="141"/>
    </row>
    <row r="122" spans="8:14" x14ac:dyDescent="0.25">
      <c r="H122" s="229"/>
      <c r="I122" s="248"/>
      <c r="K122" s="250"/>
      <c r="L122" s="141"/>
      <c r="M122" s="141"/>
      <c r="N122" s="141"/>
    </row>
    <row r="123" spans="8:14" x14ac:dyDescent="0.25">
      <c r="H123" s="229"/>
      <c r="I123" s="248"/>
      <c r="K123" s="250"/>
      <c r="L123" s="141"/>
      <c r="M123" s="141"/>
      <c r="N123" s="141"/>
    </row>
    <row r="124" spans="8:14" x14ac:dyDescent="0.25">
      <c r="H124" s="229"/>
      <c r="I124" s="248"/>
      <c r="K124" s="250"/>
      <c r="L124" s="141"/>
      <c r="M124" s="141"/>
      <c r="N124" s="141"/>
    </row>
    <row r="125" spans="8:14" x14ac:dyDescent="0.25">
      <c r="H125" s="229"/>
      <c r="I125" s="248"/>
      <c r="K125" s="250"/>
      <c r="L125" s="141"/>
      <c r="M125" s="141"/>
      <c r="N125" s="141"/>
    </row>
    <row r="126" spans="8:14" x14ac:dyDescent="0.25">
      <c r="H126" s="229"/>
      <c r="I126" s="248"/>
      <c r="K126" s="250"/>
      <c r="L126" s="141"/>
      <c r="M126" s="141"/>
      <c r="N126" s="141"/>
    </row>
    <row r="127" spans="8:14" x14ac:dyDescent="0.25">
      <c r="H127" s="229"/>
      <c r="I127" s="248"/>
      <c r="K127" s="250"/>
      <c r="L127" s="141"/>
      <c r="M127" s="141"/>
      <c r="N127" s="141"/>
    </row>
    <row r="128" spans="8:14" x14ac:dyDescent="0.25">
      <c r="H128" s="229"/>
      <c r="I128" s="248"/>
      <c r="K128" s="250"/>
      <c r="L128" s="141"/>
      <c r="M128" s="141"/>
      <c r="N128" s="141"/>
    </row>
    <row r="129" spans="8:16" x14ac:dyDescent="0.25">
      <c r="H129" s="229"/>
      <c r="I129" s="248"/>
      <c r="K129" s="250"/>
      <c r="L129" s="141"/>
      <c r="M129" s="141"/>
      <c r="N129" s="141"/>
    </row>
    <row r="130" spans="8:16" x14ac:dyDescent="0.25">
      <c r="H130" s="229"/>
      <c r="I130" s="248"/>
      <c r="K130" s="250"/>
      <c r="L130" s="141"/>
      <c r="M130" s="141"/>
      <c r="N130" s="141"/>
    </row>
    <row r="131" spans="8:16" x14ac:dyDescent="0.25">
      <c r="H131" s="229"/>
      <c r="I131" s="248"/>
      <c r="K131" s="250"/>
      <c r="L131" s="141"/>
      <c r="M131" s="141"/>
      <c r="N131" s="141"/>
    </row>
    <row r="132" spans="8:16" x14ac:dyDescent="0.25">
      <c r="H132" s="229"/>
      <c r="I132" s="248"/>
      <c r="K132" s="250"/>
      <c r="L132" s="141"/>
      <c r="M132" s="141"/>
      <c r="N132" s="141"/>
    </row>
    <row r="133" spans="8:16" x14ac:dyDescent="0.25">
      <c r="H133" s="229"/>
      <c r="I133" s="248"/>
      <c r="K133" s="250"/>
      <c r="L133" s="141"/>
      <c r="M133" s="141"/>
      <c r="N133" s="141"/>
    </row>
    <row r="134" spans="8:16" x14ac:dyDescent="0.25">
      <c r="H134" s="229"/>
      <c r="I134" s="248"/>
      <c r="K134" s="250"/>
      <c r="L134" s="141"/>
      <c r="M134" s="141"/>
      <c r="N134" s="141"/>
    </row>
    <row r="135" spans="8:16" x14ac:dyDescent="0.25">
      <c r="H135" s="229"/>
      <c r="I135" s="248"/>
      <c r="K135" s="250"/>
      <c r="L135" s="141"/>
      <c r="M135" s="141"/>
      <c r="N135" s="141"/>
    </row>
    <row r="136" spans="8:16" x14ac:dyDescent="0.25">
      <c r="H136" s="229"/>
      <c r="I136" s="248"/>
      <c r="K136" s="250"/>
      <c r="L136" s="141"/>
      <c r="M136" s="141"/>
      <c r="N136" s="141"/>
    </row>
    <row r="137" spans="8:16" x14ac:dyDescent="0.25">
      <c r="H137" s="229"/>
      <c r="I137" s="248"/>
      <c r="P137" s="88" t="s">
        <v>318</v>
      </c>
    </row>
    <row r="138" spans="8:16" x14ac:dyDescent="0.25">
      <c r="H138" s="229"/>
      <c r="I138" s="248"/>
    </row>
    <row r="139" spans="8:16" x14ac:dyDescent="0.25">
      <c r="H139" s="229"/>
      <c r="I139" s="248"/>
    </row>
    <row r="140" spans="8:16" x14ac:dyDescent="0.25">
      <c r="H140" s="229"/>
      <c r="I140" s="248"/>
    </row>
    <row r="141" spans="8:16" x14ac:dyDescent="0.25">
      <c r="H141" s="229"/>
      <c r="I141" s="248"/>
    </row>
    <row r="142" spans="8:16" x14ac:dyDescent="0.25">
      <c r="H142" s="229"/>
      <c r="I142" s="248"/>
    </row>
    <row r="143" spans="8:16" x14ac:dyDescent="0.25">
      <c r="H143" s="229"/>
      <c r="I143" s="248"/>
    </row>
    <row r="144" spans="8:16" x14ac:dyDescent="0.25">
      <c r="H144" s="229"/>
      <c r="I144" s="248"/>
    </row>
    <row r="145" spans="8:9" x14ac:dyDescent="0.25">
      <c r="H145" s="229"/>
      <c r="I145" s="248"/>
    </row>
    <row r="146" spans="8:9" x14ac:dyDescent="0.25">
      <c r="H146" s="229"/>
      <c r="I146" s="248"/>
    </row>
    <row r="147" spans="8:9" x14ac:dyDescent="0.25">
      <c r="H147" s="229"/>
      <c r="I147" s="248"/>
    </row>
    <row r="148" spans="8:9" x14ac:dyDescent="0.25">
      <c r="H148" s="229"/>
      <c r="I148" s="248"/>
    </row>
    <row r="149" spans="8:9" x14ac:dyDescent="0.25">
      <c r="H149" s="229"/>
      <c r="I149" s="248"/>
    </row>
    <row r="150" spans="8:9" x14ac:dyDescent="0.25">
      <c r="H150" s="229"/>
      <c r="I150" s="248"/>
    </row>
    <row r="151" spans="8:9" x14ac:dyDescent="0.25">
      <c r="H151" s="229"/>
      <c r="I151" s="248"/>
    </row>
    <row r="152" spans="8:9" x14ac:dyDescent="0.25">
      <c r="H152" s="229"/>
      <c r="I152" s="248"/>
    </row>
    <row r="153" spans="8:9" x14ac:dyDescent="0.25">
      <c r="H153" s="229"/>
      <c r="I153" s="248"/>
    </row>
    <row r="154" spans="8:9" x14ac:dyDescent="0.25">
      <c r="H154" s="229"/>
      <c r="I154" s="248"/>
    </row>
    <row r="155" spans="8:9" x14ac:dyDescent="0.25">
      <c r="H155" s="229"/>
      <c r="I155" s="248"/>
    </row>
    <row r="156" spans="8:9" x14ac:dyDescent="0.25">
      <c r="H156" s="229"/>
      <c r="I156" s="248"/>
    </row>
    <row r="157" spans="8:9" x14ac:dyDescent="0.25">
      <c r="H157" s="229"/>
      <c r="I157" s="248"/>
    </row>
    <row r="158" spans="8:9" x14ac:dyDescent="0.25">
      <c r="H158" s="229"/>
      <c r="I158" s="248"/>
    </row>
    <row r="159" spans="8:9" x14ac:dyDescent="0.25">
      <c r="H159" s="229"/>
      <c r="I159" s="248"/>
    </row>
    <row r="160" spans="8:9" x14ac:dyDescent="0.25">
      <c r="H160" s="229"/>
      <c r="I160" s="248"/>
    </row>
    <row r="161" spans="8:9" x14ac:dyDescent="0.25">
      <c r="H161" s="229"/>
      <c r="I161" s="248"/>
    </row>
    <row r="162" spans="8:9" x14ac:dyDescent="0.25">
      <c r="H162" s="229"/>
      <c r="I162" s="248"/>
    </row>
    <row r="163" spans="8:9" x14ac:dyDescent="0.25">
      <c r="H163" s="229"/>
      <c r="I163" s="248"/>
    </row>
    <row r="164" spans="8:9" x14ac:dyDescent="0.25">
      <c r="H164" s="229"/>
      <c r="I164" s="248"/>
    </row>
    <row r="165" spans="8:9" x14ac:dyDescent="0.25">
      <c r="H165" s="229"/>
      <c r="I165" s="248"/>
    </row>
    <row r="166" spans="8:9" x14ac:dyDescent="0.25">
      <c r="I166" s="248"/>
    </row>
    <row r="167" spans="8:9" x14ac:dyDescent="0.25">
      <c r="I167" s="248"/>
    </row>
    <row r="168" spans="8:9" x14ac:dyDescent="0.25">
      <c r="I168" s="248"/>
    </row>
    <row r="169" spans="8:9" x14ac:dyDescent="0.25">
      <c r="I169" s="248"/>
    </row>
    <row r="170" spans="8:9" x14ac:dyDescent="0.25">
      <c r="I170" s="248"/>
    </row>
    <row r="171" spans="8:9" x14ac:dyDescent="0.25">
      <c r="I171" s="248"/>
    </row>
    <row r="172" spans="8:9" x14ac:dyDescent="0.25">
      <c r="I172" s="248"/>
    </row>
    <row r="173" spans="8:9" x14ac:dyDescent="0.25">
      <c r="I173" s="248"/>
    </row>
    <row r="174" spans="8:9" x14ac:dyDescent="0.25">
      <c r="I174" s="248"/>
    </row>
    <row r="175" spans="8:9" x14ac:dyDescent="0.25">
      <c r="I175" s="248"/>
    </row>
    <row r="176" spans="8:9" x14ac:dyDescent="0.25">
      <c r="I176" s="248"/>
    </row>
    <row r="177" spans="9:9" x14ac:dyDescent="0.25">
      <c r="I177" s="248"/>
    </row>
    <row r="178" spans="9:9" x14ac:dyDescent="0.25">
      <c r="I178" s="248"/>
    </row>
    <row r="179" spans="9:9" x14ac:dyDescent="0.25">
      <c r="I179" s="248"/>
    </row>
    <row r="180" spans="9:9" x14ac:dyDescent="0.25">
      <c r="I180" s="248"/>
    </row>
    <row r="181" spans="9:9" x14ac:dyDescent="0.25">
      <c r="I181" s="248"/>
    </row>
    <row r="182" spans="9:9" x14ac:dyDescent="0.25">
      <c r="I182" s="248"/>
    </row>
    <row r="183" spans="9:9" x14ac:dyDescent="0.25">
      <c r="I183" s="248"/>
    </row>
    <row r="184" spans="9:9" x14ac:dyDescent="0.25">
      <c r="I184" s="248"/>
    </row>
    <row r="185" spans="9:9" x14ac:dyDescent="0.25">
      <c r="I185" s="248"/>
    </row>
    <row r="186" spans="9:9" x14ac:dyDescent="0.25">
      <c r="I186" s="248"/>
    </row>
    <row r="187" spans="9:9" x14ac:dyDescent="0.25">
      <c r="I187" s="248"/>
    </row>
    <row r="188" spans="9:9" x14ac:dyDescent="0.25">
      <c r="I188" s="248"/>
    </row>
    <row r="189" spans="9:9" x14ac:dyDescent="0.25">
      <c r="I189" s="248"/>
    </row>
    <row r="190" spans="9:9" x14ac:dyDescent="0.25">
      <c r="I190" s="248"/>
    </row>
    <row r="191" spans="9:9" x14ac:dyDescent="0.25">
      <c r="I191" s="248"/>
    </row>
    <row r="192" spans="9:9" x14ac:dyDescent="0.25">
      <c r="I192" s="248"/>
    </row>
    <row r="193" spans="9:9" x14ac:dyDescent="0.25">
      <c r="I193" s="248"/>
    </row>
    <row r="194" spans="9:9" x14ac:dyDescent="0.25">
      <c r="I194" s="248"/>
    </row>
  </sheetData>
  <mergeCells count="4">
    <mergeCell ref="B6:G6"/>
    <mergeCell ref="B26:G26"/>
    <mergeCell ref="Q21:V21"/>
    <mergeCell ref="Q42:V4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E34"/>
  <sheetViews>
    <sheetView workbookViewId="0">
      <selection activeCell="P22" sqref="P22"/>
    </sheetView>
  </sheetViews>
  <sheetFormatPr defaultColWidth="9.140625" defaultRowHeight="15" x14ac:dyDescent="0.25"/>
  <cols>
    <col min="1" max="11" width="9.140625" style="501"/>
    <col min="12" max="12" width="15.140625" style="501" bestFit="1" customWidth="1"/>
    <col min="13" max="13" width="20.140625" style="501" bestFit="1" customWidth="1"/>
    <col min="14" max="16384" width="9.140625" style="501"/>
  </cols>
  <sheetData>
    <row r="1" spans="1:681" x14ac:dyDescent="0.25">
      <c r="A1" s="521"/>
      <c r="B1" s="113"/>
    </row>
    <row r="2" spans="1:681" x14ac:dyDescent="0.25">
      <c r="A2" s="113"/>
      <c r="B2" s="113"/>
    </row>
    <row r="3" spans="1:681" x14ac:dyDescent="0.25">
      <c r="A3" s="113"/>
      <c r="B3" s="113"/>
    </row>
    <row r="4" spans="1:681" x14ac:dyDescent="0.25">
      <c r="L4" s="502" t="s">
        <v>127</v>
      </c>
      <c r="M4" s="502" t="s">
        <v>370</v>
      </c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3"/>
    </row>
    <row r="5" spans="1:681" x14ac:dyDescent="0.25"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3"/>
    </row>
    <row r="6" spans="1:681" x14ac:dyDescent="0.25">
      <c r="C6" s="514" t="s">
        <v>1251</v>
      </c>
      <c r="L6" s="502" t="s">
        <v>788</v>
      </c>
      <c r="M6" s="502" t="s">
        <v>789</v>
      </c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3"/>
    </row>
    <row r="7" spans="1:681" x14ac:dyDescent="0.25">
      <c r="L7" s="504"/>
      <c r="M7" s="504"/>
      <c r="N7" s="516">
        <v>44075</v>
      </c>
      <c r="O7" s="516">
        <v>44076</v>
      </c>
      <c r="P7" s="516">
        <v>44077</v>
      </c>
      <c r="Q7" s="516">
        <v>44078</v>
      </c>
      <c r="R7" s="516">
        <v>44079</v>
      </c>
      <c r="S7" s="516">
        <v>44080</v>
      </c>
      <c r="T7" s="516">
        <v>44081</v>
      </c>
      <c r="U7" s="516">
        <v>44082</v>
      </c>
      <c r="V7" s="516">
        <v>44083</v>
      </c>
      <c r="W7" s="516">
        <v>44084</v>
      </c>
      <c r="X7" s="516">
        <v>44085</v>
      </c>
      <c r="Y7" s="516">
        <v>44086</v>
      </c>
      <c r="Z7" s="516">
        <v>44087</v>
      </c>
      <c r="AA7" s="516">
        <v>44088</v>
      </c>
      <c r="AB7" s="518">
        <v>44089</v>
      </c>
      <c r="AC7" s="518">
        <v>44090</v>
      </c>
      <c r="AD7" s="518">
        <v>44091</v>
      </c>
      <c r="AE7" s="518">
        <v>44092</v>
      </c>
      <c r="AF7" s="518">
        <v>44093</v>
      </c>
      <c r="AG7" s="518">
        <v>44094</v>
      </c>
      <c r="AH7" s="518">
        <v>44095</v>
      </c>
      <c r="AI7" s="518">
        <v>44096</v>
      </c>
      <c r="AJ7" s="518">
        <v>44097</v>
      </c>
      <c r="AK7" s="518">
        <v>44098</v>
      </c>
      <c r="AL7" s="518">
        <v>44099</v>
      </c>
      <c r="AM7" s="518">
        <v>44100</v>
      </c>
      <c r="AN7" s="518">
        <v>44101</v>
      </c>
      <c r="AO7" s="518">
        <v>44102</v>
      </c>
      <c r="AP7" s="518">
        <v>44103</v>
      </c>
      <c r="AQ7" s="518">
        <v>44104</v>
      </c>
      <c r="AR7" s="518">
        <v>44105</v>
      </c>
      <c r="AS7" s="518">
        <v>44106</v>
      </c>
      <c r="AT7" s="518">
        <v>44107</v>
      </c>
      <c r="AU7" s="518">
        <v>44108</v>
      </c>
      <c r="AV7" s="518">
        <v>44109</v>
      </c>
      <c r="AW7" s="518">
        <v>44110</v>
      </c>
      <c r="AX7" s="518">
        <v>44111</v>
      </c>
      <c r="AY7" s="518">
        <v>44112</v>
      </c>
      <c r="AZ7" s="518">
        <v>44113</v>
      </c>
      <c r="BA7" s="518">
        <v>44114</v>
      </c>
      <c r="BB7" s="518">
        <v>44115</v>
      </c>
      <c r="BC7" s="518">
        <v>44116</v>
      </c>
      <c r="BD7" s="518">
        <v>44117</v>
      </c>
      <c r="BE7" s="518">
        <v>44118</v>
      </c>
      <c r="BF7" s="518">
        <v>44119</v>
      </c>
      <c r="BG7" s="518">
        <v>44120</v>
      </c>
      <c r="BH7" s="518">
        <v>44121</v>
      </c>
      <c r="BI7" s="518">
        <v>44122</v>
      </c>
      <c r="BJ7" s="518">
        <v>44123</v>
      </c>
      <c r="BK7" s="518">
        <v>44124</v>
      </c>
      <c r="BL7" s="518">
        <v>44125</v>
      </c>
      <c r="BM7" s="518">
        <v>44126</v>
      </c>
      <c r="BN7" s="518">
        <v>44127</v>
      </c>
      <c r="BO7" s="518">
        <v>44128</v>
      </c>
      <c r="BP7" s="518">
        <v>44129</v>
      </c>
      <c r="BQ7" s="518">
        <v>44130</v>
      </c>
      <c r="BR7" s="518">
        <v>44131</v>
      </c>
      <c r="BS7" s="518">
        <v>44132</v>
      </c>
      <c r="BT7" s="518">
        <v>44133</v>
      </c>
      <c r="BU7" s="518">
        <v>44134</v>
      </c>
      <c r="BV7" s="518">
        <v>44135</v>
      </c>
      <c r="BW7" s="518">
        <v>44136</v>
      </c>
      <c r="BX7" s="518">
        <v>44137</v>
      </c>
      <c r="BY7" s="518">
        <v>44138</v>
      </c>
      <c r="BZ7" s="518">
        <v>44139</v>
      </c>
      <c r="CA7" s="518">
        <v>44140</v>
      </c>
      <c r="CB7" s="518">
        <v>44141</v>
      </c>
      <c r="CC7" s="518">
        <v>44142</v>
      </c>
      <c r="CD7" s="518">
        <v>44143</v>
      </c>
      <c r="CE7" s="518">
        <v>44144</v>
      </c>
      <c r="CF7" s="518">
        <v>44145</v>
      </c>
      <c r="CG7" s="518">
        <v>44146</v>
      </c>
      <c r="CH7" s="518">
        <v>44147</v>
      </c>
      <c r="CI7" s="518">
        <v>44148</v>
      </c>
      <c r="CJ7" s="518">
        <v>44149</v>
      </c>
      <c r="CK7" s="518">
        <v>44150</v>
      </c>
      <c r="CL7" s="518">
        <v>44151</v>
      </c>
      <c r="CM7" s="518">
        <v>44152</v>
      </c>
      <c r="CN7" s="518">
        <v>44153</v>
      </c>
      <c r="CO7" s="518">
        <v>44154</v>
      </c>
      <c r="CP7" s="518">
        <v>44155</v>
      </c>
      <c r="CQ7" s="518">
        <v>44156</v>
      </c>
      <c r="CR7" s="518">
        <v>44157</v>
      </c>
      <c r="CS7" s="518">
        <v>44158</v>
      </c>
      <c r="CT7" s="518">
        <v>44159</v>
      </c>
      <c r="CU7" s="518">
        <v>44160</v>
      </c>
      <c r="CV7" s="518">
        <v>44161</v>
      </c>
      <c r="CW7" s="518">
        <v>44162</v>
      </c>
      <c r="CX7" s="518">
        <v>44163</v>
      </c>
      <c r="CY7" s="518">
        <v>44164</v>
      </c>
      <c r="CZ7" s="518">
        <v>44165</v>
      </c>
      <c r="DA7" s="518">
        <v>44166</v>
      </c>
      <c r="DB7" s="518">
        <v>44167</v>
      </c>
      <c r="DC7" s="518">
        <v>44168</v>
      </c>
      <c r="DD7" s="518">
        <v>44169</v>
      </c>
      <c r="DE7" s="518">
        <v>44170</v>
      </c>
      <c r="DF7" s="518">
        <v>44171</v>
      </c>
      <c r="DG7" s="518">
        <v>44172</v>
      </c>
      <c r="DH7" s="518">
        <v>44173</v>
      </c>
      <c r="DI7" s="518">
        <v>44174</v>
      </c>
      <c r="DJ7" s="518">
        <v>44175</v>
      </c>
      <c r="DK7" s="518">
        <v>44176</v>
      </c>
      <c r="DL7" s="518">
        <v>44177</v>
      </c>
      <c r="DM7" s="518">
        <v>44178</v>
      </c>
      <c r="DN7" s="518">
        <v>44179</v>
      </c>
      <c r="DO7" s="518">
        <v>44180</v>
      </c>
      <c r="DP7" s="518">
        <v>44181</v>
      </c>
      <c r="DQ7" s="518">
        <v>44182</v>
      </c>
      <c r="DR7" s="518">
        <v>44183</v>
      </c>
      <c r="DS7" s="518">
        <v>44184</v>
      </c>
      <c r="DT7" s="518">
        <v>44185</v>
      </c>
      <c r="DU7" s="518">
        <v>44186</v>
      </c>
      <c r="DV7" s="518">
        <v>44187</v>
      </c>
      <c r="DW7" s="518">
        <v>44188</v>
      </c>
      <c r="DX7" s="518">
        <v>44189</v>
      </c>
      <c r="DY7" s="518">
        <v>44190</v>
      </c>
      <c r="DZ7" s="518">
        <v>44191</v>
      </c>
      <c r="EA7" s="518">
        <v>44192</v>
      </c>
      <c r="EB7" s="518">
        <v>44193</v>
      </c>
      <c r="EC7" s="518">
        <v>44194</v>
      </c>
      <c r="ED7" s="518">
        <v>44195</v>
      </c>
      <c r="EE7" s="518">
        <v>44196</v>
      </c>
      <c r="EF7" s="518">
        <v>44197</v>
      </c>
      <c r="EG7" s="518">
        <v>44198</v>
      </c>
      <c r="EH7" s="518">
        <v>44199</v>
      </c>
      <c r="EI7" s="518">
        <v>44200</v>
      </c>
      <c r="EJ7" s="518">
        <v>44201</v>
      </c>
      <c r="EK7" s="518">
        <v>44202</v>
      </c>
      <c r="EL7" s="518">
        <v>44203</v>
      </c>
      <c r="EM7" s="518">
        <v>44204</v>
      </c>
      <c r="EN7" s="518">
        <v>44205</v>
      </c>
      <c r="EO7" s="518">
        <v>44206</v>
      </c>
      <c r="EP7" s="518">
        <v>44207</v>
      </c>
      <c r="EQ7" s="518">
        <v>44208</v>
      </c>
      <c r="ER7" s="518">
        <v>44209</v>
      </c>
      <c r="ES7" s="518">
        <v>44210</v>
      </c>
      <c r="ET7" s="518">
        <v>44211</v>
      </c>
      <c r="EU7" s="518">
        <v>44212</v>
      </c>
      <c r="EV7" s="518">
        <v>44213</v>
      </c>
      <c r="EW7" s="518">
        <v>44214</v>
      </c>
      <c r="EX7" s="518">
        <v>44215</v>
      </c>
      <c r="EY7" s="518">
        <v>44216</v>
      </c>
      <c r="EZ7" s="518">
        <v>44217</v>
      </c>
      <c r="FA7" s="518">
        <v>44218</v>
      </c>
      <c r="FB7" s="518">
        <v>44219</v>
      </c>
      <c r="FC7" s="518">
        <v>44220</v>
      </c>
      <c r="FD7" s="518">
        <v>44221</v>
      </c>
      <c r="FE7" s="518">
        <v>44222</v>
      </c>
      <c r="FF7" s="518">
        <v>44223</v>
      </c>
      <c r="FG7" s="518">
        <v>44224</v>
      </c>
      <c r="FH7" s="518">
        <v>44225</v>
      </c>
      <c r="FI7" s="518">
        <v>44226</v>
      </c>
      <c r="FJ7" s="518">
        <v>44227</v>
      </c>
      <c r="FK7" s="518">
        <v>44228</v>
      </c>
      <c r="FL7" s="518">
        <v>44229</v>
      </c>
      <c r="FM7" s="518">
        <v>44230</v>
      </c>
      <c r="FN7" s="518">
        <v>44231</v>
      </c>
      <c r="FO7" s="518">
        <v>44232</v>
      </c>
      <c r="FP7" s="518">
        <v>44233</v>
      </c>
      <c r="FQ7" s="518">
        <v>44234</v>
      </c>
      <c r="FR7" s="518">
        <v>44235</v>
      </c>
      <c r="FS7" s="518">
        <v>44236</v>
      </c>
      <c r="FT7" s="518">
        <v>44237</v>
      </c>
      <c r="FU7" s="518">
        <v>44238</v>
      </c>
      <c r="FV7" s="518">
        <v>44239</v>
      </c>
      <c r="FW7" s="518">
        <v>44240</v>
      </c>
      <c r="FX7" s="518">
        <v>44241</v>
      </c>
      <c r="FY7" s="518">
        <v>44242</v>
      </c>
      <c r="FZ7" s="518">
        <v>44243</v>
      </c>
      <c r="GA7" s="518">
        <v>44244</v>
      </c>
      <c r="GB7" s="518">
        <v>44245</v>
      </c>
      <c r="GC7" s="518">
        <v>44246</v>
      </c>
      <c r="GD7" s="518">
        <v>44247</v>
      </c>
      <c r="GE7" s="518">
        <v>44248</v>
      </c>
      <c r="GF7" s="518">
        <v>44249</v>
      </c>
      <c r="GG7" s="518">
        <v>44250</v>
      </c>
      <c r="GH7" s="518">
        <v>44251</v>
      </c>
      <c r="GI7" s="518">
        <v>44252</v>
      </c>
      <c r="GJ7" s="518">
        <v>44253</v>
      </c>
      <c r="GK7" s="518">
        <v>44254</v>
      </c>
      <c r="GL7" s="518">
        <v>44255</v>
      </c>
      <c r="GM7" s="518">
        <v>44256</v>
      </c>
      <c r="GN7" s="518">
        <v>44257</v>
      </c>
      <c r="GO7" s="518">
        <v>44258</v>
      </c>
      <c r="GP7" s="518">
        <v>44259</v>
      </c>
      <c r="GQ7" s="518">
        <v>44260</v>
      </c>
      <c r="GR7" s="518">
        <v>44261</v>
      </c>
      <c r="GS7" s="518">
        <v>44262</v>
      </c>
      <c r="GT7" s="518">
        <v>44263</v>
      </c>
      <c r="GU7" s="518">
        <v>44264</v>
      </c>
      <c r="GV7" s="518">
        <v>44265</v>
      </c>
      <c r="GW7" s="518">
        <v>44266</v>
      </c>
      <c r="GX7" s="518">
        <v>44267</v>
      </c>
      <c r="GY7" s="518">
        <v>44268</v>
      </c>
      <c r="GZ7" s="518">
        <v>44269</v>
      </c>
      <c r="HA7" s="518">
        <v>44270</v>
      </c>
      <c r="HB7" s="518">
        <v>44271</v>
      </c>
      <c r="HC7" s="518">
        <v>44272</v>
      </c>
      <c r="HD7" s="518">
        <v>44273</v>
      </c>
      <c r="HE7" s="518">
        <v>44274</v>
      </c>
      <c r="HF7" s="518">
        <v>44275</v>
      </c>
      <c r="HG7" s="518">
        <v>44276</v>
      </c>
      <c r="HH7" s="518">
        <v>44277</v>
      </c>
      <c r="HI7" s="518">
        <v>44278</v>
      </c>
      <c r="HJ7" s="518">
        <v>44279</v>
      </c>
      <c r="HK7" s="518">
        <v>44280</v>
      </c>
      <c r="HL7" s="518">
        <v>44281</v>
      </c>
      <c r="HM7" s="518">
        <v>44282</v>
      </c>
      <c r="HN7" s="518">
        <v>44283</v>
      </c>
      <c r="HO7" s="518">
        <v>44284</v>
      </c>
      <c r="HP7" s="518">
        <v>44285</v>
      </c>
      <c r="HQ7" s="518">
        <v>44286</v>
      </c>
      <c r="HR7" s="518">
        <v>44287</v>
      </c>
      <c r="HS7" s="518">
        <v>44288</v>
      </c>
      <c r="HT7" s="518">
        <v>44289</v>
      </c>
      <c r="HU7" s="518">
        <v>44290</v>
      </c>
      <c r="HV7" s="518">
        <v>44291</v>
      </c>
      <c r="HW7" s="518">
        <v>44292</v>
      </c>
      <c r="HX7" s="518">
        <v>44293</v>
      </c>
      <c r="HY7" s="518">
        <v>44294</v>
      </c>
      <c r="HZ7" s="518">
        <v>44295</v>
      </c>
      <c r="IA7" s="518">
        <v>44296</v>
      </c>
      <c r="IB7" s="518">
        <v>44297</v>
      </c>
      <c r="IC7" s="518">
        <v>44298</v>
      </c>
      <c r="ID7" s="518">
        <v>44299</v>
      </c>
      <c r="IE7" s="518">
        <v>44300</v>
      </c>
      <c r="IF7" s="518">
        <v>44301</v>
      </c>
      <c r="IG7" s="518">
        <v>44302</v>
      </c>
      <c r="IH7" s="518">
        <v>44303</v>
      </c>
      <c r="II7" s="518">
        <v>44304</v>
      </c>
      <c r="IJ7" s="518">
        <v>44305</v>
      </c>
      <c r="IK7" s="518">
        <v>44306</v>
      </c>
      <c r="IL7" s="518">
        <v>44307</v>
      </c>
      <c r="IM7" s="518">
        <v>44308</v>
      </c>
      <c r="IN7" s="518">
        <v>44309</v>
      </c>
      <c r="IO7" s="518">
        <v>44310</v>
      </c>
      <c r="IP7" s="518">
        <v>44311</v>
      </c>
      <c r="IQ7" s="518">
        <v>44312</v>
      </c>
      <c r="IR7" s="518">
        <v>44313</v>
      </c>
      <c r="IS7" s="518">
        <v>44314</v>
      </c>
      <c r="IT7" s="518">
        <v>44315</v>
      </c>
      <c r="IU7" s="518">
        <v>44316</v>
      </c>
      <c r="IV7" s="518">
        <v>44317</v>
      </c>
      <c r="IW7" s="518">
        <v>44318</v>
      </c>
      <c r="IX7" s="518">
        <v>44319</v>
      </c>
      <c r="IY7" s="518">
        <v>44320</v>
      </c>
      <c r="IZ7" s="518">
        <v>44321</v>
      </c>
      <c r="JA7" s="518">
        <v>44322</v>
      </c>
      <c r="JB7" s="518">
        <v>44323</v>
      </c>
      <c r="JC7" s="518">
        <v>44324</v>
      </c>
      <c r="JD7" s="518">
        <v>44325</v>
      </c>
      <c r="JE7" s="518">
        <v>44326</v>
      </c>
      <c r="JF7" s="518">
        <v>44327</v>
      </c>
      <c r="JG7" s="518">
        <v>44328</v>
      </c>
      <c r="JH7" s="518">
        <v>44329</v>
      </c>
      <c r="JI7" s="518">
        <v>44330</v>
      </c>
      <c r="JJ7" s="518">
        <v>44331</v>
      </c>
      <c r="JK7" s="518">
        <v>44332</v>
      </c>
      <c r="JL7" s="518">
        <v>44333</v>
      </c>
      <c r="JM7" s="518">
        <v>44334</v>
      </c>
      <c r="JN7" s="518">
        <v>44335</v>
      </c>
      <c r="JO7" s="518">
        <v>44336</v>
      </c>
      <c r="JP7" s="518">
        <v>44337</v>
      </c>
      <c r="JQ7" s="518">
        <v>44338</v>
      </c>
      <c r="JR7" s="518">
        <v>44339</v>
      </c>
      <c r="JS7" s="518">
        <v>44340</v>
      </c>
      <c r="JT7" s="518">
        <v>44341</v>
      </c>
      <c r="JU7" s="518">
        <v>44342</v>
      </c>
      <c r="JV7" s="518">
        <v>44343</v>
      </c>
      <c r="JW7" s="518">
        <v>44344</v>
      </c>
      <c r="JX7" s="518">
        <v>44345</v>
      </c>
      <c r="JY7" s="518">
        <v>44346</v>
      </c>
      <c r="JZ7" s="518">
        <v>44347</v>
      </c>
      <c r="KA7" s="518">
        <v>44348</v>
      </c>
      <c r="KB7" s="518">
        <v>44349</v>
      </c>
      <c r="KC7" s="518">
        <v>44350</v>
      </c>
      <c r="KD7" s="518">
        <v>44351</v>
      </c>
      <c r="KE7" s="518">
        <v>44352</v>
      </c>
      <c r="KF7" s="518">
        <v>44353</v>
      </c>
      <c r="KG7" s="518">
        <v>44354</v>
      </c>
      <c r="KH7" s="518">
        <v>44355</v>
      </c>
      <c r="KI7" s="518">
        <v>44356</v>
      </c>
      <c r="KJ7" s="518">
        <v>44357</v>
      </c>
      <c r="KK7" s="518">
        <v>44358</v>
      </c>
      <c r="KL7" s="518">
        <v>44359</v>
      </c>
      <c r="KM7" s="518">
        <v>44360</v>
      </c>
      <c r="KN7" s="518">
        <v>44361</v>
      </c>
      <c r="KO7" s="518">
        <v>44362</v>
      </c>
      <c r="KP7" s="518">
        <v>44363</v>
      </c>
      <c r="KQ7" s="518">
        <v>44364</v>
      </c>
      <c r="KR7" s="518">
        <v>44365</v>
      </c>
      <c r="KS7" s="518">
        <v>44366</v>
      </c>
      <c r="KT7" s="518">
        <v>44367</v>
      </c>
      <c r="KU7" s="518">
        <v>44368</v>
      </c>
      <c r="KV7" s="518">
        <v>44369</v>
      </c>
      <c r="KW7" s="518">
        <v>44370</v>
      </c>
      <c r="KX7" s="518">
        <v>44371</v>
      </c>
      <c r="KY7" s="518">
        <v>44372</v>
      </c>
      <c r="KZ7" s="518">
        <v>44373</v>
      </c>
      <c r="LA7" s="518">
        <v>44374</v>
      </c>
      <c r="LB7" s="518">
        <v>44375</v>
      </c>
      <c r="LC7" s="518">
        <v>44376</v>
      </c>
      <c r="LD7" s="518">
        <v>44377</v>
      </c>
      <c r="LE7" s="518">
        <v>44378</v>
      </c>
      <c r="LF7" s="518">
        <v>44379</v>
      </c>
      <c r="LG7" s="518">
        <v>44380</v>
      </c>
      <c r="LH7" s="518">
        <v>44381</v>
      </c>
      <c r="LI7" s="518">
        <v>44382</v>
      </c>
      <c r="LJ7" s="518">
        <v>44383</v>
      </c>
      <c r="LK7" s="518">
        <v>44384</v>
      </c>
      <c r="LL7" s="518">
        <v>44385</v>
      </c>
      <c r="LM7" s="518">
        <v>44386</v>
      </c>
      <c r="LN7" s="518">
        <v>44387</v>
      </c>
      <c r="LO7" s="518">
        <v>44388</v>
      </c>
      <c r="LP7" s="518">
        <v>44389</v>
      </c>
      <c r="LQ7" s="518">
        <v>44390</v>
      </c>
      <c r="LR7" s="518">
        <v>44391</v>
      </c>
      <c r="LS7" s="518">
        <v>44392</v>
      </c>
      <c r="LT7" s="518">
        <v>44393</v>
      </c>
      <c r="LU7" s="518">
        <v>44394</v>
      </c>
      <c r="LV7" s="518">
        <v>44395</v>
      </c>
      <c r="LW7" s="518">
        <v>44396</v>
      </c>
      <c r="LX7" s="518">
        <v>44397</v>
      </c>
      <c r="LY7" s="518">
        <v>44398</v>
      </c>
      <c r="LZ7" s="518">
        <v>44399</v>
      </c>
      <c r="MA7" s="518">
        <v>44400</v>
      </c>
      <c r="MB7" s="518">
        <v>44401</v>
      </c>
      <c r="MC7" s="518">
        <v>44402</v>
      </c>
      <c r="MD7" s="518">
        <v>44403</v>
      </c>
      <c r="ME7" s="518">
        <v>44404</v>
      </c>
      <c r="MF7" s="518">
        <v>44405</v>
      </c>
      <c r="MG7" s="518">
        <v>44406</v>
      </c>
      <c r="MH7" s="518">
        <v>44407</v>
      </c>
      <c r="MI7" s="518">
        <v>44408</v>
      </c>
      <c r="MJ7" s="518">
        <v>44409</v>
      </c>
      <c r="MK7" s="518">
        <v>44410</v>
      </c>
      <c r="ML7" s="518">
        <v>44411</v>
      </c>
      <c r="MM7" s="518">
        <v>44412</v>
      </c>
      <c r="MN7" s="518">
        <v>44413</v>
      </c>
      <c r="MO7" s="518">
        <v>44414</v>
      </c>
      <c r="MP7" s="518">
        <v>44415</v>
      </c>
      <c r="MQ7" s="518">
        <v>44416</v>
      </c>
      <c r="MR7" s="518">
        <v>44417</v>
      </c>
      <c r="MS7" s="518">
        <v>44418</v>
      </c>
      <c r="MT7" s="518">
        <v>44419</v>
      </c>
      <c r="MU7" s="518">
        <v>44420</v>
      </c>
      <c r="MV7" s="518">
        <v>44421</v>
      </c>
      <c r="MW7" s="518">
        <v>44422</v>
      </c>
      <c r="MX7" s="518">
        <v>44423</v>
      </c>
      <c r="MY7" s="518">
        <v>44424</v>
      </c>
      <c r="MZ7" s="518">
        <v>44425</v>
      </c>
      <c r="NA7" s="518">
        <v>44426</v>
      </c>
      <c r="NB7" s="518">
        <v>44427</v>
      </c>
      <c r="NC7" s="518">
        <v>44428</v>
      </c>
      <c r="ND7" s="518">
        <v>44429</v>
      </c>
      <c r="NE7" s="518">
        <v>44430</v>
      </c>
      <c r="NF7" s="518">
        <v>44431</v>
      </c>
      <c r="NG7" s="518">
        <v>44432</v>
      </c>
      <c r="NH7" s="518">
        <v>44433</v>
      </c>
      <c r="NI7" s="518">
        <v>44434</v>
      </c>
      <c r="NJ7" s="518">
        <v>44435</v>
      </c>
      <c r="NK7" s="518">
        <v>44436</v>
      </c>
      <c r="NL7" s="518">
        <v>44437</v>
      </c>
      <c r="NM7" s="518">
        <v>44438</v>
      </c>
      <c r="NN7" s="518">
        <v>44439</v>
      </c>
      <c r="NO7" s="518">
        <v>44440</v>
      </c>
      <c r="NP7" s="518">
        <v>44441</v>
      </c>
      <c r="NQ7" s="518">
        <v>44442</v>
      </c>
      <c r="NR7" s="518">
        <v>44443</v>
      </c>
      <c r="NS7" s="518">
        <v>44444</v>
      </c>
      <c r="NT7" s="518">
        <v>44445</v>
      </c>
      <c r="NU7" s="518">
        <v>44446</v>
      </c>
      <c r="NV7" s="518">
        <v>44447</v>
      </c>
      <c r="NW7" s="518">
        <v>44448</v>
      </c>
      <c r="NX7" s="518">
        <v>44449</v>
      </c>
      <c r="NY7" s="518">
        <v>44450</v>
      </c>
      <c r="NZ7" s="518">
        <v>44451</v>
      </c>
      <c r="OA7" s="518">
        <v>44452</v>
      </c>
      <c r="OB7" s="518">
        <v>44453</v>
      </c>
      <c r="OC7" s="518">
        <v>44454</v>
      </c>
      <c r="OD7" s="518">
        <v>44455</v>
      </c>
      <c r="OE7" s="518">
        <v>44456</v>
      </c>
      <c r="OF7" s="518">
        <v>44457</v>
      </c>
      <c r="OG7" s="518">
        <v>44458</v>
      </c>
      <c r="OH7" s="518">
        <v>44459</v>
      </c>
      <c r="OI7" s="518">
        <v>44460</v>
      </c>
      <c r="OJ7" s="518">
        <v>44461</v>
      </c>
      <c r="OK7" s="518">
        <v>44462</v>
      </c>
      <c r="OL7" s="518">
        <v>44463</v>
      </c>
      <c r="OM7" s="518">
        <v>44464</v>
      </c>
      <c r="ON7" s="518">
        <v>44465</v>
      </c>
      <c r="OO7" s="518">
        <v>44466</v>
      </c>
      <c r="OP7" s="518">
        <v>44467</v>
      </c>
      <c r="OQ7" s="518">
        <v>44468</v>
      </c>
      <c r="OR7" s="518">
        <v>44469</v>
      </c>
      <c r="OS7" s="518">
        <v>44470</v>
      </c>
      <c r="OT7" s="518">
        <v>44471</v>
      </c>
      <c r="OU7" s="518">
        <v>44472</v>
      </c>
      <c r="OV7" s="518">
        <v>44473</v>
      </c>
      <c r="OW7" s="518">
        <v>44474</v>
      </c>
      <c r="OX7" s="518">
        <v>44475</v>
      </c>
      <c r="OY7" s="518">
        <v>44476</v>
      </c>
      <c r="OZ7" s="518">
        <v>44477</v>
      </c>
      <c r="PA7" s="518">
        <v>44478</v>
      </c>
      <c r="PB7" s="518">
        <v>44479</v>
      </c>
      <c r="PC7" s="518">
        <v>44480</v>
      </c>
      <c r="PD7" s="518">
        <v>44481</v>
      </c>
      <c r="PE7" s="518">
        <v>44482</v>
      </c>
      <c r="PF7" s="518">
        <v>44483</v>
      </c>
      <c r="PG7" s="518">
        <v>44484</v>
      </c>
      <c r="PH7" s="518">
        <v>44485</v>
      </c>
      <c r="PI7" s="518">
        <v>44486</v>
      </c>
      <c r="PJ7" s="518">
        <v>44487</v>
      </c>
      <c r="PK7" s="518">
        <v>44488</v>
      </c>
      <c r="PL7" s="518">
        <v>44489</v>
      </c>
      <c r="PM7" s="518">
        <v>44490</v>
      </c>
      <c r="PN7" s="518">
        <v>44491</v>
      </c>
      <c r="PO7" s="518">
        <v>44492</v>
      </c>
      <c r="PP7" s="518">
        <v>44493</v>
      </c>
      <c r="PQ7" s="518">
        <v>44494</v>
      </c>
      <c r="PR7" s="518">
        <v>44495</v>
      </c>
      <c r="PS7" s="518">
        <v>44496</v>
      </c>
      <c r="PT7" s="518">
        <v>44497</v>
      </c>
      <c r="PU7" s="518">
        <v>44498</v>
      </c>
      <c r="PV7" s="518">
        <v>44499</v>
      </c>
      <c r="PW7" s="518">
        <v>44500</v>
      </c>
      <c r="PX7" s="518">
        <v>44501</v>
      </c>
      <c r="PY7" s="518">
        <v>44502</v>
      </c>
      <c r="PZ7" s="518">
        <v>44503</v>
      </c>
      <c r="QA7" s="518">
        <v>44504</v>
      </c>
      <c r="QB7" s="518">
        <v>44505</v>
      </c>
      <c r="QC7" s="518">
        <v>44506</v>
      </c>
      <c r="QD7" s="518">
        <v>44507</v>
      </c>
      <c r="QE7" s="518">
        <v>44508</v>
      </c>
      <c r="QF7" s="518">
        <v>44509</v>
      </c>
      <c r="QG7" s="518">
        <v>44510</v>
      </c>
      <c r="QH7" s="518">
        <v>44511</v>
      </c>
      <c r="QI7" s="518">
        <v>44512</v>
      </c>
      <c r="QJ7" s="518">
        <v>44513</v>
      </c>
      <c r="QK7" s="518">
        <v>44514</v>
      </c>
      <c r="QL7" s="518">
        <v>44515</v>
      </c>
      <c r="QM7" s="518">
        <v>44516</v>
      </c>
      <c r="QN7" s="518">
        <v>44517</v>
      </c>
      <c r="QO7" s="518">
        <v>44518</v>
      </c>
      <c r="QP7" s="518">
        <v>44519</v>
      </c>
      <c r="QQ7" s="518">
        <v>44520</v>
      </c>
      <c r="QR7" s="518">
        <v>44521</v>
      </c>
      <c r="QS7" s="518">
        <v>44522</v>
      </c>
      <c r="QT7" s="518">
        <v>44523</v>
      </c>
      <c r="QU7" s="518">
        <v>44524</v>
      </c>
      <c r="QV7" s="518">
        <v>44525</v>
      </c>
      <c r="QW7" s="518">
        <v>44526</v>
      </c>
      <c r="QX7" s="518">
        <v>44527</v>
      </c>
      <c r="QY7" s="518">
        <v>44528</v>
      </c>
      <c r="QZ7" s="518">
        <v>44529</v>
      </c>
      <c r="RA7" s="518">
        <v>44530</v>
      </c>
      <c r="RB7" s="518">
        <v>44531</v>
      </c>
      <c r="RC7" s="518">
        <v>44532</v>
      </c>
      <c r="RD7" s="518">
        <v>44533</v>
      </c>
      <c r="RE7" s="518">
        <v>44534</v>
      </c>
      <c r="RF7" s="518">
        <v>44535</v>
      </c>
      <c r="RG7" s="518">
        <v>44536</v>
      </c>
      <c r="RH7" s="518">
        <v>44537</v>
      </c>
      <c r="RI7" s="518">
        <v>44538</v>
      </c>
      <c r="RJ7" s="518">
        <v>44539</v>
      </c>
      <c r="RK7" s="518">
        <v>44540</v>
      </c>
      <c r="RL7" s="518">
        <v>44541</v>
      </c>
      <c r="RM7" s="518">
        <v>44542</v>
      </c>
      <c r="RN7" s="518">
        <v>44543</v>
      </c>
      <c r="RO7" s="518">
        <v>44544</v>
      </c>
      <c r="RP7" s="518">
        <v>44545</v>
      </c>
      <c r="RQ7" s="518">
        <v>44546</v>
      </c>
      <c r="RR7" s="518">
        <v>44547</v>
      </c>
      <c r="RS7" s="518">
        <v>44548</v>
      </c>
      <c r="RT7" s="518">
        <v>44549</v>
      </c>
      <c r="RU7" s="518">
        <v>44550</v>
      </c>
      <c r="RV7" s="518">
        <v>44551</v>
      </c>
      <c r="RW7" s="518">
        <v>44552</v>
      </c>
      <c r="RX7" s="518">
        <v>44553</v>
      </c>
      <c r="RY7" s="518">
        <v>44554</v>
      </c>
      <c r="RZ7" s="518">
        <v>44555</v>
      </c>
      <c r="SA7" s="518">
        <v>44556</v>
      </c>
      <c r="SB7" s="518">
        <v>44557</v>
      </c>
      <c r="SC7" s="518">
        <v>44558</v>
      </c>
      <c r="SD7" s="518">
        <v>44559</v>
      </c>
      <c r="SE7" s="518">
        <v>44560</v>
      </c>
      <c r="SF7" s="518">
        <v>44561</v>
      </c>
      <c r="SG7" s="518">
        <v>44562</v>
      </c>
      <c r="SH7" s="518">
        <v>44563</v>
      </c>
      <c r="SI7" s="518">
        <v>44564</v>
      </c>
      <c r="SJ7" s="518">
        <v>44565</v>
      </c>
      <c r="SK7" s="518">
        <v>44566</v>
      </c>
      <c r="SL7" s="518">
        <v>44567</v>
      </c>
      <c r="SM7" s="518">
        <v>44568</v>
      </c>
      <c r="SN7" s="518">
        <v>44569</v>
      </c>
      <c r="SO7" s="518">
        <v>44570</v>
      </c>
      <c r="SP7" s="518">
        <v>44571</v>
      </c>
      <c r="SQ7" s="518">
        <v>44572</v>
      </c>
      <c r="SR7" s="518">
        <v>44573</v>
      </c>
      <c r="SS7" s="518">
        <v>44574</v>
      </c>
      <c r="ST7" s="518">
        <v>44575</v>
      </c>
      <c r="SU7" s="518">
        <v>44576</v>
      </c>
      <c r="SV7" s="518">
        <v>44577</v>
      </c>
      <c r="SW7" s="518">
        <v>44578</v>
      </c>
      <c r="SX7" s="518">
        <v>44579</v>
      </c>
      <c r="SY7" s="518">
        <v>44580</v>
      </c>
      <c r="SZ7" s="518">
        <v>44581</v>
      </c>
      <c r="TA7" s="518">
        <v>44582</v>
      </c>
      <c r="TB7" s="518">
        <v>44583</v>
      </c>
      <c r="TC7" s="518">
        <v>44584</v>
      </c>
      <c r="TD7" s="518">
        <v>44585</v>
      </c>
      <c r="TE7" s="518">
        <v>44586</v>
      </c>
      <c r="TF7" s="518">
        <v>44587</v>
      </c>
      <c r="TG7" s="518">
        <v>44588</v>
      </c>
      <c r="TH7" s="518">
        <v>44589</v>
      </c>
      <c r="TI7" s="518">
        <v>44590</v>
      </c>
      <c r="TJ7" s="518">
        <v>44591</v>
      </c>
      <c r="TK7" s="518">
        <v>44592</v>
      </c>
      <c r="TL7" s="518">
        <v>44593</v>
      </c>
      <c r="TM7" s="518">
        <v>44594</v>
      </c>
      <c r="TN7" s="518">
        <v>44595</v>
      </c>
      <c r="TO7" s="518">
        <v>44596</v>
      </c>
      <c r="TP7" s="518">
        <v>44597</v>
      </c>
      <c r="TQ7" s="518">
        <v>44598</v>
      </c>
      <c r="TR7" s="518">
        <v>44599</v>
      </c>
      <c r="TS7" s="518">
        <v>44600</v>
      </c>
      <c r="TT7" s="518">
        <v>44601</v>
      </c>
      <c r="TU7" s="518">
        <v>44602</v>
      </c>
      <c r="TV7" s="518">
        <v>44603</v>
      </c>
      <c r="TW7" s="518">
        <v>44604</v>
      </c>
      <c r="TX7" s="518">
        <v>44605</v>
      </c>
      <c r="TY7" s="518">
        <v>44606</v>
      </c>
      <c r="TZ7" s="518">
        <v>44607</v>
      </c>
      <c r="UA7" s="518">
        <v>44608</v>
      </c>
      <c r="UB7" s="518">
        <v>44609</v>
      </c>
      <c r="UC7" s="518">
        <v>44610</v>
      </c>
      <c r="UD7" s="518">
        <v>44611</v>
      </c>
      <c r="UE7" s="518">
        <v>44612</v>
      </c>
      <c r="UF7" s="518">
        <v>44613</v>
      </c>
      <c r="UG7" s="518">
        <v>44614</v>
      </c>
      <c r="UH7" s="518">
        <v>44615</v>
      </c>
      <c r="UI7" s="518">
        <v>44616</v>
      </c>
      <c r="UJ7" s="518">
        <v>44617</v>
      </c>
      <c r="UK7" s="518">
        <v>44618</v>
      </c>
      <c r="UL7" s="518">
        <v>44619</v>
      </c>
      <c r="UM7" s="518">
        <v>44620</v>
      </c>
      <c r="UN7" s="518">
        <v>44621</v>
      </c>
      <c r="UO7" s="518">
        <v>44622</v>
      </c>
      <c r="UP7" s="518">
        <v>44623</v>
      </c>
      <c r="UQ7" s="518">
        <v>44624</v>
      </c>
      <c r="UR7" s="518">
        <v>44625</v>
      </c>
      <c r="US7" s="518">
        <v>44626</v>
      </c>
      <c r="UT7" s="518">
        <v>44627</v>
      </c>
      <c r="UU7" s="518">
        <v>44628</v>
      </c>
      <c r="UV7" s="518">
        <v>44629</v>
      </c>
      <c r="UW7" s="518">
        <v>44630</v>
      </c>
      <c r="UX7" s="518">
        <v>44631</v>
      </c>
      <c r="UY7" s="518">
        <v>44632</v>
      </c>
      <c r="UZ7" s="518">
        <v>44633</v>
      </c>
      <c r="VA7" s="518">
        <v>44634</v>
      </c>
      <c r="VB7" s="518">
        <v>44635</v>
      </c>
      <c r="VC7" s="518">
        <v>44636</v>
      </c>
      <c r="VD7" s="518">
        <v>44637</v>
      </c>
      <c r="VE7" s="518">
        <v>44638</v>
      </c>
      <c r="VF7" s="518">
        <v>44639</v>
      </c>
      <c r="VG7" s="518">
        <v>44640</v>
      </c>
      <c r="VH7" s="518">
        <v>44641</v>
      </c>
      <c r="VI7" s="518">
        <v>44642</v>
      </c>
      <c r="VJ7" s="518">
        <v>44643</v>
      </c>
      <c r="VK7" s="518">
        <v>44644</v>
      </c>
      <c r="VL7" s="518">
        <v>44645</v>
      </c>
      <c r="VM7" s="518">
        <v>44646</v>
      </c>
      <c r="VN7" s="518">
        <v>44647</v>
      </c>
      <c r="VO7" s="518">
        <v>44648</v>
      </c>
      <c r="VP7" s="518">
        <v>44649</v>
      </c>
      <c r="VQ7" s="518">
        <v>44650</v>
      </c>
      <c r="VR7" s="518">
        <v>44651</v>
      </c>
      <c r="VS7" s="518">
        <v>44652</v>
      </c>
      <c r="VT7" s="518">
        <v>44653</v>
      </c>
      <c r="VU7" s="518">
        <v>44654</v>
      </c>
      <c r="VV7" s="518">
        <v>44655</v>
      </c>
      <c r="VW7" s="518">
        <v>44656</v>
      </c>
      <c r="VX7" s="518">
        <v>44657</v>
      </c>
      <c r="VY7" s="518">
        <v>44658</v>
      </c>
      <c r="VZ7" s="518">
        <v>44659</v>
      </c>
      <c r="WA7" s="518">
        <v>44660</v>
      </c>
      <c r="WB7" s="518">
        <v>44661</v>
      </c>
      <c r="WC7" s="518">
        <v>44662</v>
      </c>
      <c r="WD7" s="518">
        <v>44663</v>
      </c>
      <c r="WE7" s="518">
        <v>44664</v>
      </c>
      <c r="WF7" s="518">
        <v>44665</v>
      </c>
      <c r="WG7" s="518">
        <v>44666</v>
      </c>
      <c r="WH7" s="518">
        <v>44667</v>
      </c>
      <c r="WI7" s="518">
        <v>44668</v>
      </c>
      <c r="WJ7" s="518">
        <v>44669</v>
      </c>
      <c r="WK7" s="518">
        <v>44670</v>
      </c>
      <c r="WL7" s="518">
        <v>44671</v>
      </c>
      <c r="WM7" s="518">
        <v>44672</v>
      </c>
      <c r="WN7" s="518">
        <v>44673</v>
      </c>
      <c r="WO7" s="518">
        <v>44674</v>
      </c>
      <c r="WP7" s="518">
        <v>44675</v>
      </c>
      <c r="WQ7" s="518">
        <v>44676</v>
      </c>
      <c r="WR7" s="518">
        <v>44677</v>
      </c>
      <c r="WS7" s="518">
        <v>44678</v>
      </c>
      <c r="WT7" s="518">
        <v>44679</v>
      </c>
      <c r="WU7" s="518">
        <v>44680</v>
      </c>
      <c r="WV7" s="518">
        <v>44681</v>
      </c>
      <c r="WW7" s="518">
        <v>44682</v>
      </c>
      <c r="WX7" s="518">
        <v>44683</v>
      </c>
      <c r="WY7" s="518">
        <v>44684</v>
      </c>
      <c r="WZ7" s="518">
        <v>44685</v>
      </c>
      <c r="XA7" s="518">
        <v>44686</v>
      </c>
      <c r="XB7" s="518">
        <v>44687</v>
      </c>
      <c r="XC7" s="518">
        <v>44688</v>
      </c>
      <c r="XD7" s="518">
        <v>44689</v>
      </c>
      <c r="XE7" s="518">
        <v>44690</v>
      </c>
      <c r="XF7" s="518">
        <v>44691</v>
      </c>
      <c r="XG7" s="518">
        <v>44692</v>
      </c>
      <c r="XH7" s="518">
        <v>44693</v>
      </c>
      <c r="XI7" s="518">
        <v>44694</v>
      </c>
      <c r="XJ7" s="518">
        <v>44695</v>
      </c>
      <c r="XK7" s="518">
        <v>44696</v>
      </c>
      <c r="XL7" s="518">
        <v>44697</v>
      </c>
      <c r="XM7" s="518">
        <v>44698</v>
      </c>
      <c r="XN7" s="518">
        <v>44699</v>
      </c>
      <c r="XO7" s="518">
        <v>44700</v>
      </c>
      <c r="XP7" s="518">
        <v>44701</v>
      </c>
      <c r="XQ7" s="518">
        <v>44702</v>
      </c>
      <c r="XR7" s="518">
        <v>44703</v>
      </c>
      <c r="XS7" s="518">
        <v>44704</v>
      </c>
      <c r="XT7" s="518">
        <v>44705</v>
      </c>
      <c r="XU7" s="518">
        <v>44706</v>
      </c>
      <c r="XV7" s="518">
        <v>44707</v>
      </c>
      <c r="XW7" s="518">
        <v>44708</v>
      </c>
      <c r="XX7" s="518">
        <v>44709</v>
      </c>
      <c r="XY7" s="518">
        <v>44710</v>
      </c>
      <c r="XZ7" s="518">
        <v>44711</v>
      </c>
      <c r="YA7" s="518">
        <v>44712</v>
      </c>
      <c r="YB7" s="518">
        <v>44713</v>
      </c>
      <c r="YC7" s="518">
        <v>44714</v>
      </c>
      <c r="YD7" s="518">
        <v>44715</v>
      </c>
      <c r="YE7" s="518">
        <v>44716</v>
      </c>
      <c r="YF7" s="518">
        <v>44717</v>
      </c>
      <c r="YG7" s="518">
        <v>44718</v>
      </c>
      <c r="YH7" s="518">
        <v>44719</v>
      </c>
      <c r="YI7" s="518">
        <v>44720</v>
      </c>
      <c r="YJ7" s="518">
        <v>44721</v>
      </c>
      <c r="YK7" s="518">
        <v>44722</v>
      </c>
      <c r="YL7" s="518">
        <v>44723</v>
      </c>
      <c r="YM7" s="518">
        <v>44724</v>
      </c>
      <c r="YN7" s="518">
        <v>44725</v>
      </c>
      <c r="YO7" s="518">
        <v>44726</v>
      </c>
      <c r="YP7" s="518">
        <v>44727</v>
      </c>
      <c r="YQ7" s="518">
        <v>44728</v>
      </c>
      <c r="YR7" s="518">
        <v>44729</v>
      </c>
      <c r="YS7" s="518">
        <v>44730</v>
      </c>
      <c r="YT7" s="518">
        <v>44731</v>
      </c>
      <c r="YU7" s="518">
        <v>44732</v>
      </c>
      <c r="YV7" s="518">
        <v>44733</v>
      </c>
      <c r="YW7" s="518">
        <v>44734</v>
      </c>
      <c r="YX7" s="518">
        <v>44735</v>
      </c>
      <c r="YY7" s="518">
        <v>44736</v>
      </c>
      <c r="YZ7" s="518">
        <v>44737</v>
      </c>
      <c r="ZA7" s="518">
        <v>44738</v>
      </c>
      <c r="ZB7" s="518">
        <v>44739</v>
      </c>
      <c r="ZC7" s="518">
        <v>44740</v>
      </c>
      <c r="ZD7" s="518">
        <v>44741</v>
      </c>
      <c r="ZE7" s="518">
        <v>44742</v>
      </c>
    </row>
    <row r="8" spans="1:681" x14ac:dyDescent="0.25">
      <c r="L8" s="502" t="s">
        <v>790</v>
      </c>
      <c r="M8" s="502" t="s">
        <v>791</v>
      </c>
      <c r="N8" s="519">
        <v>76.561599999999999</v>
      </c>
      <c r="O8" s="519">
        <v>72.141649999999998</v>
      </c>
      <c r="P8" s="519">
        <v>76.561599999999999</v>
      </c>
      <c r="Q8" s="519">
        <v>81.55380000000001</v>
      </c>
      <c r="R8" s="519">
        <v>97.522299999999987</v>
      </c>
      <c r="S8" s="519">
        <v>105.22314999999999</v>
      </c>
      <c r="T8" s="519">
        <v>102.5145</v>
      </c>
      <c r="U8" s="519">
        <v>105.22314999999999</v>
      </c>
      <c r="V8" s="519">
        <v>120.61940000000001</v>
      </c>
      <c r="W8" s="519">
        <v>128.74535</v>
      </c>
      <c r="X8" s="519">
        <v>135.73225000000002</v>
      </c>
      <c r="Y8" s="519">
        <v>132.16795000000002</v>
      </c>
      <c r="Z8" s="519">
        <v>130.88720000000001</v>
      </c>
      <c r="AA8" s="519">
        <v>134.59320000000002</v>
      </c>
      <c r="AB8" s="517">
        <v>148.41985</v>
      </c>
      <c r="AC8" s="517">
        <v>138.58260000000001</v>
      </c>
      <c r="AD8" s="517">
        <v>136.1628</v>
      </c>
      <c r="AE8" s="517">
        <v>143.14425</v>
      </c>
      <c r="AF8" s="517">
        <v>155.8373</v>
      </c>
      <c r="AG8" s="517">
        <v>163.24930000000001</v>
      </c>
      <c r="AH8" s="517">
        <v>167.66925000000001</v>
      </c>
      <c r="AI8" s="517">
        <v>165.81625</v>
      </c>
      <c r="AJ8" s="517">
        <v>200.89245</v>
      </c>
      <c r="AK8" s="517">
        <v>229.26515000000001</v>
      </c>
      <c r="AL8" s="517">
        <v>255.49600000000001</v>
      </c>
      <c r="AM8" s="517">
        <v>292.8503</v>
      </c>
      <c r="AN8" s="517">
        <v>342.3254</v>
      </c>
      <c r="AO8" s="517">
        <v>368.8451</v>
      </c>
      <c r="AP8" s="517">
        <v>376.82935000000003</v>
      </c>
      <c r="AQ8" s="517">
        <v>409.4803</v>
      </c>
      <c r="AR8" s="517">
        <v>471.78470000000004</v>
      </c>
      <c r="AS8" s="517">
        <v>508.85559999999998</v>
      </c>
      <c r="AT8" s="517">
        <v>530.52480000000003</v>
      </c>
      <c r="AU8" s="517">
        <v>579.00255000000004</v>
      </c>
      <c r="AV8" s="517">
        <v>591.54845</v>
      </c>
      <c r="AW8" s="517">
        <v>604.24150000000009</v>
      </c>
      <c r="AX8" s="517">
        <v>648.43555000000003</v>
      </c>
      <c r="AY8" s="517">
        <v>682.65610000000004</v>
      </c>
      <c r="AZ8" s="517">
        <v>754.65604999999994</v>
      </c>
      <c r="BA8" s="517">
        <v>923.32810000000006</v>
      </c>
      <c r="BB8" s="517">
        <v>956.97640000000013</v>
      </c>
      <c r="BC8" s="517">
        <v>978.50390000000004</v>
      </c>
      <c r="BD8" s="517">
        <v>1008.5879000000001</v>
      </c>
      <c r="BE8" s="517">
        <v>1084.57725</v>
      </c>
      <c r="BF8" s="517">
        <v>1211.75845</v>
      </c>
      <c r="BG8" s="517">
        <v>1338.7925</v>
      </c>
      <c r="BH8" s="517">
        <v>1350.34105</v>
      </c>
      <c r="BI8" s="517">
        <v>1423.4855</v>
      </c>
      <c r="BJ8" s="517">
        <v>1474.24135</v>
      </c>
      <c r="BK8" s="517">
        <v>1499.0497500000001</v>
      </c>
      <c r="BL8" s="517">
        <v>1611.9683</v>
      </c>
      <c r="BM8" s="517">
        <v>1583.3122000000001</v>
      </c>
      <c r="BN8" s="517">
        <v>1655.4538499999999</v>
      </c>
      <c r="BO8" s="517">
        <v>1786.9133000000002</v>
      </c>
      <c r="BP8" s="517">
        <v>1997.2124500000002</v>
      </c>
      <c r="BQ8" s="517">
        <v>2061.6587</v>
      </c>
      <c r="BR8" s="517">
        <v>2089.6008500000003</v>
      </c>
      <c r="BS8" s="517">
        <v>2187.26485</v>
      </c>
      <c r="BT8" s="517">
        <v>2337.9682500000004</v>
      </c>
      <c r="BU8" s="517">
        <v>2449.4643500000002</v>
      </c>
      <c r="BV8" s="517">
        <v>2404.2674999999999</v>
      </c>
      <c r="BW8" s="517">
        <v>2295.9105999999997</v>
      </c>
      <c r="BX8" s="517">
        <v>2377.3227000000002</v>
      </c>
      <c r="BY8" s="517">
        <v>2495.09175</v>
      </c>
      <c r="BZ8" s="517">
        <v>2541.9944500000001</v>
      </c>
      <c r="CA8" s="517">
        <v>2424.6559500000003</v>
      </c>
      <c r="CB8" s="517">
        <v>2280.7977500000002</v>
      </c>
      <c r="CC8" s="517">
        <v>2281.6534000000001</v>
      </c>
      <c r="CD8" s="517">
        <v>2216.9237499999999</v>
      </c>
      <c r="CE8" s="517">
        <v>2030.7190499999999</v>
      </c>
      <c r="CF8" s="517">
        <v>1934.3357999999998</v>
      </c>
      <c r="CG8" s="517">
        <v>1769.2335</v>
      </c>
      <c r="CH8" s="517">
        <v>1858.9132500000001</v>
      </c>
      <c r="CI8" s="517">
        <v>1811.8634</v>
      </c>
      <c r="CJ8" s="517">
        <v>1696.6613000000002</v>
      </c>
      <c r="CK8" s="517">
        <v>1607.1232500000001</v>
      </c>
      <c r="CL8" s="517">
        <v>1597.4277</v>
      </c>
      <c r="CM8" s="517">
        <v>1636.6350000000002</v>
      </c>
      <c r="CN8" s="517">
        <v>1530.1311000000001</v>
      </c>
      <c r="CO8" s="517">
        <v>1398.1048500000002</v>
      </c>
      <c r="CP8" s="517">
        <v>1368.7348000000002</v>
      </c>
      <c r="CQ8" s="517">
        <v>1381.5641000000001</v>
      </c>
      <c r="CR8" s="517">
        <v>1350.7716</v>
      </c>
      <c r="CS8" s="517">
        <v>1311.13375</v>
      </c>
      <c r="CT8" s="517">
        <v>1267.6482000000001</v>
      </c>
      <c r="CU8" s="517">
        <v>1338.9341999999999</v>
      </c>
      <c r="CV8" s="517">
        <v>1379.9999500000001</v>
      </c>
      <c r="CW8" s="517">
        <v>1384.4199000000001</v>
      </c>
      <c r="CX8" s="517">
        <v>1336.6561000000002</v>
      </c>
      <c r="CY8" s="517">
        <v>1353.3385499999999</v>
      </c>
      <c r="CZ8" s="517">
        <v>1348.34635</v>
      </c>
      <c r="DA8" s="517">
        <v>1381.5641000000001</v>
      </c>
      <c r="DB8" s="517">
        <v>1414.6456000000001</v>
      </c>
      <c r="DC8" s="517">
        <v>1418.7767000000001</v>
      </c>
      <c r="DD8" s="517">
        <v>1466.5404999999998</v>
      </c>
      <c r="DE8" s="517">
        <v>1544.1049</v>
      </c>
      <c r="DF8" s="517">
        <v>1568.05765</v>
      </c>
      <c r="DG8" s="517">
        <v>1618.8135</v>
      </c>
      <c r="DH8" s="517">
        <v>1717.9054000000001</v>
      </c>
      <c r="DI8" s="517">
        <v>1792.1888999999999</v>
      </c>
      <c r="DJ8" s="517">
        <v>1955.1548000000003</v>
      </c>
      <c r="DK8" s="517">
        <v>1952.5878500000001</v>
      </c>
      <c r="DL8" s="517">
        <v>2185.9841000000001</v>
      </c>
      <c r="DM8" s="517">
        <v>2317.2964000000002</v>
      </c>
      <c r="DN8" s="517">
        <v>2310.5929000000001</v>
      </c>
      <c r="DO8" s="517">
        <v>2322.7136999999998</v>
      </c>
      <c r="DP8" s="517">
        <v>2465.4328500000001</v>
      </c>
      <c r="DQ8" s="517">
        <v>2454.0259999999998</v>
      </c>
      <c r="DR8" s="517">
        <v>2714.2308000000003</v>
      </c>
      <c r="DS8" s="517">
        <v>2634.9551000000001</v>
      </c>
      <c r="DT8" s="517">
        <v>2616.5668000000001</v>
      </c>
      <c r="DU8" s="517">
        <v>2718.3618999999999</v>
      </c>
      <c r="DV8" s="517">
        <v>2808.0471000000002</v>
      </c>
      <c r="DW8" s="517">
        <v>2825.4380499999997</v>
      </c>
      <c r="DX8" s="517">
        <v>2770.1205500000001</v>
      </c>
      <c r="DY8" s="517">
        <v>2777.9631000000004</v>
      </c>
      <c r="DZ8" s="517">
        <v>2477.1230999999998</v>
      </c>
      <c r="EA8" s="517">
        <v>2307.8842500000001</v>
      </c>
      <c r="EB8" s="517">
        <v>2215.21245</v>
      </c>
      <c r="EC8" s="517">
        <v>2134.2309</v>
      </c>
      <c r="ED8" s="517">
        <v>2042.1259</v>
      </c>
      <c r="EE8" s="517">
        <v>2563.6691000000001</v>
      </c>
      <c r="EF8" s="517">
        <v>2694.6979999999999</v>
      </c>
      <c r="EG8" s="517">
        <v>2793.7898999999998</v>
      </c>
      <c r="EH8" s="517">
        <v>2842.9761500000004</v>
      </c>
      <c r="EI8" s="517">
        <v>2852.5299999999997</v>
      </c>
      <c r="EJ8" s="517">
        <v>2979.9946</v>
      </c>
      <c r="EK8" s="517">
        <v>3253.4538000000002</v>
      </c>
      <c r="EL8" s="517">
        <v>2657.7687999999998</v>
      </c>
      <c r="EM8" s="517">
        <v>2374.7557500000003</v>
      </c>
      <c r="EN8" s="517">
        <v>2707.8161500000001</v>
      </c>
      <c r="EO8" s="517">
        <v>2957.8948499999997</v>
      </c>
      <c r="EP8" s="517">
        <v>2989.83185</v>
      </c>
      <c r="EQ8" s="517">
        <v>2907.2807000000003</v>
      </c>
      <c r="ER8" s="517">
        <v>2710.0942500000001</v>
      </c>
      <c r="ES8" s="517">
        <v>2822.1626000000001</v>
      </c>
      <c r="ET8" s="517">
        <v>2786.3724500000003</v>
      </c>
      <c r="EU8" s="517">
        <v>2497.36985</v>
      </c>
      <c r="EV8" s="517">
        <v>2155.18615</v>
      </c>
      <c r="EW8" s="517">
        <v>2183.70055</v>
      </c>
      <c r="EX8" s="517">
        <v>2112.2728499999998</v>
      </c>
      <c r="EY8" s="517">
        <v>1956.57725</v>
      </c>
      <c r="EZ8" s="517">
        <v>1891.1336500000002</v>
      </c>
      <c r="FA8" s="517">
        <v>1756.54045</v>
      </c>
      <c r="FB8" s="517">
        <v>1685.11275</v>
      </c>
      <c r="FC8" s="517">
        <v>1875.0234500000001</v>
      </c>
      <c r="FD8" s="517">
        <v>1802.4512500000001</v>
      </c>
      <c r="FE8" s="517">
        <v>1756.971</v>
      </c>
      <c r="FF8" s="517">
        <v>1798.4618500000001</v>
      </c>
      <c r="FG8" s="517">
        <v>1737.2964999999999</v>
      </c>
      <c r="FH8" s="517">
        <v>1850.7873</v>
      </c>
      <c r="FI8" s="517">
        <v>1941.7478000000001</v>
      </c>
      <c r="FJ8" s="517">
        <v>1915.8003500000002</v>
      </c>
      <c r="FK8" s="517">
        <v>1900.5458000000001</v>
      </c>
      <c r="FL8" s="517">
        <v>1921.5065</v>
      </c>
      <c r="FM8" s="517">
        <v>1915.3752500000001</v>
      </c>
      <c r="FN8" s="517">
        <v>1921.3593500000002</v>
      </c>
      <c r="FO8" s="517">
        <v>1928.3462500000001</v>
      </c>
      <c r="FP8" s="517">
        <v>1936.7610500000003</v>
      </c>
      <c r="FQ8" s="517">
        <v>1912.3777499999999</v>
      </c>
      <c r="FR8" s="517">
        <v>1957.0078000000001</v>
      </c>
      <c r="FS8" s="517">
        <v>1955.1548000000003</v>
      </c>
      <c r="FT8" s="517">
        <v>2018.88165</v>
      </c>
      <c r="FU8" s="517">
        <v>2077.33835</v>
      </c>
      <c r="FV8" s="517">
        <v>2048.9656500000001</v>
      </c>
      <c r="FW8" s="517">
        <v>2061.6587</v>
      </c>
      <c r="FX8" s="517">
        <v>2046.82925</v>
      </c>
      <c r="FY8" s="517">
        <v>2020.4512500000003</v>
      </c>
      <c r="FZ8" s="517">
        <v>1980.2466000000002</v>
      </c>
      <c r="GA8" s="517">
        <v>1978.6770000000001</v>
      </c>
      <c r="GB8" s="517">
        <v>1988.37255</v>
      </c>
      <c r="GC8" s="517">
        <v>1974.3987499999998</v>
      </c>
      <c r="GD8" s="517">
        <v>2027.8687000000002</v>
      </c>
      <c r="GE8" s="517">
        <v>2061.8004000000001</v>
      </c>
      <c r="GF8" s="517">
        <v>2072.7767000000003</v>
      </c>
      <c r="GG8" s="517">
        <v>2152.0524</v>
      </c>
      <c r="GH8" s="517">
        <v>2206.0891499999998</v>
      </c>
      <c r="GI8" s="517">
        <v>2189.4067</v>
      </c>
      <c r="GJ8" s="517">
        <v>2233.8896</v>
      </c>
      <c r="GK8" s="517">
        <v>2254.2780500000003</v>
      </c>
      <c r="GL8" s="517">
        <v>2272.6718000000001</v>
      </c>
      <c r="GM8" s="517">
        <v>2300.18885</v>
      </c>
      <c r="GN8" s="517">
        <v>2311.4485500000001</v>
      </c>
      <c r="GO8" s="517">
        <v>2284.3620500000002</v>
      </c>
      <c r="GP8" s="517">
        <v>2335.9735500000002</v>
      </c>
      <c r="GQ8" s="517">
        <v>2304.3199500000001</v>
      </c>
      <c r="GR8" s="517">
        <v>2257.8423500000004</v>
      </c>
      <c r="GS8" s="517">
        <v>2182.4198000000001</v>
      </c>
      <c r="GT8" s="517">
        <v>2118.8292000000001</v>
      </c>
      <c r="GU8" s="517">
        <v>2137.36465</v>
      </c>
      <c r="GV8" s="517">
        <v>2172.0102999999999</v>
      </c>
      <c r="GW8" s="517">
        <v>2054.8134999999997</v>
      </c>
      <c r="GX8" s="517">
        <v>2037.4171000000001</v>
      </c>
      <c r="GY8" s="517">
        <v>2014.75055</v>
      </c>
      <c r="GZ8" s="517">
        <v>2012.1836000000003</v>
      </c>
      <c r="HA8" s="517">
        <v>2020.8817999999999</v>
      </c>
      <c r="HB8" s="517">
        <v>1931.1966000000002</v>
      </c>
      <c r="HC8" s="517">
        <v>1830.2571500000001</v>
      </c>
      <c r="HD8" s="517">
        <v>1839.0970500000001</v>
      </c>
      <c r="HE8" s="517">
        <v>1750.4146500000002</v>
      </c>
      <c r="HF8" s="517">
        <v>1669.4276500000001</v>
      </c>
      <c r="HG8" s="517">
        <v>1620.5247999999999</v>
      </c>
      <c r="HH8" s="517">
        <v>1612.5405500000002</v>
      </c>
      <c r="HI8" s="517">
        <v>1570.1940499999998</v>
      </c>
      <c r="HJ8" s="517">
        <v>1439.7374000000002</v>
      </c>
      <c r="HK8" s="517">
        <v>1384.7033000000001</v>
      </c>
      <c r="HL8" s="517">
        <v>1326.67715</v>
      </c>
      <c r="HM8" s="517">
        <v>1289.0340000000001</v>
      </c>
      <c r="HN8" s="517">
        <v>1289.0340000000001</v>
      </c>
      <c r="HO8" s="517">
        <v>1261.09185</v>
      </c>
      <c r="HP8" s="517">
        <v>1251.6796999999999</v>
      </c>
      <c r="HQ8" s="517">
        <v>1234.2833000000001</v>
      </c>
      <c r="HR8" s="517">
        <v>1184.3831</v>
      </c>
      <c r="HS8" s="517">
        <v>1200.4933000000001</v>
      </c>
      <c r="HT8" s="517">
        <v>1088.8554999999999</v>
      </c>
      <c r="HU8" s="517">
        <v>1045.36995</v>
      </c>
      <c r="HV8" s="517">
        <v>1038.6719000000001</v>
      </c>
      <c r="HW8" s="517">
        <v>912.91860000000008</v>
      </c>
      <c r="HX8" s="517">
        <v>813.96840000000009</v>
      </c>
      <c r="HY8" s="517">
        <v>852.75059999999996</v>
      </c>
      <c r="HZ8" s="517">
        <v>786.88190000000009</v>
      </c>
      <c r="IA8" s="517">
        <v>834.21515000000011</v>
      </c>
      <c r="IB8" s="517">
        <v>829.79520000000002</v>
      </c>
      <c r="IC8" s="517">
        <v>822.38319999999999</v>
      </c>
      <c r="ID8" s="517">
        <v>898.94479999999999</v>
      </c>
      <c r="IE8" s="517">
        <v>885.82665000000009</v>
      </c>
      <c r="IF8" s="517">
        <v>781.31745000000001</v>
      </c>
      <c r="IG8" s="517">
        <v>740.39885000000004</v>
      </c>
      <c r="IH8" s="517">
        <v>693.34900000000005</v>
      </c>
      <c r="II8" s="517">
        <v>700.33590000000004</v>
      </c>
      <c r="IJ8" s="517">
        <v>698.48290000000009</v>
      </c>
      <c r="IK8" s="517">
        <v>665.97365000000002</v>
      </c>
      <c r="IL8" s="517">
        <v>622.48810000000003</v>
      </c>
      <c r="IM8" s="517">
        <v>598.82420000000002</v>
      </c>
      <c r="IN8" s="517">
        <v>577.29124999999999</v>
      </c>
      <c r="IO8" s="517">
        <v>590.26769999999999</v>
      </c>
      <c r="IP8" s="517">
        <v>561.32275000000004</v>
      </c>
      <c r="IQ8" s="517">
        <v>562.17840000000001</v>
      </c>
      <c r="IR8" s="517">
        <v>540.22035000000005</v>
      </c>
      <c r="IS8" s="517">
        <v>528.53009999999995</v>
      </c>
      <c r="IT8" s="517">
        <v>512.4199000000001</v>
      </c>
      <c r="IU8" s="517">
        <v>509.85295000000002</v>
      </c>
      <c r="IV8" s="517">
        <v>462.5197</v>
      </c>
      <c r="IW8" s="517">
        <v>454.39375000000001</v>
      </c>
      <c r="IX8" s="517">
        <v>458.81370000000004</v>
      </c>
      <c r="IY8" s="517">
        <v>443.55369999999999</v>
      </c>
      <c r="IZ8" s="517">
        <v>447.26514999999995</v>
      </c>
      <c r="JA8" s="517">
        <v>415.75324999999998</v>
      </c>
      <c r="JB8" s="517">
        <v>400.78210000000001</v>
      </c>
      <c r="JC8" s="517">
        <v>381.39100000000002</v>
      </c>
      <c r="JD8" s="517">
        <v>338.90280000000001</v>
      </c>
      <c r="JE8" s="517">
        <v>364.70855</v>
      </c>
      <c r="JF8" s="517">
        <v>360.28860000000003</v>
      </c>
      <c r="JG8" s="517">
        <v>316.9502</v>
      </c>
      <c r="JH8" s="517">
        <v>314.80835000000002</v>
      </c>
      <c r="JI8" s="517">
        <v>305.11279999999999</v>
      </c>
      <c r="JJ8" s="517">
        <v>288.7192</v>
      </c>
      <c r="JK8" s="517">
        <v>291.99464999999998</v>
      </c>
      <c r="JL8" s="517">
        <v>267.04455000000002</v>
      </c>
      <c r="JM8" s="517">
        <v>250.36210000000003</v>
      </c>
      <c r="JN8" s="517">
        <v>227.83725000000001</v>
      </c>
      <c r="JO8" s="517">
        <v>217.14435000000003</v>
      </c>
      <c r="JP8" s="517">
        <v>194.90290000000002</v>
      </c>
      <c r="JQ8" s="517">
        <v>185.20734999999999</v>
      </c>
      <c r="JR8" s="517">
        <v>187.06035</v>
      </c>
      <c r="JS8" s="517">
        <v>170.37790000000001</v>
      </c>
      <c r="JT8" s="517">
        <v>155.97900000000001</v>
      </c>
      <c r="JU8" s="517">
        <v>147.99475000000001</v>
      </c>
      <c r="JV8" s="517">
        <v>135.87395000000001</v>
      </c>
      <c r="JW8" s="517">
        <v>129.88985</v>
      </c>
      <c r="JX8" s="517">
        <v>102.7979</v>
      </c>
      <c r="JY8" s="517">
        <v>121.90559999999999</v>
      </c>
      <c r="JZ8" s="517">
        <v>123.61145</v>
      </c>
      <c r="KA8" s="517">
        <v>125.4699</v>
      </c>
      <c r="KB8" s="517">
        <v>116.05775000000001</v>
      </c>
      <c r="KC8" s="517">
        <v>111.92120000000001</v>
      </c>
      <c r="KD8" s="517">
        <v>111.63780000000001</v>
      </c>
      <c r="KE8" s="517">
        <v>128.32025000000002</v>
      </c>
      <c r="KF8" s="517">
        <v>106.36219999999999</v>
      </c>
      <c r="KG8" s="517">
        <v>104.07865000000001</v>
      </c>
      <c r="KH8" s="517">
        <v>96.950050000000005</v>
      </c>
      <c r="KI8" s="517">
        <v>100.23094999999999</v>
      </c>
      <c r="KJ8" s="517">
        <v>96.950050000000005</v>
      </c>
      <c r="KK8" s="517">
        <v>95.527599999999993</v>
      </c>
      <c r="KL8" s="517">
        <v>91.821600000000004</v>
      </c>
      <c r="KM8" s="517">
        <v>84.120750000000001</v>
      </c>
      <c r="KN8" s="517">
        <v>83.690200000000004</v>
      </c>
      <c r="KO8" s="517">
        <v>77.13385000000001</v>
      </c>
      <c r="KP8" s="517">
        <v>65.013050000000007</v>
      </c>
      <c r="KQ8" s="517">
        <v>57.170500000000004</v>
      </c>
      <c r="KR8" s="517">
        <v>50.614150000000009</v>
      </c>
      <c r="KS8" s="517">
        <v>37.637700000000002</v>
      </c>
      <c r="KT8" s="517">
        <v>31.653600000000001</v>
      </c>
      <c r="KU8" s="517">
        <v>41.060299999999998</v>
      </c>
      <c r="KV8" s="517">
        <v>42.488200000000006</v>
      </c>
      <c r="KW8" s="517">
        <v>38.640500000000003</v>
      </c>
      <c r="KX8" s="517">
        <v>35.0762</v>
      </c>
      <c r="KY8" s="517">
        <v>34.503950000000003</v>
      </c>
      <c r="KZ8" s="517">
        <v>40.351800000000004</v>
      </c>
      <c r="LA8" s="517">
        <v>43.202149999999996</v>
      </c>
      <c r="LB8" s="517">
        <v>34.220550000000003</v>
      </c>
      <c r="LC8" s="517">
        <v>31.937000000000001</v>
      </c>
      <c r="LD8" s="517">
        <v>31.653600000000001</v>
      </c>
      <c r="LE8" s="517">
        <v>28.944950000000002</v>
      </c>
      <c r="LF8" s="517">
        <v>26.5197</v>
      </c>
      <c r="LG8" s="517">
        <v>23.527650000000001</v>
      </c>
      <c r="LH8" s="517">
        <v>23.669350000000001</v>
      </c>
      <c r="LI8" s="517">
        <v>21.95805</v>
      </c>
      <c r="LJ8" s="517">
        <v>17.963200000000001</v>
      </c>
      <c r="LK8" s="517">
        <v>19.674499999999998</v>
      </c>
      <c r="LL8" s="517">
        <v>21.95805</v>
      </c>
      <c r="LM8" s="517">
        <v>25.091800000000003</v>
      </c>
      <c r="LN8" s="517">
        <v>28.089300000000001</v>
      </c>
      <c r="LO8" s="517">
        <v>28.656100000000002</v>
      </c>
      <c r="LP8" s="517">
        <v>29.228350000000002</v>
      </c>
      <c r="LQ8" s="517">
        <v>31.081350000000004</v>
      </c>
      <c r="LR8" s="517">
        <v>27.233650000000001</v>
      </c>
      <c r="LS8" s="517">
        <v>26.661400000000004</v>
      </c>
      <c r="LT8" s="517">
        <v>25.94745</v>
      </c>
      <c r="LU8" s="517">
        <v>20.105050000000002</v>
      </c>
      <c r="LV8" s="517">
        <v>25.94745</v>
      </c>
      <c r="LW8" s="517">
        <v>25.522349999999999</v>
      </c>
      <c r="LX8" s="517">
        <v>26.5197</v>
      </c>
      <c r="LY8" s="517">
        <v>30.5091</v>
      </c>
      <c r="LZ8" s="517">
        <v>31.223050000000001</v>
      </c>
      <c r="MA8" s="517">
        <v>32.078700000000005</v>
      </c>
      <c r="MB8" s="517">
        <v>32.078700000000005</v>
      </c>
      <c r="MC8" s="517">
        <v>35.3596</v>
      </c>
      <c r="MD8" s="517">
        <v>35.784700000000001</v>
      </c>
      <c r="ME8" s="517">
        <v>38.068250000000006</v>
      </c>
      <c r="MF8" s="517">
        <v>43.202149999999996</v>
      </c>
      <c r="MG8" s="517">
        <v>45.338550000000005</v>
      </c>
      <c r="MH8" s="517">
        <v>45.910800000000002</v>
      </c>
      <c r="MI8" s="517">
        <v>55.317500000000003</v>
      </c>
      <c r="MJ8" s="517">
        <v>50.755850000000002</v>
      </c>
      <c r="MK8" s="517">
        <v>50.614150000000009</v>
      </c>
      <c r="ML8" s="517">
        <v>49.186250000000001</v>
      </c>
      <c r="MM8" s="517">
        <v>50.897550000000003</v>
      </c>
      <c r="MN8" s="517">
        <v>51.469800000000006</v>
      </c>
      <c r="MO8" s="517">
        <v>45.196849999999998</v>
      </c>
      <c r="MP8" s="517">
        <v>51.328099999999999</v>
      </c>
      <c r="MQ8" s="517">
        <v>47.905499999999996</v>
      </c>
      <c r="MR8" s="517">
        <v>49.758500000000005</v>
      </c>
      <c r="MS8" s="517">
        <v>58.314999999999998</v>
      </c>
      <c r="MT8" s="517">
        <v>54.609000000000002</v>
      </c>
      <c r="MU8" s="517">
        <v>57.601050000000008</v>
      </c>
      <c r="MV8" s="517">
        <v>66.010400000000004</v>
      </c>
      <c r="MW8" s="517">
        <v>63.874000000000002</v>
      </c>
      <c r="MX8" s="517">
        <v>69.721850000000003</v>
      </c>
      <c r="MY8" s="517">
        <v>68.010549999999995</v>
      </c>
      <c r="MZ8" s="517">
        <v>64.15740000000001</v>
      </c>
      <c r="NA8" s="517">
        <v>70.430350000000004</v>
      </c>
      <c r="NB8" s="517">
        <v>70.860900000000001</v>
      </c>
      <c r="NC8" s="517">
        <v>74.425200000000004</v>
      </c>
      <c r="ND8" s="517">
        <v>74.425200000000004</v>
      </c>
      <c r="NE8" s="517">
        <v>78.845150000000004</v>
      </c>
      <c r="NF8" s="517">
        <v>79.417400000000001</v>
      </c>
      <c r="NG8" s="517">
        <v>84.692999999999998</v>
      </c>
      <c r="NH8" s="517">
        <v>80.273049999999998</v>
      </c>
      <c r="NI8" s="517">
        <v>92.24669999999999</v>
      </c>
      <c r="NJ8" s="517">
        <v>92.960650000000001</v>
      </c>
      <c r="NK8" s="517">
        <v>96.950050000000005</v>
      </c>
      <c r="NL8" s="517">
        <v>94.099699999999999</v>
      </c>
      <c r="NM8" s="517">
        <v>99.51700000000001</v>
      </c>
      <c r="NN8" s="517">
        <v>102.5145</v>
      </c>
      <c r="NO8" s="517">
        <v>270.71428571428578</v>
      </c>
      <c r="NP8" s="517">
        <v>300.35714285714289</v>
      </c>
      <c r="NQ8" s="517">
        <v>310.35714285714295</v>
      </c>
      <c r="NR8" s="517">
        <v>341.07142857142838</v>
      </c>
      <c r="NS8" s="517">
        <v>362.5</v>
      </c>
      <c r="NT8" s="517">
        <v>359.64285714285722</v>
      </c>
      <c r="NU8" s="517">
        <v>393.21428571428567</v>
      </c>
      <c r="NV8" s="517">
        <v>441.07142857142856</v>
      </c>
      <c r="NW8" s="517">
        <v>455.71428571428567</v>
      </c>
      <c r="NX8" s="517">
        <v>494.28571428571445</v>
      </c>
      <c r="NY8" s="517">
        <v>516.78571428571433</v>
      </c>
      <c r="NZ8" s="517">
        <v>561.07142857142867</v>
      </c>
      <c r="OA8" s="517">
        <v>601.78571428571422</v>
      </c>
      <c r="OB8" s="517">
        <v>628.21428571428578</v>
      </c>
      <c r="OC8" s="517">
        <v>676.07142857142856</v>
      </c>
      <c r="OD8" s="517">
        <v>722.14285714285757</v>
      </c>
      <c r="OE8" s="517">
        <v>763.21428571428567</v>
      </c>
      <c r="OF8" s="517">
        <v>788.21428571428578</v>
      </c>
      <c r="OG8" s="517">
        <v>856.78571428571433</v>
      </c>
      <c r="OH8" s="517">
        <v>931.07142857142844</v>
      </c>
      <c r="OI8" s="517">
        <v>916.4285714285711</v>
      </c>
      <c r="OJ8" s="517">
        <v>993.57142857142856</v>
      </c>
      <c r="OK8" s="517">
        <v>1054.2857142857144</v>
      </c>
      <c r="OL8" s="517">
        <v>1121.7857142857142</v>
      </c>
      <c r="OM8" s="517">
        <v>1146.785714285714</v>
      </c>
      <c r="ON8" s="517">
        <v>1214.2857142857144</v>
      </c>
      <c r="OO8" s="517">
        <v>1244.2857142857138</v>
      </c>
      <c r="OP8" s="517">
        <v>1249.9999999999998</v>
      </c>
      <c r="OQ8" s="517">
        <v>1295.3571428571429</v>
      </c>
      <c r="OR8" s="517">
        <v>1336.7857142857147</v>
      </c>
      <c r="OS8" s="517">
        <v>1352.8571428571431</v>
      </c>
      <c r="OT8" s="517">
        <v>1392.8571428571424</v>
      </c>
      <c r="OU8" s="517">
        <v>1465.0000000000002</v>
      </c>
      <c r="OV8" s="517">
        <v>1515.7142857142856</v>
      </c>
      <c r="OW8" s="517">
        <v>1536.0714285714282</v>
      </c>
      <c r="OX8" s="517">
        <v>1559.2857142857144</v>
      </c>
      <c r="OY8" s="517">
        <v>1676.4285714285713</v>
      </c>
      <c r="OZ8" s="517">
        <v>1643.571428571428</v>
      </c>
      <c r="PA8" s="517">
        <v>1650</v>
      </c>
      <c r="PB8" s="517">
        <v>1742.1428571428571</v>
      </c>
      <c r="PC8" s="517">
        <v>1775.3571428571429</v>
      </c>
      <c r="PD8" s="517">
        <v>1708.5714285714282</v>
      </c>
      <c r="PE8" s="517">
        <v>1760.3571428571429</v>
      </c>
      <c r="PF8" s="517">
        <v>1814.6428571428587</v>
      </c>
      <c r="PG8" s="517">
        <v>1744.285714285714</v>
      </c>
      <c r="PH8" s="517">
        <v>1799.6428571428567</v>
      </c>
      <c r="PI8" s="517">
        <v>1770.3571428571429</v>
      </c>
      <c r="PJ8" s="517">
        <v>1807.8571428571431</v>
      </c>
      <c r="PK8" s="517">
        <v>1717.8571428571438</v>
      </c>
      <c r="PL8" s="517">
        <v>1695.3571428571433</v>
      </c>
      <c r="PM8" s="517">
        <v>1707.8571428571424</v>
      </c>
      <c r="PN8" s="517">
        <v>1716.785714285714</v>
      </c>
      <c r="PO8" s="517">
        <v>1680.3571428571433</v>
      </c>
      <c r="PP8" s="517">
        <v>1682.4999999999993</v>
      </c>
      <c r="PQ8" s="517">
        <v>1681.7857142857149</v>
      </c>
      <c r="PR8" s="517">
        <v>1614.2857142857144</v>
      </c>
      <c r="PS8" s="517">
        <v>1591.4285714285713</v>
      </c>
      <c r="PT8" s="517">
        <v>1656.4285714285713</v>
      </c>
      <c r="PU8" s="517">
        <v>1561.0714285714282</v>
      </c>
      <c r="PV8" s="517">
        <v>1549.2857142857142</v>
      </c>
      <c r="PW8" s="517">
        <v>1517.5000000000009</v>
      </c>
      <c r="PX8" s="517">
        <v>1464.2857142857138</v>
      </c>
      <c r="PY8" s="517">
        <v>1412.8571428571424</v>
      </c>
      <c r="PZ8" s="517">
        <v>1447.8571428571431</v>
      </c>
      <c r="QA8" s="517">
        <v>1380.7142857142862</v>
      </c>
      <c r="QB8" s="517">
        <v>1347.8571428571431</v>
      </c>
      <c r="QC8" s="517">
        <v>1286.0714285714289</v>
      </c>
      <c r="QD8" s="517">
        <v>1258.9285714285718</v>
      </c>
      <c r="QE8" s="517">
        <v>1271.4285714285716</v>
      </c>
      <c r="QF8" s="517">
        <v>1237.8571428571431</v>
      </c>
      <c r="QG8" s="517">
        <v>1223.9285714285713</v>
      </c>
      <c r="QH8" s="517">
        <v>1215.3571428571429</v>
      </c>
      <c r="QI8" s="517">
        <v>1157.5</v>
      </c>
      <c r="QJ8" s="517">
        <v>1118.214285714286</v>
      </c>
      <c r="QK8" s="517">
        <v>1140.3571428571433</v>
      </c>
      <c r="QL8" s="517">
        <v>1083.5714285714287</v>
      </c>
      <c r="QM8" s="517">
        <v>1147.5000000000002</v>
      </c>
      <c r="QN8" s="517">
        <v>1131.4285714285713</v>
      </c>
      <c r="QO8" s="517">
        <v>1108.5714285714284</v>
      </c>
      <c r="QP8" s="517">
        <v>1109.6428571428571</v>
      </c>
      <c r="QQ8" s="517">
        <v>1081.0714285714278</v>
      </c>
      <c r="QR8" s="517">
        <v>1096.0714285714284</v>
      </c>
      <c r="QS8" s="517">
        <v>1055.3571428571429</v>
      </c>
      <c r="QT8" s="517">
        <v>1119.2857142857144</v>
      </c>
      <c r="QU8" s="517">
        <v>1098.5714285714284</v>
      </c>
      <c r="QV8" s="517">
        <v>1084.6428571428573</v>
      </c>
      <c r="QW8" s="517">
        <v>1094.6428571428573</v>
      </c>
      <c r="QX8" s="517">
        <v>1078.5714285714289</v>
      </c>
      <c r="QY8" s="517">
        <v>1122.1428571428573</v>
      </c>
      <c r="QZ8" s="517">
        <v>1055.7142857142858</v>
      </c>
      <c r="RA8" s="517">
        <v>1099.2857142857142</v>
      </c>
      <c r="RB8" s="517">
        <v>1139.6428571428571</v>
      </c>
      <c r="RC8" s="517">
        <v>1132.8571428571431</v>
      </c>
      <c r="RD8" s="517">
        <v>1108.5714285714289</v>
      </c>
      <c r="RE8" s="517">
        <v>1128.2142857142853</v>
      </c>
      <c r="RF8" s="517">
        <v>1124.6428571428571</v>
      </c>
      <c r="RG8" s="517">
        <v>1138.5714285714291</v>
      </c>
      <c r="RH8" s="517">
        <v>1125.7142857142865</v>
      </c>
      <c r="RI8" s="517">
        <v>1196.0714285714284</v>
      </c>
      <c r="RJ8" s="517">
        <v>1132.8571428571433</v>
      </c>
      <c r="RK8" s="517">
        <v>1183.2142857142862</v>
      </c>
      <c r="RL8" s="517">
        <v>1201.4285714285711</v>
      </c>
      <c r="RM8" s="517">
        <v>1202.8571428571436</v>
      </c>
      <c r="RN8" s="517">
        <v>1187.1428571428564</v>
      </c>
      <c r="RO8" s="517">
        <v>1203.9285714285718</v>
      </c>
      <c r="RP8" s="517">
        <v>1120.7142857142853</v>
      </c>
      <c r="RQ8" s="517">
        <v>1165.0000000000002</v>
      </c>
      <c r="RR8" s="517">
        <v>1150.0000000000002</v>
      </c>
      <c r="RS8" s="517">
        <v>1181.7857142857149</v>
      </c>
      <c r="RT8" s="517">
        <v>1129.6428571428571</v>
      </c>
      <c r="RU8" s="517">
        <v>1084.2857142857138</v>
      </c>
      <c r="RV8" s="517">
        <v>1086.428571428572</v>
      </c>
      <c r="RW8" s="517">
        <v>1060</v>
      </c>
      <c r="RX8" s="517">
        <v>1038.5714285714284</v>
      </c>
      <c r="RY8" s="517">
        <v>996.78571428571411</v>
      </c>
      <c r="RZ8" s="517">
        <v>978.92857142857099</v>
      </c>
      <c r="SA8" s="517">
        <v>932.50000000000034</v>
      </c>
      <c r="SB8" s="517">
        <v>933.57142857142901</v>
      </c>
      <c r="SC8" s="517">
        <v>898.21428571428612</v>
      </c>
      <c r="SD8" s="517">
        <v>858.21428571428589</v>
      </c>
      <c r="SE8" s="517">
        <v>857.50000000000034</v>
      </c>
      <c r="SF8" s="517">
        <v>816.42857142857133</v>
      </c>
      <c r="SG8" s="517">
        <v>820</v>
      </c>
      <c r="SH8" s="517">
        <v>823</v>
      </c>
      <c r="SI8" s="517">
        <v>840</v>
      </c>
      <c r="SJ8" s="517">
        <v>872.2</v>
      </c>
      <c r="SK8" s="517">
        <v>850</v>
      </c>
      <c r="SL8" s="517">
        <v>886.6</v>
      </c>
      <c r="SM8" s="517">
        <v>893.8</v>
      </c>
      <c r="SN8" s="517">
        <v>901</v>
      </c>
      <c r="SO8" s="517">
        <v>908.2</v>
      </c>
      <c r="SP8" s="517">
        <v>915.4</v>
      </c>
      <c r="SQ8" s="517">
        <v>922.6</v>
      </c>
      <c r="SR8" s="517">
        <v>929.8</v>
      </c>
      <c r="SS8" s="517">
        <v>937</v>
      </c>
      <c r="ST8" s="517">
        <v>944.2</v>
      </c>
      <c r="SU8" s="517">
        <v>951.4</v>
      </c>
      <c r="SV8" s="517">
        <v>958.6</v>
      </c>
      <c r="SW8" s="517">
        <v>965.8</v>
      </c>
      <c r="SX8" s="517">
        <v>973</v>
      </c>
      <c r="SY8" s="517">
        <v>1058.2149999999999</v>
      </c>
      <c r="SZ8" s="517">
        <v>980.21500000000003</v>
      </c>
      <c r="TA8" s="517">
        <v>947.43</v>
      </c>
      <c r="TB8" s="517">
        <v>880</v>
      </c>
      <c r="TC8" s="517">
        <v>844.21500000000003</v>
      </c>
      <c r="TD8" s="517">
        <v>939.35500000000002</v>
      </c>
      <c r="TE8" s="517">
        <v>903</v>
      </c>
      <c r="TF8" s="517">
        <v>880.21500000000003</v>
      </c>
      <c r="TG8" s="517">
        <v>901</v>
      </c>
      <c r="TH8" s="517">
        <v>870.35500000000002</v>
      </c>
      <c r="TI8" s="517">
        <v>927.21500000000003</v>
      </c>
      <c r="TJ8" s="517">
        <v>972.78499999999997</v>
      </c>
      <c r="TK8" s="517">
        <v>959.78499999999997</v>
      </c>
      <c r="TL8" s="517">
        <v>952.14499999999998</v>
      </c>
      <c r="TM8" s="517">
        <v>962.64499999999998</v>
      </c>
      <c r="TN8" s="517">
        <v>959.57</v>
      </c>
      <c r="TO8" s="517">
        <v>962.57</v>
      </c>
      <c r="TP8" s="517">
        <v>966.07</v>
      </c>
      <c r="TQ8" s="517">
        <v>970.28499999999997</v>
      </c>
      <c r="TR8" s="517">
        <v>958.07</v>
      </c>
      <c r="TS8" s="517">
        <v>980.43</v>
      </c>
      <c r="TT8" s="517">
        <v>979.5</v>
      </c>
      <c r="TU8" s="517">
        <v>1011.43</v>
      </c>
      <c r="TV8" s="517">
        <v>1040.7149999999999</v>
      </c>
      <c r="TW8" s="517">
        <v>1026.5</v>
      </c>
      <c r="TX8" s="517">
        <v>1032.855</v>
      </c>
      <c r="TY8" s="517">
        <v>1025.43</v>
      </c>
      <c r="TZ8" s="517">
        <v>1012.215</v>
      </c>
      <c r="UA8" s="517">
        <v>992.07</v>
      </c>
      <c r="UB8" s="517">
        <v>991.28499999999997</v>
      </c>
      <c r="UC8" s="517">
        <v>996.14499999999998</v>
      </c>
      <c r="UD8" s="517">
        <v>989.14499999999998</v>
      </c>
      <c r="UE8" s="517">
        <v>1015.93</v>
      </c>
      <c r="UF8" s="517">
        <v>1032.93</v>
      </c>
      <c r="UG8" s="517">
        <v>1038.43</v>
      </c>
      <c r="UH8" s="517">
        <v>1078.145</v>
      </c>
      <c r="UI8" s="517">
        <v>1105.2149999999999</v>
      </c>
      <c r="UJ8" s="517">
        <v>1096.855</v>
      </c>
      <c r="UK8" s="517">
        <v>1119.145</v>
      </c>
      <c r="UL8" s="517">
        <v>1129.355</v>
      </c>
      <c r="UM8" s="517">
        <v>1138.57</v>
      </c>
      <c r="UN8" s="517">
        <v>1152.355</v>
      </c>
      <c r="UO8" s="517">
        <v>1158</v>
      </c>
      <c r="UP8" s="517">
        <v>1144.43</v>
      </c>
      <c r="UQ8" s="517">
        <v>1170.2850000000001</v>
      </c>
      <c r="UR8" s="517">
        <v>1154.43</v>
      </c>
      <c r="US8" s="517">
        <v>1131.145</v>
      </c>
      <c r="UT8" s="517">
        <v>1093.355</v>
      </c>
      <c r="UU8" s="517">
        <v>1061.5</v>
      </c>
      <c r="UV8" s="517">
        <v>1070.7850000000001</v>
      </c>
      <c r="UW8" s="517">
        <v>1088.145</v>
      </c>
      <c r="UX8" s="517">
        <v>1029.43</v>
      </c>
      <c r="UY8" s="517">
        <v>1020.715</v>
      </c>
      <c r="UZ8" s="517">
        <v>1009.355</v>
      </c>
      <c r="VA8" s="517">
        <v>1008.07</v>
      </c>
      <c r="VB8" s="517">
        <v>1012.43</v>
      </c>
      <c r="VC8" s="517">
        <v>967.5</v>
      </c>
      <c r="VD8" s="517">
        <v>916.93</v>
      </c>
      <c r="VE8" s="517">
        <v>921.35500000000002</v>
      </c>
      <c r="VF8" s="517">
        <v>876.93</v>
      </c>
      <c r="VG8" s="517">
        <v>836.35500000000002</v>
      </c>
      <c r="VH8" s="517">
        <v>811.85500000000002</v>
      </c>
      <c r="VI8" s="517">
        <v>807.85500000000002</v>
      </c>
      <c r="VJ8" s="517">
        <v>786.64499999999998</v>
      </c>
      <c r="VK8" s="517">
        <v>721.28499999999997</v>
      </c>
      <c r="VL8" s="517">
        <v>693.71500000000003</v>
      </c>
      <c r="VM8" s="517">
        <v>664.64499999999998</v>
      </c>
      <c r="VN8" s="517">
        <v>645.78499999999997</v>
      </c>
      <c r="VO8" s="517">
        <v>645.78499999999997</v>
      </c>
      <c r="VP8" s="517">
        <v>631.78499999999997</v>
      </c>
      <c r="VQ8" s="517">
        <v>627.07000000000005</v>
      </c>
      <c r="VR8" s="517">
        <v>618.35500000000002</v>
      </c>
      <c r="VS8" s="517">
        <v>593.35500000000002</v>
      </c>
      <c r="VT8" s="517">
        <v>601.42999999999995</v>
      </c>
      <c r="VU8" s="517">
        <v>545.5</v>
      </c>
      <c r="VV8" s="517">
        <v>523.71500000000003</v>
      </c>
      <c r="VW8" s="517">
        <v>520.35500000000002</v>
      </c>
      <c r="VX8" s="517">
        <v>457.35500000000002</v>
      </c>
      <c r="VY8" s="517">
        <v>407.78500000000003</v>
      </c>
      <c r="VZ8" s="517">
        <v>427.21499999999997</v>
      </c>
      <c r="WA8" s="517">
        <v>394.21499999999997</v>
      </c>
      <c r="WB8" s="517">
        <v>417.93</v>
      </c>
      <c r="WC8" s="517">
        <v>415.71499999999997</v>
      </c>
      <c r="WD8" s="517">
        <v>412</v>
      </c>
      <c r="WE8" s="517">
        <v>450.35500000000002</v>
      </c>
      <c r="WF8" s="517">
        <v>443.78500000000003</v>
      </c>
      <c r="WG8" s="517">
        <v>391.43</v>
      </c>
      <c r="WH8" s="517">
        <v>370.93</v>
      </c>
      <c r="WI8" s="517">
        <v>347.35500000000002</v>
      </c>
      <c r="WJ8" s="517">
        <v>350.85500000000002</v>
      </c>
      <c r="WK8" s="517">
        <v>349.93</v>
      </c>
      <c r="WL8" s="517">
        <v>333.64499999999998</v>
      </c>
      <c r="WM8" s="517">
        <v>311.85500000000002</v>
      </c>
      <c r="WN8" s="517">
        <v>300</v>
      </c>
      <c r="WO8" s="517">
        <v>289.21499999999997</v>
      </c>
      <c r="WP8" s="517">
        <v>295.71499999999997</v>
      </c>
      <c r="WQ8" s="517">
        <v>281.21499999999997</v>
      </c>
      <c r="WR8" s="517">
        <v>281.64499999999998</v>
      </c>
      <c r="WS8" s="517">
        <v>270.64499999999998</v>
      </c>
      <c r="WT8" s="517">
        <v>264.78500000000003</v>
      </c>
      <c r="WU8" s="517">
        <v>256.71499999999997</v>
      </c>
      <c r="WV8" s="517">
        <v>255.43</v>
      </c>
      <c r="WW8" s="517">
        <v>231.715</v>
      </c>
      <c r="WX8" s="517">
        <v>227.64500000000001</v>
      </c>
      <c r="WY8" s="517">
        <v>229.85499999999999</v>
      </c>
      <c r="WZ8" s="517">
        <v>222.215</v>
      </c>
      <c r="XA8" s="517">
        <v>224.07</v>
      </c>
      <c r="XB8" s="517">
        <v>208.285</v>
      </c>
      <c r="XC8" s="517">
        <v>200.785</v>
      </c>
      <c r="XD8" s="517">
        <v>191.07</v>
      </c>
      <c r="XE8" s="517">
        <v>169.785</v>
      </c>
      <c r="XF8" s="517">
        <v>182.715</v>
      </c>
      <c r="XG8" s="517">
        <v>180.5</v>
      </c>
      <c r="XH8" s="517">
        <v>158.785</v>
      </c>
      <c r="XI8" s="517">
        <v>157.715</v>
      </c>
      <c r="XJ8" s="517">
        <v>152.85499999999999</v>
      </c>
      <c r="XK8" s="517">
        <v>144.64500000000001</v>
      </c>
      <c r="XL8" s="517">
        <v>146.285</v>
      </c>
      <c r="XM8" s="517">
        <v>133.785</v>
      </c>
      <c r="XN8" s="517">
        <v>125.43</v>
      </c>
      <c r="XO8" s="517">
        <v>114.145</v>
      </c>
      <c r="XP8" s="517">
        <v>108.785</v>
      </c>
      <c r="XQ8" s="517">
        <v>97.644999999999996</v>
      </c>
      <c r="XR8" s="517">
        <v>92.784999999999997</v>
      </c>
      <c r="XS8" s="517">
        <v>93.715000000000003</v>
      </c>
      <c r="XT8" s="517">
        <v>85.355000000000004</v>
      </c>
      <c r="XU8" s="517">
        <v>78.144999999999996</v>
      </c>
      <c r="XV8" s="517">
        <v>74.144999999999996</v>
      </c>
      <c r="XW8" s="517">
        <v>68.069999999999993</v>
      </c>
      <c r="XX8" s="517">
        <v>65.069999999999993</v>
      </c>
      <c r="XY8" s="517">
        <v>51.5</v>
      </c>
      <c r="XZ8" s="517">
        <v>61.07</v>
      </c>
      <c r="YA8" s="517">
        <v>61.93</v>
      </c>
      <c r="YB8" s="517">
        <v>62.854999999999997</v>
      </c>
      <c r="YC8" s="517">
        <v>58.145000000000003</v>
      </c>
      <c r="YD8" s="517">
        <v>56.07</v>
      </c>
      <c r="YE8" s="517">
        <v>55.93</v>
      </c>
      <c r="YF8" s="517">
        <v>64.284999999999997</v>
      </c>
      <c r="YG8" s="517">
        <v>53.284999999999997</v>
      </c>
      <c r="YH8" s="517">
        <v>52.145000000000003</v>
      </c>
      <c r="YI8" s="517">
        <v>48.57</v>
      </c>
      <c r="YJ8" s="517">
        <v>50.215000000000003</v>
      </c>
      <c r="YK8" s="517">
        <v>48.57</v>
      </c>
      <c r="YL8" s="517">
        <v>47.854999999999997</v>
      </c>
      <c r="YM8" s="517">
        <v>46</v>
      </c>
      <c r="YN8" s="517">
        <v>42.145000000000003</v>
      </c>
      <c r="YO8" s="517">
        <v>41.93</v>
      </c>
      <c r="YP8" s="517">
        <v>38.645000000000003</v>
      </c>
      <c r="YQ8" s="517">
        <v>32.57</v>
      </c>
      <c r="YR8" s="517">
        <v>28.645</v>
      </c>
      <c r="YS8" s="517">
        <v>25.355</v>
      </c>
      <c r="YT8" s="517">
        <v>18.855</v>
      </c>
      <c r="YU8" s="517">
        <v>15.855</v>
      </c>
      <c r="YV8" s="517">
        <v>20.57</v>
      </c>
      <c r="YW8" s="517">
        <v>21.285</v>
      </c>
      <c r="YX8" s="517">
        <v>19.355</v>
      </c>
      <c r="YY8" s="517">
        <v>17.57</v>
      </c>
      <c r="YZ8" s="517">
        <v>17.285</v>
      </c>
      <c r="ZA8" s="517">
        <v>20.215</v>
      </c>
      <c r="ZB8" s="517">
        <v>21.645</v>
      </c>
      <c r="ZC8" s="517">
        <v>17.145</v>
      </c>
      <c r="ZD8" s="517">
        <v>16</v>
      </c>
      <c r="ZE8" s="517">
        <v>15.855</v>
      </c>
    </row>
    <row r="9" spans="1:681" x14ac:dyDescent="0.25">
      <c r="L9" s="502" t="s">
        <v>168</v>
      </c>
      <c r="M9" s="502" t="s">
        <v>797</v>
      </c>
      <c r="N9" s="520">
        <v>76.561599999999999</v>
      </c>
      <c r="O9" s="520">
        <v>72.141649999999998</v>
      </c>
      <c r="P9" s="520">
        <v>76.561599999999999</v>
      </c>
      <c r="Q9" s="520">
        <v>81.55380000000001</v>
      </c>
      <c r="R9" s="520">
        <v>97.522299999999987</v>
      </c>
      <c r="S9" s="520">
        <v>105.22314999999999</v>
      </c>
      <c r="T9" s="520">
        <v>102.5145</v>
      </c>
      <c r="U9" s="520">
        <v>105.22314999999999</v>
      </c>
      <c r="V9" s="520">
        <v>120.61940000000001</v>
      </c>
      <c r="W9" s="520">
        <v>128.74535</v>
      </c>
      <c r="X9" s="520">
        <v>135.73225000000002</v>
      </c>
      <c r="Y9" s="520">
        <v>132.16795000000002</v>
      </c>
      <c r="Z9" s="520">
        <v>130.88720000000001</v>
      </c>
      <c r="AA9" s="520">
        <v>134.59320000000002</v>
      </c>
      <c r="AB9" s="517">
        <v>148.41985</v>
      </c>
      <c r="AC9" s="517">
        <v>138.58260000000001</v>
      </c>
      <c r="AD9" s="517">
        <v>136.1628</v>
      </c>
      <c r="AE9" s="517">
        <v>143.14425</v>
      </c>
      <c r="AF9" s="517">
        <v>155.8373</v>
      </c>
      <c r="AG9" s="517">
        <v>163.24930000000001</v>
      </c>
      <c r="AH9" s="517">
        <v>167.66925000000001</v>
      </c>
      <c r="AI9" s="517">
        <v>165.81625</v>
      </c>
      <c r="AJ9" s="517">
        <v>200.89245</v>
      </c>
      <c r="AK9" s="517">
        <v>229.26515000000001</v>
      </c>
      <c r="AL9" s="517">
        <v>255.49600000000001</v>
      </c>
      <c r="AM9" s="517">
        <v>292.8503</v>
      </c>
      <c r="AN9" s="517">
        <v>342.3254</v>
      </c>
      <c r="AO9" s="517">
        <v>368.8451</v>
      </c>
      <c r="AP9" s="517">
        <v>376.82935000000003</v>
      </c>
      <c r="AQ9" s="517">
        <v>409.4803</v>
      </c>
      <c r="AR9" s="517">
        <v>471.78470000000004</v>
      </c>
      <c r="AS9" s="517">
        <v>508.85559999999998</v>
      </c>
      <c r="AT9" s="517">
        <v>530.52480000000003</v>
      </c>
      <c r="AU9" s="517">
        <v>579.00255000000004</v>
      </c>
      <c r="AV9" s="517">
        <v>591.54845</v>
      </c>
      <c r="AW9" s="517">
        <v>604.24150000000009</v>
      </c>
      <c r="AX9" s="517">
        <v>648.43555000000003</v>
      </c>
      <c r="AY9" s="517">
        <v>682.65610000000004</v>
      </c>
      <c r="AZ9" s="517">
        <v>754.65604999999994</v>
      </c>
      <c r="BA9" s="517">
        <v>923.32810000000006</v>
      </c>
      <c r="BB9" s="517">
        <v>956.97640000000013</v>
      </c>
      <c r="BC9" s="517">
        <v>978.50390000000004</v>
      </c>
      <c r="BD9" s="517">
        <v>1008.5879000000001</v>
      </c>
      <c r="BE9" s="517">
        <v>1084.57725</v>
      </c>
      <c r="BF9" s="517">
        <v>1211.75845</v>
      </c>
      <c r="BG9" s="517">
        <v>1338.7925</v>
      </c>
      <c r="BH9" s="517">
        <v>1350.34105</v>
      </c>
      <c r="BI9" s="517">
        <v>1423.4855</v>
      </c>
      <c r="BJ9" s="517">
        <v>1474.24135</v>
      </c>
      <c r="BK9" s="517">
        <v>1499.0497500000001</v>
      </c>
      <c r="BL9" s="517">
        <v>1611.9683</v>
      </c>
      <c r="BM9" s="517">
        <v>1583.3122000000001</v>
      </c>
      <c r="BN9" s="517">
        <v>1655.4538499999999</v>
      </c>
      <c r="BO9" s="517">
        <v>1786.9133000000002</v>
      </c>
      <c r="BP9" s="517">
        <v>1997.2124500000002</v>
      </c>
      <c r="BQ9" s="517">
        <v>2061.6587</v>
      </c>
      <c r="BR9" s="517">
        <v>2089.6008500000003</v>
      </c>
      <c r="BS9" s="517">
        <v>2187.26485</v>
      </c>
      <c r="BT9" s="517">
        <v>2337.9682500000004</v>
      </c>
      <c r="BU9" s="517">
        <v>2449.4643500000002</v>
      </c>
      <c r="BV9" s="517">
        <v>2404.2674999999999</v>
      </c>
      <c r="BW9" s="517">
        <v>2295.9105999999997</v>
      </c>
      <c r="BX9" s="517">
        <v>2377.3227000000002</v>
      </c>
      <c r="BY9" s="517">
        <v>2495.09175</v>
      </c>
      <c r="BZ9" s="517">
        <v>2541.9944500000001</v>
      </c>
      <c r="CA9" s="517">
        <v>2424.6559500000003</v>
      </c>
      <c r="CB9" s="517">
        <v>2280.7977500000002</v>
      </c>
      <c r="CC9" s="517">
        <v>2281.6534000000001</v>
      </c>
      <c r="CD9" s="517">
        <v>2216.9237499999999</v>
      </c>
      <c r="CE9" s="517">
        <v>2030.7190499999999</v>
      </c>
      <c r="CF9" s="517">
        <v>1934.3357999999998</v>
      </c>
      <c r="CG9" s="517">
        <v>1769.2335</v>
      </c>
      <c r="CH9" s="517">
        <v>1858.9132500000001</v>
      </c>
      <c r="CI9" s="517">
        <v>1811.8634</v>
      </c>
      <c r="CJ9" s="517">
        <v>1696.6613000000002</v>
      </c>
      <c r="CK9" s="517">
        <v>1607.1232500000001</v>
      </c>
      <c r="CL9" s="517">
        <v>1597.4277</v>
      </c>
      <c r="CM9" s="517">
        <v>1636.6350000000002</v>
      </c>
      <c r="CN9" s="517">
        <v>1530.1311000000001</v>
      </c>
      <c r="CO9" s="517">
        <v>1398.1048500000002</v>
      </c>
      <c r="CP9" s="517">
        <v>1368.7348000000002</v>
      </c>
      <c r="CQ9" s="517">
        <v>1381.5641000000001</v>
      </c>
      <c r="CR9" s="517">
        <v>1350.7716</v>
      </c>
      <c r="CS9" s="517">
        <v>1311.13375</v>
      </c>
      <c r="CT9" s="517">
        <v>1267.6482000000001</v>
      </c>
      <c r="CU9" s="517">
        <v>1338.9341999999999</v>
      </c>
      <c r="CV9" s="517">
        <v>1379.9999500000001</v>
      </c>
      <c r="CW9" s="517">
        <v>1384.4199000000001</v>
      </c>
      <c r="CX9" s="517">
        <v>1336.6561000000002</v>
      </c>
      <c r="CY9" s="517">
        <v>1353.3385499999999</v>
      </c>
      <c r="CZ9" s="517">
        <v>1348.34635</v>
      </c>
      <c r="DA9" s="517">
        <v>1381.5641000000001</v>
      </c>
      <c r="DB9" s="517">
        <v>1414.6456000000001</v>
      </c>
      <c r="DC9" s="517">
        <v>1418.7767000000001</v>
      </c>
      <c r="DD9" s="517">
        <v>1466.5404999999998</v>
      </c>
      <c r="DE9" s="517">
        <v>1544.1049</v>
      </c>
      <c r="DF9" s="517">
        <v>1568.05765</v>
      </c>
      <c r="DG9" s="517">
        <v>1618.8135</v>
      </c>
      <c r="DH9" s="517">
        <v>1717.9054000000001</v>
      </c>
      <c r="DI9" s="517">
        <v>1792.1888999999999</v>
      </c>
      <c r="DJ9" s="517">
        <v>1955.1548000000003</v>
      </c>
      <c r="DK9" s="517">
        <v>1952.5878500000001</v>
      </c>
      <c r="DL9" s="517">
        <v>2185.9841000000001</v>
      </c>
      <c r="DM9" s="517">
        <v>2317.2964000000002</v>
      </c>
      <c r="DN9" s="517">
        <v>2310.5929000000001</v>
      </c>
      <c r="DO9" s="517">
        <v>2322.7136999999998</v>
      </c>
      <c r="DP9" s="517">
        <v>2465.4328500000001</v>
      </c>
      <c r="DQ9" s="517">
        <v>2454.0259999999998</v>
      </c>
      <c r="DR9" s="517">
        <v>2714.2308000000003</v>
      </c>
      <c r="DS9" s="517">
        <v>2634.9551000000001</v>
      </c>
      <c r="DT9" s="517">
        <v>2616.5668000000001</v>
      </c>
      <c r="DU9" s="517">
        <v>2718.3618999999999</v>
      </c>
      <c r="DV9" s="517">
        <v>2808.0471000000002</v>
      </c>
      <c r="DW9" s="517">
        <v>2825.4380499999997</v>
      </c>
      <c r="DX9" s="517">
        <v>2770.1205500000001</v>
      </c>
      <c r="DY9" s="517">
        <v>2777.9631000000004</v>
      </c>
      <c r="DZ9" s="517">
        <v>2477.1230999999998</v>
      </c>
      <c r="EA9" s="517">
        <v>2307.8842500000001</v>
      </c>
      <c r="EB9" s="517">
        <v>2215.21245</v>
      </c>
      <c r="EC9" s="517">
        <v>2134.2309</v>
      </c>
      <c r="ED9" s="517">
        <v>2042.1259</v>
      </c>
      <c r="EE9" s="517">
        <v>2563.6691000000001</v>
      </c>
      <c r="EF9" s="517">
        <v>2694.6979999999999</v>
      </c>
      <c r="EG9" s="517">
        <v>2793.7898999999998</v>
      </c>
      <c r="EH9" s="517">
        <v>2842.9761500000004</v>
      </c>
      <c r="EI9" s="517">
        <v>2852.5299999999997</v>
      </c>
      <c r="EJ9" s="517">
        <v>2979.9946</v>
      </c>
      <c r="EK9" s="517">
        <v>3253.4538000000002</v>
      </c>
      <c r="EL9" s="517">
        <v>2657.7687999999998</v>
      </c>
      <c r="EM9" s="517">
        <v>2374.7557500000003</v>
      </c>
      <c r="EN9" s="517">
        <v>2707.8161500000001</v>
      </c>
      <c r="EO9" s="517">
        <v>2957.8948499999997</v>
      </c>
      <c r="EP9" s="517">
        <v>2989.83185</v>
      </c>
      <c r="EQ9" s="517">
        <v>2907.2807000000003</v>
      </c>
      <c r="ER9" s="517">
        <v>2710.0942500000001</v>
      </c>
      <c r="ES9" s="517">
        <v>2822.1626000000001</v>
      </c>
      <c r="ET9" s="517">
        <v>2786.3724500000003</v>
      </c>
      <c r="EU9" s="517">
        <v>2497.36985</v>
      </c>
      <c r="EV9" s="517">
        <v>2155.18615</v>
      </c>
      <c r="EW9" s="517">
        <v>2183.70055</v>
      </c>
      <c r="EX9" s="517">
        <v>2112.2728499999998</v>
      </c>
      <c r="EY9" s="517">
        <v>1956.57725</v>
      </c>
      <c r="EZ9" s="517">
        <v>1891.1336500000002</v>
      </c>
      <c r="FA9" s="517">
        <v>1756.54045</v>
      </c>
      <c r="FB9" s="517">
        <v>1685.11275</v>
      </c>
      <c r="FC9" s="517">
        <v>1875.0234500000001</v>
      </c>
      <c r="FD9" s="517">
        <v>1802.4512500000001</v>
      </c>
      <c r="FE9" s="517">
        <v>1756.971</v>
      </c>
      <c r="FF9" s="517">
        <v>1798.4618500000001</v>
      </c>
      <c r="FG9" s="517">
        <v>1737.2964999999999</v>
      </c>
      <c r="FH9" s="517">
        <v>1850.7873</v>
      </c>
      <c r="FI9" s="517">
        <v>1941.7478000000001</v>
      </c>
      <c r="FJ9" s="517">
        <v>1915.8003500000002</v>
      </c>
      <c r="FK9" s="517">
        <v>1900.5458000000001</v>
      </c>
      <c r="FL9" s="517">
        <v>1921.5065</v>
      </c>
      <c r="FM9" s="517">
        <v>1915.3752500000001</v>
      </c>
      <c r="FN9" s="517">
        <v>1921.3593500000002</v>
      </c>
      <c r="FO9" s="517">
        <v>1928.3462500000001</v>
      </c>
      <c r="FP9" s="517">
        <v>1936.7610500000003</v>
      </c>
      <c r="FQ9" s="517">
        <v>1912.3777499999999</v>
      </c>
      <c r="FR9" s="517">
        <v>1957.0078000000001</v>
      </c>
      <c r="FS9" s="517">
        <v>1955.1548000000003</v>
      </c>
      <c r="FT9" s="517">
        <v>2018.88165</v>
      </c>
      <c r="FU9" s="517">
        <v>2077.33835</v>
      </c>
      <c r="FV9" s="517">
        <v>2048.9656500000001</v>
      </c>
      <c r="FW9" s="517">
        <v>2061.6587</v>
      </c>
      <c r="FX9" s="517">
        <v>2046.82925</v>
      </c>
      <c r="FY9" s="517">
        <v>2020.4512500000003</v>
      </c>
      <c r="FZ9" s="517">
        <v>1980.2466000000002</v>
      </c>
      <c r="GA9" s="517">
        <v>1978.6770000000001</v>
      </c>
      <c r="GB9" s="517">
        <v>1988.37255</v>
      </c>
      <c r="GC9" s="517">
        <v>1974.3987499999998</v>
      </c>
      <c r="GD9" s="517">
        <v>2027.8687000000002</v>
      </c>
      <c r="GE9" s="517">
        <v>2061.8004000000001</v>
      </c>
      <c r="GF9" s="517">
        <v>2072.7767000000003</v>
      </c>
      <c r="GG9" s="517">
        <v>2152.0524</v>
      </c>
      <c r="GH9" s="517">
        <v>2206.0891499999998</v>
      </c>
      <c r="GI9" s="517">
        <v>2189.4067</v>
      </c>
      <c r="GJ9" s="517">
        <v>2233.8896</v>
      </c>
      <c r="GK9" s="517">
        <v>2254.2780500000003</v>
      </c>
      <c r="GL9" s="517">
        <v>2272.6718000000001</v>
      </c>
      <c r="GM9" s="517">
        <v>2300.18885</v>
      </c>
      <c r="GN9" s="517">
        <v>2311.4485500000001</v>
      </c>
      <c r="GO9" s="517">
        <v>2284.3620500000002</v>
      </c>
      <c r="GP9" s="517">
        <v>2335.9735500000002</v>
      </c>
      <c r="GQ9" s="517">
        <v>2304.3199500000001</v>
      </c>
      <c r="GR9" s="517">
        <v>2257.8423500000004</v>
      </c>
      <c r="GS9" s="517">
        <v>2182.4198000000001</v>
      </c>
      <c r="GT9" s="517">
        <v>2118.8292000000001</v>
      </c>
      <c r="GU9" s="517">
        <v>2137.36465</v>
      </c>
      <c r="GV9" s="517">
        <v>2172.0102999999999</v>
      </c>
      <c r="GW9" s="517">
        <v>2054.8134999999997</v>
      </c>
      <c r="GX9" s="517">
        <v>2037.4171000000001</v>
      </c>
      <c r="GY9" s="517">
        <v>2014.75055</v>
      </c>
      <c r="GZ9" s="517">
        <v>2012.1836000000003</v>
      </c>
      <c r="HA9" s="517">
        <v>2020.8817999999999</v>
      </c>
      <c r="HB9" s="517">
        <v>1931.1966000000002</v>
      </c>
      <c r="HC9" s="517">
        <v>1830.2571500000001</v>
      </c>
      <c r="HD9" s="517">
        <v>1839.0970500000001</v>
      </c>
      <c r="HE9" s="517">
        <v>1750.4146500000002</v>
      </c>
      <c r="HF9" s="517">
        <v>1669.4276500000001</v>
      </c>
      <c r="HG9" s="517">
        <v>1620.5247999999999</v>
      </c>
      <c r="HH9" s="517">
        <v>1612.5405500000002</v>
      </c>
      <c r="HI9" s="517">
        <v>1570.1940499999998</v>
      </c>
      <c r="HJ9" s="517">
        <v>1439.7374000000002</v>
      </c>
      <c r="HK9" s="517">
        <v>1384.7033000000001</v>
      </c>
      <c r="HL9" s="517">
        <v>1326.67715</v>
      </c>
      <c r="HM9" s="517">
        <v>1289.0340000000001</v>
      </c>
      <c r="HN9" s="517">
        <v>1289.0340000000001</v>
      </c>
      <c r="HO9" s="517">
        <v>1261.09185</v>
      </c>
      <c r="HP9" s="517">
        <v>1251.6796999999999</v>
      </c>
      <c r="HQ9" s="517">
        <v>1234.2833000000001</v>
      </c>
      <c r="HR9" s="517">
        <v>1184.3831</v>
      </c>
      <c r="HS9" s="517">
        <v>1200.4933000000001</v>
      </c>
      <c r="HT9" s="517">
        <v>1088.8554999999999</v>
      </c>
      <c r="HU9" s="517">
        <v>1045.36995</v>
      </c>
      <c r="HV9" s="517">
        <v>1038.6719000000001</v>
      </c>
      <c r="HW9" s="517">
        <v>912.91860000000008</v>
      </c>
      <c r="HX9" s="517">
        <v>813.96840000000009</v>
      </c>
      <c r="HY9" s="517">
        <v>852.75059999999996</v>
      </c>
      <c r="HZ9" s="517">
        <v>786.88190000000009</v>
      </c>
      <c r="IA9" s="517">
        <v>834.21515000000011</v>
      </c>
      <c r="IB9" s="517">
        <v>829.79520000000002</v>
      </c>
      <c r="IC9" s="517">
        <v>822.38319999999999</v>
      </c>
      <c r="ID9" s="517">
        <v>898.94479999999999</v>
      </c>
      <c r="IE9" s="517">
        <v>885.82665000000009</v>
      </c>
      <c r="IF9" s="517">
        <v>781.31745000000001</v>
      </c>
      <c r="IG9" s="517">
        <v>740.39885000000004</v>
      </c>
      <c r="IH9" s="517">
        <v>693.34900000000005</v>
      </c>
      <c r="II9" s="517">
        <v>700.33590000000004</v>
      </c>
      <c r="IJ9" s="517">
        <v>698.48290000000009</v>
      </c>
      <c r="IK9" s="517">
        <v>665.97365000000002</v>
      </c>
      <c r="IL9" s="517">
        <v>622.48810000000003</v>
      </c>
      <c r="IM9" s="517">
        <v>598.82420000000002</v>
      </c>
      <c r="IN9" s="517">
        <v>577.29124999999999</v>
      </c>
      <c r="IO9" s="517">
        <v>590.26769999999999</v>
      </c>
      <c r="IP9" s="517">
        <v>561.32275000000004</v>
      </c>
      <c r="IQ9" s="517">
        <v>562.17840000000001</v>
      </c>
      <c r="IR9" s="517">
        <v>540.22035000000005</v>
      </c>
      <c r="IS9" s="517">
        <v>528.53009999999995</v>
      </c>
      <c r="IT9" s="517">
        <v>512.4199000000001</v>
      </c>
      <c r="IU9" s="517">
        <v>509.85295000000002</v>
      </c>
      <c r="IV9" s="517">
        <v>462.5197</v>
      </c>
      <c r="IW9" s="517">
        <v>454.39375000000001</v>
      </c>
      <c r="IX9" s="517">
        <v>458.81370000000004</v>
      </c>
      <c r="IY9" s="517">
        <v>443.55369999999999</v>
      </c>
      <c r="IZ9" s="517">
        <v>447.26514999999995</v>
      </c>
      <c r="JA9" s="517">
        <v>415.75324999999998</v>
      </c>
      <c r="JB9" s="517">
        <v>400.78210000000001</v>
      </c>
      <c r="JC9" s="517">
        <v>381.39100000000002</v>
      </c>
      <c r="JD9" s="517">
        <v>338.90280000000001</v>
      </c>
      <c r="JE9" s="517">
        <v>364.70855</v>
      </c>
      <c r="JF9" s="517">
        <v>360.28860000000003</v>
      </c>
      <c r="JG9" s="517">
        <v>316.9502</v>
      </c>
      <c r="JH9" s="517">
        <v>314.80835000000002</v>
      </c>
      <c r="JI9" s="517">
        <v>305.11279999999999</v>
      </c>
      <c r="JJ9" s="517">
        <v>288.7192</v>
      </c>
      <c r="JK9" s="517">
        <v>291.99464999999998</v>
      </c>
      <c r="JL9" s="517">
        <v>267.04455000000002</v>
      </c>
      <c r="JM9" s="517">
        <v>250.36210000000003</v>
      </c>
      <c r="JN9" s="517">
        <v>227.83725000000001</v>
      </c>
      <c r="JO9" s="517">
        <v>217.14435000000003</v>
      </c>
      <c r="JP9" s="517">
        <v>194.90290000000002</v>
      </c>
      <c r="JQ9" s="517">
        <v>185.20734999999999</v>
      </c>
      <c r="JR9" s="517">
        <v>187.06035</v>
      </c>
      <c r="JS9" s="517">
        <v>170.37790000000001</v>
      </c>
      <c r="JT9" s="517">
        <v>155.97900000000001</v>
      </c>
      <c r="JU9" s="517">
        <v>147.99475000000001</v>
      </c>
      <c r="JV9" s="517">
        <v>135.87395000000001</v>
      </c>
      <c r="JW9" s="517">
        <v>129.88985</v>
      </c>
      <c r="JX9" s="517">
        <v>102.7979</v>
      </c>
      <c r="JY9" s="517">
        <v>121.90559999999999</v>
      </c>
      <c r="JZ9" s="517">
        <v>123.61145</v>
      </c>
      <c r="KA9" s="517">
        <v>125.4699</v>
      </c>
      <c r="KB9" s="517">
        <v>116.05775000000001</v>
      </c>
      <c r="KC9" s="517">
        <v>111.92120000000001</v>
      </c>
      <c r="KD9" s="517">
        <v>111.63780000000001</v>
      </c>
      <c r="KE9" s="517">
        <v>128.32025000000002</v>
      </c>
      <c r="KF9" s="517">
        <v>106.36219999999999</v>
      </c>
      <c r="KG9" s="517">
        <v>104.07865000000001</v>
      </c>
      <c r="KH9" s="517">
        <v>96.950050000000005</v>
      </c>
      <c r="KI9" s="517">
        <v>100.23094999999999</v>
      </c>
      <c r="KJ9" s="517">
        <v>96.950050000000005</v>
      </c>
      <c r="KK9" s="517">
        <v>95.527599999999993</v>
      </c>
      <c r="KL9" s="517">
        <v>91.821600000000004</v>
      </c>
      <c r="KM9" s="517">
        <v>84.120750000000001</v>
      </c>
      <c r="KN9" s="517">
        <v>83.690200000000004</v>
      </c>
      <c r="KO9" s="517">
        <v>77.13385000000001</v>
      </c>
      <c r="KP9" s="517">
        <v>65.013050000000007</v>
      </c>
      <c r="KQ9" s="517">
        <v>57.170500000000004</v>
      </c>
      <c r="KR9" s="517">
        <v>50.614150000000009</v>
      </c>
      <c r="KS9" s="517">
        <v>37.637700000000002</v>
      </c>
      <c r="KT9" s="517">
        <v>31.653600000000001</v>
      </c>
      <c r="KU9" s="517">
        <v>41.060299999999998</v>
      </c>
      <c r="KV9" s="517">
        <v>42.488200000000006</v>
      </c>
      <c r="KW9" s="517">
        <v>38.640500000000003</v>
      </c>
      <c r="KX9" s="517">
        <v>35.0762</v>
      </c>
      <c r="KY9" s="517">
        <v>34.503950000000003</v>
      </c>
      <c r="KZ9" s="517">
        <v>40.351800000000004</v>
      </c>
      <c r="LA9" s="517">
        <v>43.202149999999996</v>
      </c>
      <c r="LB9" s="517">
        <v>34.220550000000003</v>
      </c>
      <c r="LC9" s="517">
        <v>31.937000000000001</v>
      </c>
      <c r="LD9" s="517">
        <v>31.653600000000001</v>
      </c>
      <c r="LE9" s="517">
        <v>28.944950000000002</v>
      </c>
      <c r="LF9" s="517">
        <v>26.5197</v>
      </c>
      <c r="LG9" s="517">
        <v>23.527650000000001</v>
      </c>
      <c r="LH9" s="517">
        <v>23.669350000000001</v>
      </c>
      <c r="LI9" s="517">
        <v>21.95805</v>
      </c>
      <c r="LJ9" s="517">
        <v>17.963200000000001</v>
      </c>
      <c r="LK9" s="517">
        <v>19.674499999999998</v>
      </c>
      <c r="LL9" s="517">
        <v>21.95805</v>
      </c>
      <c r="LM9" s="517">
        <v>25.091800000000003</v>
      </c>
      <c r="LN9" s="517">
        <v>28.089300000000001</v>
      </c>
      <c r="LO9" s="517">
        <v>28.656100000000002</v>
      </c>
      <c r="LP9" s="517">
        <v>29.228350000000002</v>
      </c>
      <c r="LQ9" s="517">
        <v>31.081350000000004</v>
      </c>
      <c r="LR9" s="517">
        <v>27.233650000000001</v>
      </c>
      <c r="LS9" s="517">
        <v>26.661400000000004</v>
      </c>
      <c r="LT9" s="517">
        <v>25.94745</v>
      </c>
      <c r="LU9" s="517">
        <v>20.105050000000002</v>
      </c>
      <c r="LV9" s="517">
        <v>25.94745</v>
      </c>
      <c r="LW9" s="517">
        <v>25.522349999999999</v>
      </c>
      <c r="LX9" s="517">
        <v>26.5197</v>
      </c>
      <c r="LY9" s="517">
        <v>30.5091</v>
      </c>
      <c r="LZ9" s="517">
        <v>31.223050000000001</v>
      </c>
      <c r="MA9" s="517">
        <v>32.078700000000005</v>
      </c>
      <c r="MB9" s="517">
        <v>32.078700000000005</v>
      </c>
      <c r="MC9" s="517">
        <v>35.3596</v>
      </c>
      <c r="MD9" s="517">
        <v>35.784700000000001</v>
      </c>
      <c r="ME9" s="517">
        <v>38.068250000000006</v>
      </c>
      <c r="MF9" s="517">
        <v>43.202149999999996</v>
      </c>
      <c r="MG9" s="517">
        <v>45.338550000000005</v>
      </c>
      <c r="MH9" s="517">
        <v>45.910800000000002</v>
      </c>
      <c r="MI9" s="517">
        <v>55.317500000000003</v>
      </c>
      <c r="MJ9" s="517">
        <v>50.755850000000002</v>
      </c>
      <c r="MK9" s="517">
        <v>50.614150000000009</v>
      </c>
      <c r="ML9" s="517">
        <v>49.186250000000001</v>
      </c>
      <c r="MM9" s="517">
        <v>50.897550000000003</v>
      </c>
      <c r="MN9" s="517">
        <v>51.469800000000006</v>
      </c>
      <c r="MO9" s="517">
        <v>45.196849999999998</v>
      </c>
      <c r="MP9" s="517">
        <v>51.328099999999999</v>
      </c>
      <c r="MQ9" s="517">
        <v>47.905499999999996</v>
      </c>
      <c r="MR9" s="517">
        <v>49.758500000000005</v>
      </c>
      <c r="MS9" s="517">
        <v>58.314999999999998</v>
      </c>
      <c r="MT9" s="517">
        <v>54.609000000000002</v>
      </c>
      <c r="MU9" s="517">
        <v>57.601050000000008</v>
      </c>
      <c r="MV9" s="517">
        <v>66.010400000000004</v>
      </c>
      <c r="MW9" s="517">
        <v>63.874000000000002</v>
      </c>
      <c r="MX9" s="517">
        <v>69.721850000000003</v>
      </c>
      <c r="MY9" s="517">
        <v>68.010549999999995</v>
      </c>
      <c r="MZ9" s="517">
        <v>64.15740000000001</v>
      </c>
      <c r="NA9" s="517">
        <v>70.430350000000004</v>
      </c>
      <c r="NB9" s="517">
        <v>70.860900000000001</v>
      </c>
      <c r="NC9" s="517">
        <v>74.425200000000004</v>
      </c>
      <c r="ND9" s="517">
        <v>74.425200000000004</v>
      </c>
      <c r="NE9" s="517">
        <v>78.845150000000004</v>
      </c>
      <c r="NF9" s="517">
        <v>79.417400000000001</v>
      </c>
      <c r="NG9" s="517">
        <v>84.692999999999998</v>
      </c>
      <c r="NH9" s="517">
        <v>80.273049999999998</v>
      </c>
      <c r="NI9" s="517">
        <v>92.24669999999999</v>
      </c>
      <c r="NJ9" s="517">
        <v>92.960650000000001</v>
      </c>
      <c r="NK9" s="517">
        <v>96.950050000000005</v>
      </c>
      <c r="NL9" s="517">
        <v>94.099699999999999</v>
      </c>
      <c r="NM9" s="517">
        <v>99.51700000000001</v>
      </c>
      <c r="NN9" s="517">
        <v>102.5145</v>
      </c>
      <c r="NO9" s="517">
        <v>119.33865</v>
      </c>
      <c r="NP9" s="517">
        <v>121.75845000000001</v>
      </c>
      <c r="NQ9" s="517">
        <v>142.14690000000002</v>
      </c>
      <c r="NR9" s="517">
        <v>171.66410000000002</v>
      </c>
      <c r="NS9" s="517">
        <v>190.76635000000002</v>
      </c>
      <c r="NT9" s="517">
        <v>198.18379999999999</v>
      </c>
      <c r="NU9" s="517">
        <v>222.9922</v>
      </c>
      <c r="NV9" s="517">
        <v>254.07355000000001</v>
      </c>
      <c r="NW9" s="517">
        <v>296.84514999999999</v>
      </c>
      <c r="NX9" s="517">
        <v>317.517</v>
      </c>
      <c r="NY9" s="517">
        <v>344.60894999999999</v>
      </c>
      <c r="NZ9" s="517">
        <v>372.12600000000003</v>
      </c>
      <c r="OA9" s="517">
        <v>365.42250000000001</v>
      </c>
      <c r="OB9" s="517">
        <v>389.37524999999999</v>
      </c>
      <c r="OC9" s="517">
        <v>438.27810000000005</v>
      </c>
      <c r="OD9" s="517">
        <v>422.88185000000004</v>
      </c>
      <c r="OE9" s="517">
        <v>497.73214999999999</v>
      </c>
      <c r="OF9" s="517">
        <v>540.07865000000004</v>
      </c>
      <c r="OG9" s="517">
        <v>587.12850000000003</v>
      </c>
      <c r="OH9" s="517">
        <v>595.68500000000006</v>
      </c>
      <c r="OI9" s="517">
        <v>653.56945000000007</v>
      </c>
      <c r="OJ9" s="517">
        <v>713.45404999999994</v>
      </c>
      <c r="OK9" s="517">
        <v>796.00520000000006</v>
      </c>
      <c r="OL9" s="517">
        <v>785.59569999999997</v>
      </c>
      <c r="OM9" s="517">
        <v>817.39099999999996</v>
      </c>
      <c r="ON9" s="517">
        <v>809.83730000000003</v>
      </c>
      <c r="OO9" s="517">
        <v>810.83465000000001</v>
      </c>
      <c r="OP9" s="517">
        <v>829.65350000000001</v>
      </c>
      <c r="OQ9" s="517">
        <v>871.14</v>
      </c>
      <c r="OR9" s="517">
        <v>939.43</v>
      </c>
      <c r="OS9" s="517">
        <v>994.71</v>
      </c>
      <c r="OT9" s="517">
        <v>846.29</v>
      </c>
      <c r="OU9" s="517">
        <v>1072.1400000000001</v>
      </c>
      <c r="OV9" s="517"/>
      <c r="OW9" s="517"/>
      <c r="OX9" s="517"/>
      <c r="OY9" s="517"/>
      <c r="OZ9" s="517"/>
      <c r="PA9" s="517"/>
      <c r="PB9" s="517"/>
      <c r="PC9" s="517"/>
      <c r="PD9" s="517"/>
      <c r="PE9" s="517"/>
      <c r="PF9" s="517"/>
      <c r="PG9" s="517"/>
      <c r="PH9" s="517"/>
      <c r="PI9" s="517"/>
      <c r="PJ9" s="517"/>
      <c r="PK9" s="517"/>
      <c r="PL9" s="517"/>
      <c r="PM9" s="517"/>
      <c r="PN9" s="517"/>
      <c r="PO9" s="517"/>
      <c r="PP9" s="517"/>
      <c r="PQ9" s="517"/>
      <c r="PR9" s="517"/>
      <c r="PS9" s="517"/>
      <c r="PT9" s="517"/>
      <c r="PU9" s="517"/>
      <c r="PV9" s="517"/>
      <c r="PW9" s="517"/>
      <c r="PX9" s="517"/>
      <c r="PY9" s="517"/>
      <c r="PZ9" s="517"/>
      <c r="QA9" s="517"/>
      <c r="QB9" s="517"/>
      <c r="QC9" s="517"/>
      <c r="QD9" s="517"/>
      <c r="QE9" s="517"/>
      <c r="QF9" s="517"/>
      <c r="QG9" s="517"/>
      <c r="QH9" s="517"/>
      <c r="QI9" s="517"/>
      <c r="QJ9" s="517"/>
      <c r="QK9" s="517"/>
      <c r="QL9" s="517"/>
      <c r="QM9" s="517"/>
      <c r="QN9" s="517"/>
      <c r="QO9" s="517"/>
      <c r="QP9" s="517"/>
      <c r="QQ9" s="517"/>
      <c r="QR9" s="517"/>
      <c r="QS9" s="517"/>
      <c r="QT9" s="517"/>
      <c r="QU9" s="517"/>
      <c r="QV9" s="517"/>
      <c r="QW9" s="517"/>
      <c r="QX9" s="517"/>
      <c r="QY9" s="517"/>
      <c r="QZ9" s="517"/>
      <c r="RA9" s="517"/>
      <c r="RB9" s="517"/>
      <c r="RC9" s="517"/>
      <c r="RD9" s="517"/>
      <c r="RE9" s="517"/>
      <c r="RF9" s="517"/>
      <c r="RG9" s="517"/>
      <c r="RH9" s="517"/>
      <c r="RI9" s="517"/>
      <c r="RJ9" s="517"/>
      <c r="RK9" s="517"/>
      <c r="RL9" s="517"/>
      <c r="RM9" s="517"/>
      <c r="RN9" s="517"/>
      <c r="RO9" s="517"/>
      <c r="RP9" s="517"/>
      <c r="RQ9" s="517"/>
      <c r="RR9" s="517"/>
      <c r="RS9" s="517"/>
      <c r="RT9" s="517"/>
      <c r="RU9" s="517"/>
      <c r="RV9" s="517"/>
      <c r="RW9" s="517"/>
      <c r="RX9" s="517"/>
      <c r="RY9" s="517"/>
      <c r="RZ9" s="517"/>
      <c r="SA9" s="517"/>
      <c r="SB9" s="517"/>
      <c r="SC9" s="517"/>
      <c r="SD9" s="517"/>
      <c r="SE9" s="517"/>
      <c r="SF9" s="517"/>
      <c r="SG9" s="517"/>
      <c r="SH9" s="517"/>
      <c r="SI9" s="517"/>
      <c r="SJ9" s="517"/>
      <c r="SK9" s="517"/>
      <c r="SL9" s="517"/>
      <c r="SM9" s="517"/>
      <c r="SN9" s="517"/>
      <c r="SO9" s="517"/>
      <c r="SP9" s="517"/>
      <c r="SQ9" s="517"/>
      <c r="SR9" s="517"/>
      <c r="SS9" s="517"/>
      <c r="ST9" s="517"/>
      <c r="SU9" s="517"/>
      <c r="SV9" s="517"/>
      <c r="SW9" s="517"/>
      <c r="SX9" s="517"/>
      <c r="SY9" s="517"/>
      <c r="SZ9" s="517"/>
      <c r="TA9" s="517"/>
      <c r="TB9" s="517"/>
      <c r="TC9" s="517"/>
      <c r="TD9" s="517"/>
      <c r="TE9" s="517"/>
      <c r="TF9" s="517"/>
      <c r="TG9" s="517"/>
      <c r="TH9" s="517"/>
      <c r="TI9" s="517"/>
      <c r="TJ9" s="517"/>
      <c r="TK9" s="517"/>
      <c r="TL9" s="517"/>
      <c r="TM9" s="517"/>
      <c r="TN9" s="517"/>
      <c r="TO9" s="517"/>
      <c r="TP9" s="517"/>
      <c r="TQ9" s="517"/>
      <c r="TR9" s="517"/>
      <c r="TS9" s="517"/>
      <c r="TT9" s="517"/>
      <c r="TU9" s="517"/>
      <c r="TV9" s="517"/>
      <c r="TW9" s="517"/>
      <c r="TX9" s="517"/>
      <c r="TY9" s="517"/>
      <c r="TZ9" s="517"/>
      <c r="UA9" s="517"/>
      <c r="UB9" s="517"/>
      <c r="UC9" s="517"/>
      <c r="UD9" s="517"/>
      <c r="UE9" s="517"/>
      <c r="UF9" s="517"/>
      <c r="UG9" s="517"/>
      <c r="UH9" s="517"/>
      <c r="UI9" s="517"/>
      <c r="UJ9" s="517"/>
      <c r="UK9" s="517"/>
      <c r="UL9" s="517"/>
      <c r="UM9" s="517"/>
      <c r="UN9" s="517"/>
      <c r="UO9" s="517"/>
      <c r="UP9" s="517"/>
      <c r="UQ9" s="517"/>
      <c r="UR9" s="517"/>
      <c r="US9" s="517"/>
      <c r="UT9" s="517"/>
      <c r="UU9" s="517"/>
      <c r="UV9" s="517"/>
      <c r="UW9" s="517"/>
      <c r="UX9" s="517"/>
      <c r="UY9" s="517"/>
      <c r="UZ9" s="517"/>
      <c r="VA9" s="517"/>
      <c r="VB9" s="517"/>
      <c r="VC9" s="517"/>
      <c r="VD9" s="517"/>
      <c r="VE9" s="517"/>
      <c r="VF9" s="517"/>
      <c r="VG9" s="517"/>
      <c r="VH9" s="517"/>
      <c r="VI9" s="517"/>
      <c r="VJ9" s="517"/>
      <c r="VK9" s="517"/>
      <c r="VL9" s="517"/>
      <c r="VM9" s="517"/>
      <c r="VN9" s="517"/>
      <c r="VO9" s="517"/>
      <c r="VP9" s="517"/>
      <c r="VQ9" s="517"/>
      <c r="VR9" s="517"/>
      <c r="VS9" s="517"/>
      <c r="VT9" s="517"/>
      <c r="VU9" s="517"/>
      <c r="VV9" s="517"/>
      <c r="VW9" s="517"/>
      <c r="VX9" s="517"/>
      <c r="VY9" s="517"/>
      <c r="VZ9" s="517"/>
      <c r="WA9" s="517"/>
      <c r="WB9" s="517"/>
      <c r="WC9" s="517"/>
      <c r="WD9" s="517"/>
      <c r="WE9" s="517"/>
      <c r="WF9" s="517"/>
      <c r="WG9" s="517"/>
      <c r="WH9" s="517"/>
      <c r="WI9" s="517"/>
      <c r="WJ9" s="517"/>
      <c r="WK9" s="517"/>
      <c r="WL9" s="517"/>
      <c r="WM9" s="517"/>
      <c r="WN9" s="517"/>
      <c r="WO9" s="517"/>
      <c r="WP9" s="517"/>
      <c r="WQ9" s="517"/>
      <c r="WR9" s="517"/>
      <c r="WS9" s="517"/>
      <c r="WT9" s="517"/>
      <c r="WU9" s="517"/>
      <c r="WV9" s="517"/>
      <c r="WW9" s="517"/>
      <c r="WX9" s="517"/>
      <c r="WY9" s="517"/>
      <c r="WZ9" s="517"/>
      <c r="XA9" s="517"/>
      <c r="XB9" s="517"/>
      <c r="XC9" s="517"/>
      <c r="XD9" s="517"/>
      <c r="XE9" s="517"/>
      <c r="XF9" s="517"/>
      <c r="XG9" s="517"/>
      <c r="XH9" s="517"/>
      <c r="XI9" s="517"/>
      <c r="XJ9" s="517"/>
      <c r="XK9" s="517"/>
      <c r="XL9" s="517"/>
      <c r="XM9" s="517"/>
      <c r="XN9" s="517"/>
      <c r="XO9" s="517"/>
      <c r="XP9" s="517"/>
      <c r="XQ9" s="517"/>
      <c r="XR9" s="517"/>
      <c r="XS9" s="517"/>
      <c r="XT9" s="517"/>
      <c r="XU9" s="517"/>
      <c r="XV9" s="517"/>
      <c r="XW9" s="517"/>
      <c r="XX9" s="517"/>
      <c r="XY9" s="517"/>
      <c r="XZ9" s="517"/>
      <c r="YA9" s="517"/>
      <c r="YB9" s="517"/>
      <c r="YC9" s="517"/>
      <c r="YD9" s="517"/>
      <c r="YE9" s="517"/>
      <c r="YF9" s="517"/>
      <c r="YG9" s="517"/>
      <c r="YH9" s="517"/>
      <c r="YI9" s="517"/>
      <c r="YJ9" s="517"/>
      <c r="YK9" s="517"/>
      <c r="YL9" s="517"/>
      <c r="YM9" s="517"/>
      <c r="YN9" s="517"/>
      <c r="YO9" s="517"/>
      <c r="YP9" s="517"/>
      <c r="YQ9" s="517"/>
      <c r="YR9" s="517"/>
      <c r="YS9" s="517"/>
      <c r="YT9" s="517"/>
      <c r="YU9" s="517"/>
      <c r="YV9" s="517"/>
      <c r="YW9" s="517"/>
      <c r="YX9" s="517"/>
      <c r="YY9" s="517"/>
      <c r="YZ9" s="517"/>
      <c r="ZA9" s="517"/>
      <c r="ZB9" s="517"/>
      <c r="ZC9" s="517"/>
      <c r="ZD9" s="517"/>
      <c r="ZE9" s="517"/>
    </row>
    <row r="11" spans="1:681" x14ac:dyDescent="0.25">
      <c r="L11" s="502" t="s">
        <v>131</v>
      </c>
      <c r="M11" s="502" t="s">
        <v>374</v>
      </c>
    </row>
    <row r="12" spans="1:681" x14ac:dyDescent="0.25">
      <c r="L12" s="505"/>
      <c r="M12" s="505"/>
      <c r="N12" s="509" t="s">
        <v>758</v>
      </c>
      <c r="O12" s="509" t="s">
        <v>759</v>
      </c>
      <c r="P12" s="509" t="s">
        <v>760</v>
      </c>
      <c r="Q12" s="509" t="s">
        <v>761</v>
      </c>
      <c r="R12" s="509" t="s">
        <v>762</v>
      </c>
      <c r="S12" s="509" t="s">
        <v>763</v>
      </c>
      <c r="T12" s="509" t="s">
        <v>764</v>
      </c>
      <c r="U12" s="509" t="s">
        <v>765</v>
      </c>
      <c r="V12" s="509" t="s">
        <v>766</v>
      </c>
      <c r="W12" s="509" t="s">
        <v>767</v>
      </c>
      <c r="X12" s="509" t="s">
        <v>768</v>
      </c>
      <c r="Y12" s="509" t="s">
        <v>769</v>
      </c>
      <c r="Z12" s="509" t="s">
        <v>770</v>
      </c>
      <c r="AA12" s="510"/>
      <c r="AB12" s="510"/>
      <c r="AC12" s="510"/>
      <c r="AD12" s="510"/>
      <c r="AE12" s="510"/>
      <c r="AF12" s="510"/>
      <c r="AG12" s="510"/>
      <c r="AH12" s="510"/>
      <c r="AI12" s="510"/>
      <c r="AJ12" s="510"/>
      <c r="AK12" s="510"/>
      <c r="AL12" s="510"/>
      <c r="AM12" s="510"/>
      <c r="AN12" s="510"/>
      <c r="AO12" s="510"/>
    </row>
    <row r="13" spans="1:681" x14ac:dyDescent="0.25">
      <c r="L13" s="502" t="s">
        <v>792</v>
      </c>
      <c r="M13" s="502" t="s">
        <v>793</v>
      </c>
      <c r="N13" s="510">
        <v>100</v>
      </c>
      <c r="O13" s="510">
        <v>99.761705535593705</v>
      </c>
      <c r="P13" s="510">
        <v>95.296430455812114</v>
      </c>
      <c r="Q13" s="510">
        <v>100.10301507508817</v>
      </c>
      <c r="R13" s="510">
        <v>97.005202233976547</v>
      </c>
      <c r="S13" s="510">
        <v>94.89255132509733</v>
      </c>
      <c r="T13" s="510">
        <v>99.818893092761869</v>
      </c>
      <c r="U13" s="510">
        <v>100.37266725151188</v>
      </c>
      <c r="V13" s="510">
        <v>98.447734328983458</v>
      </c>
      <c r="W13" s="510">
        <v>99.61021776297936</v>
      </c>
      <c r="X13" s="510">
        <v>100.23899487090867</v>
      </c>
      <c r="Y13" s="510">
        <v>101.16643521413519</v>
      </c>
      <c r="Z13" s="510">
        <v>102.13788948225802</v>
      </c>
      <c r="AA13" s="510"/>
      <c r="AB13" s="510"/>
      <c r="AC13" s="510"/>
      <c r="AD13" s="510"/>
      <c r="AE13" s="510"/>
      <c r="AF13" s="510"/>
      <c r="AG13" s="510"/>
      <c r="AH13" s="510"/>
      <c r="AI13" s="510"/>
      <c r="AJ13" s="510"/>
      <c r="AK13" s="510"/>
      <c r="AL13" s="510"/>
      <c r="AM13" s="510"/>
      <c r="AN13" s="510"/>
      <c r="AO13" s="510"/>
    </row>
    <row r="14" spans="1:681" x14ac:dyDescent="0.25">
      <c r="L14" s="502"/>
      <c r="M14" s="502"/>
      <c r="N14" s="510"/>
      <c r="O14" s="510"/>
      <c r="P14" s="510"/>
      <c r="Q14" s="510"/>
      <c r="R14" s="510"/>
      <c r="S14" s="510"/>
      <c r="T14" s="510"/>
      <c r="U14" s="510"/>
      <c r="V14" s="510"/>
      <c r="W14" s="510"/>
      <c r="X14" s="510"/>
      <c r="Y14" s="510"/>
      <c r="Z14" s="510"/>
    </row>
    <row r="15" spans="1:681" x14ac:dyDescent="0.25">
      <c r="L15" s="502"/>
      <c r="M15" s="502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</row>
    <row r="22" spans="3:16" x14ac:dyDescent="0.25">
      <c r="C22" s="515" t="s">
        <v>1252</v>
      </c>
      <c r="K22" s="515" t="s">
        <v>1253</v>
      </c>
      <c r="P22" s="515" t="s">
        <v>1254</v>
      </c>
    </row>
    <row r="34" spans="23:23" x14ac:dyDescent="0.25">
      <c r="W34" s="501" t="s">
        <v>794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42</vt:i4>
      </vt:variant>
      <vt:variant>
        <vt:lpstr>Pomenované rozsahy</vt:lpstr>
      </vt:variant>
      <vt:variant>
        <vt:i4>11</vt:i4>
      </vt:variant>
    </vt:vector>
  </HeadingPairs>
  <TitlesOfParts>
    <vt:vector size="53" baseType="lpstr">
      <vt:lpstr>Contents</vt:lpstr>
      <vt:lpstr>MMF_TABULKA</vt:lpstr>
      <vt:lpstr>Zhrnutie</vt:lpstr>
      <vt:lpstr>Graf 1+2</vt:lpstr>
      <vt:lpstr>Graf3+4</vt:lpstr>
      <vt:lpstr>Graf 5+6</vt:lpstr>
      <vt:lpstr>Tabuľka 1</vt:lpstr>
      <vt:lpstr>Graf 7+8</vt:lpstr>
      <vt:lpstr>Graf 9+10</vt:lpstr>
      <vt:lpstr>Graf 11+Tabuľka 2</vt:lpstr>
      <vt:lpstr>Tabuľka 3</vt:lpstr>
      <vt:lpstr>Tabuľka 4</vt:lpstr>
      <vt:lpstr>Graf 12</vt:lpstr>
      <vt:lpstr>Graf 13</vt:lpstr>
      <vt:lpstr>Graf 14</vt:lpstr>
      <vt:lpstr>Tabuľka 5 </vt:lpstr>
      <vt:lpstr>Graf 15+16</vt:lpstr>
      <vt:lpstr>Graf 17</vt:lpstr>
      <vt:lpstr>Graf 18</vt:lpstr>
      <vt:lpstr>Schéma 1</vt:lpstr>
      <vt:lpstr>Graf 19</vt:lpstr>
      <vt:lpstr>Graf 20</vt:lpstr>
      <vt:lpstr>Graf 21</vt:lpstr>
      <vt:lpstr>Tabuľka 6</vt:lpstr>
      <vt:lpstr>Graf 22 + 23</vt:lpstr>
      <vt:lpstr>Graf 24 + 25</vt:lpstr>
      <vt:lpstr>Graf 26 + 27</vt:lpstr>
      <vt:lpstr>Graf 28</vt:lpstr>
      <vt:lpstr>Tabuľka 7</vt:lpstr>
      <vt:lpstr>Tabuľka 8</vt:lpstr>
      <vt:lpstr>Tabuľka 9</vt:lpstr>
      <vt:lpstr>Tabuľka 10</vt:lpstr>
      <vt:lpstr>Tabuľka 11</vt:lpstr>
      <vt:lpstr>Tabuľka 12</vt:lpstr>
      <vt:lpstr>Tabuľka 13 </vt:lpstr>
      <vt:lpstr>Graf 29</vt:lpstr>
      <vt:lpstr>Tabuľka 14</vt:lpstr>
      <vt:lpstr>Tabuľka 15</vt:lpstr>
      <vt:lpstr>Tabuľka 16</vt:lpstr>
      <vt:lpstr>Tabuľka 17</vt:lpstr>
      <vt:lpstr>DRM</vt:lpstr>
      <vt:lpstr>Tab COVID</vt:lpstr>
      <vt:lpstr>'Graf 24 + 25'!_Toc21894800</vt:lpstr>
      <vt:lpstr>'Graf 26 + 27'!_Toc463861271</vt:lpstr>
      <vt:lpstr>'Tabuľka 11'!_Toc495395955</vt:lpstr>
      <vt:lpstr>'Tabuľka 13 '!_Toc495395979</vt:lpstr>
      <vt:lpstr>'Tabuľka 15'!_Toc526688278</vt:lpstr>
      <vt:lpstr>'Tabuľka 8'!_Toc526688280</vt:lpstr>
      <vt:lpstr>'Tabuľka 12'!_Toc53414067</vt:lpstr>
      <vt:lpstr>'Tabuľka 14'!_Toc53414069</vt:lpstr>
      <vt:lpstr>'Tabuľka 16'!_Toc53500237</vt:lpstr>
      <vt:lpstr>'Graf 15+16'!_Toc85101878</vt:lpstr>
      <vt:lpstr>'Graf 15+16'!_Toc85101879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2023-07-14T08:06:33Z</dcterms:modified>
</cp:coreProperties>
</file>